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80" yWindow="0" windowWidth="14400" windowHeight="11700" firstSheet="2" activeTab="2"/>
  </bookViews>
  <sheets>
    <sheet name="Лист4" sheetId="4" state="hidden" r:id="rId1"/>
    <sheet name="Лист5" sheetId="5" state="hidden" r:id="rId2"/>
    <sheet name="отчет по мероприятиям" sheetId="6" r:id="rId3"/>
    <sheet name="ввод мощностей" sheetId="14" r:id="rId4"/>
    <sheet name="водоснабжение" sheetId="8" r:id="rId5"/>
    <sheet name="канализация" sheetId="11" r:id="rId6"/>
    <sheet name="3 мес." sheetId="15" r:id="rId7"/>
    <sheet name="4 мес." sheetId="17" r:id="rId8"/>
    <sheet name="5 мес. " sheetId="18" r:id="rId9"/>
    <sheet name="6 мес.  " sheetId="19" r:id="rId10"/>
    <sheet name="7 мес." sheetId="20" r:id="rId11"/>
    <sheet name="8 мес." sheetId="21" r:id="rId12"/>
    <sheet name="9 мес." sheetId="22" r:id="rId13"/>
    <sheet name="10 мес. " sheetId="23" r:id="rId14"/>
    <sheet name="11 мес." sheetId="24" r:id="rId15"/>
    <sheet name="Инф. по зел насаждениям" sheetId="16" r:id="rId16"/>
    <sheet name="Лист1" sheetId="12" r:id="rId17"/>
    <sheet name="Лист2" sheetId="13" r:id="rId18"/>
  </sheets>
  <definedNames>
    <definedName name="_xlnm._FilterDatabase" localSheetId="13" hidden="1">'10 мес. '!$A$4:$AP$4</definedName>
    <definedName name="_xlnm._FilterDatabase" localSheetId="14" hidden="1">'11 мес.'!$A$4:$AP$4</definedName>
    <definedName name="_xlnm._FilterDatabase" localSheetId="6" hidden="1">'3 мес.'!$A$4:$AP$4</definedName>
    <definedName name="_xlnm._FilterDatabase" localSheetId="7" hidden="1">'4 мес.'!$A$4:$AP$4</definedName>
    <definedName name="_xlnm._FilterDatabase" localSheetId="8" hidden="1">'5 мес. '!$A$4:$AP$4</definedName>
    <definedName name="_xlnm._FilterDatabase" localSheetId="9" hidden="1">'6 мес.  '!$A$4:$AP$4</definedName>
    <definedName name="_xlnm._FilterDatabase" localSheetId="10" hidden="1">'7 мес.'!$A$4:$AP$4</definedName>
    <definedName name="_xlnm._FilterDatabase" localSheetId="11" hidden="1">'8 мес.'!$A$4:$AP$4</definedName>
    <definedName name="_xlnm._FilterDatabase" localSheetId="12" hidden="1">'9 мес.'!$A$4:$AP$4</definedName>
    <definedName name="_xlnm._FilterDatabase" localSheetId="15" hidden="1">'Инф. по зел насаждениям'!$A$5:$AD$5</definedName>
    <definedName name="_xlnm._FilterDatabase" localSheetId="2" hidden="1">'отчет по мероприятиям'!$A$11:$AO$11</definedName>
    <definedName name="_xlnm.Print_Titles" localSheetId="13">'10 мес. '!$3:$4</definedName>
    <definedName name="_xlnm.Print_Titles" localSheetId="14">'11 мес.'!$3:$4</definedName>
    <definedName name="_xlnm.Print_Titles" localSheetId="6">'3 мес.'!$3:$4</definedName>
    <definedName name="_xlnm.Print_Titles" localSheetId="7">'4 мес.'!$3:$4</definedName>
    <definedName name="_xlnm.Print_Titles" localSheetId="8">'5 мес. '!$3:$4</definedName>
    <definedName name="_xlnm.Print_Titles" localSheetId="9">'6 мес.  '!$3:$4</definedName>
    <definedName name="_xlnm.Print_Titles" localSheetId="10">'7 мес.'!$3:$4</definedName>
    <definedName name="_xlnm.Print_Titles" localSheetId="11">'8 мес.'!$3:$4</definedName>
    <definedName name="_xlnm.Print_Titles" localSheetId="12">'9 мес.'!$3:$4</definedName>
    <definedName name="_xlnm.Print_Titles" localSheetId="3">'ввод мощностей'!$7:$10</definedName>
    <definedName name="_xlnm.Print_Titles" localSheetId="4">водоснабжение!$8:$10</definedName>
    <definedName name="_xlnm.Print_Titles" localSheetId="15">'Инф. по зел насаждениям'!$3:$5</definedName>
    <definedName name="_xlnm.Print_Titles" localSheetId="5">канализация!$8:$10</definedName>
    <definedName name="_xlnm.Print_Titles" localSheetId="2">'отчет по мероприятиям'!$8:$11</definedName>
    <definedName name="_xlnm.Print_Area" localSheetId="13">'10 мес. '!$A$1:$AQ$316</definedName>
    <definedName name="_xlnm.Print_Area" localSheetId="14">'11 мес.'!$A$1:$AQ$316</definedName>
    <definedName name="_xlnm.Print_Area" localSheetId="6">'3 мес.'!$A$1:$AQ$304</definedName>
    <definedName name="_xlnm.Print_Area" localSheetId="7">'4 мес.'!$A$1:$AQ$311</definedName>
    <definedName name="_xlnm.Print_Area" localSheetId="8">'5 мес. '!$A$1:$AQ$313</definedName>
    <definedName name="_xlnm.Print_Area" localSheetId="9">'6 мес.  '!$A$1:$AQ$313</definedName>
    <definedName name="_xlnm.Print_Area" localSheetId="10">'7 мес.'!$A$1:$AQ$313</definedName>
    <definedName name="_xlnm.Print_Area" localSheetId="11">'8 мес.'!$A$1:$AQ$313</definedName>
    <definedName name="_xlnm.Print_Area" localSheetId="12">'9 мес.'!$A$1:$AQ$315</definedName>
    <definedName name="_xlnm.Print_Area" localSheetId="4">водоснабжение!$A$1:$M$48</definedName>
    <definedName name="_xlnm.Print_Area" localSheetId="15">'Инф. по зел насаждениям'!$A$1:$AB$8</definedName>
    <definedName name="_xlnm.Print_Area" localSheetId="5">канализация!$A$1:$M$45</definedName>
    <definedName name="_xlnm.Print_Area" localSheetId="2">'отчет по мероприятиям'!$A$3:$AD$370</definedName>
  </definedNames>
  <calcPr calcId="145621"/>
</workbook>
</file>

<file path=xl/calcChain.xml><?xml version="1.0" encoding="utf-8"?>
<calcChain xmlns="http://schemas.openxmlformats.org/spreadsheetml/2006/main">
  <c r="R322" i="6" l="1"/>
  <c r="S322" i="6"/>
  <c r="U322" i="6"/>
  <c r="V322" i="6"/>
  <c r="W322" i="6"/>
  <c r="X322" i="6"/>
  <c r="Y322" i="6"/>
  <c r="Q324" i="6"/>
  <c r="Q323" i="6"/>
  <c r="AA306" i="6" l="1"/>
  <c r="AB306" i="6"/>
  <c r="AC306" i="6"/>
  <c r="AD306" i="6"/>
  <c r="Z307" i="6"/>
  <c r="Y155" i="6"/>
  <c r="AD155" i="6"/>
  <c r="R251" i="6"/>
  <c r="S251" i="6"/>
  <c r="T251" i="6"/>
  <c r="U251" i="6"/>
  <c r="V251" i="6"/>
  <c r="W251" i="6"/>
  <c r="X251" i="6"/>
  <c r="Y251" i="6"/>
  <c r="Q252" i="6"/>
  <c r="AA251" i="6"/>
  <c r="AB251" i="6"/>
  <c r="AC251" i="6"/>
  <c r="AD251" i="6"/>
  <c r="Z252" i="6"/>
  <c r="Q136" i="24"/>
  <c r="Q140" i="24"/>
  <c r="AA140" i="24" l="1"/>
  <c r="AA136" i="24"/>
  <c r="J316" i="24"/>
  <c r="R315" i="24"/>
  <c r="Q315" i="24"/>
  <c r="AO314" i="24"/>
  <c r="AN314" i="24"/>
  <c r="AM314" i="24"/>
  <c r="AL314" i="24"/>
  <c r="AK314" i="24"/>
  <c r="AJ314" i="24"/>
  <c r="AI314" i="24"/>
  <c r="AH314" i="24"/>
  <c r="AG314" i="24"/>
  <c r="AF314" i="24"/>
  <c r="AE314" i="24"/>
  <c r="AD314" i="24"/>
  <c r="AC314" i="24"/>
  <c r="AB314" i="24"/>
  <c r="AA314" i="24"/>
  <c r="Y314" i="24"/>
  <c r="X314" i="24"/>
  <c r="W314" i="24"/>
  <c r="V314" i="24"/>
  <c r="U314" i="24"/>
  <c r="T314" i="24"/>
  <c r="S314" i="24"/>
  <c r="R314" i="24"/>
  <c r="Q314" i="24"/>
  <c r="P314" i="24"/>
  <c r="O314" i="24"/>
  <c r="N314" i="24"/>
  <c r="M314" i="24"/>
  <c r="L314" i="24"/>
  <c r="J314" i="24"/>
  <c r="J313" i="24"/>
  <c r="R312" i="24"/>
  <c r="Q312" i="24"/>
  <c r="AO311" i="24"/>
  <c r="AN311" i="24"/>
  <c r="AM311" i="24"/>
  <c r="AL311" i="24"/>
  <c r="AK311" i="24"/>
  <c r="AJ311" i="24"/>
  <c r="AI311" i="24"/>
  <c r="AH311" i="24"/>
  <c r="AG311" i="24"/>
  <c r="AF311" i="24"/>
  <c r="AE311" i="24"/>
  <c r="AD311" i="24"/>
  <c r="AC311" i="24"/>
  <c r="AB311" i="24"/>
  <c r="AA311" i="24"/>
  <c r="Y311" i="24"/>
  <c r="X311" i="24"/>
  <c r="W311" i="24"/>
  <c r="V311" i="24"/>
  <c r="U311" i="24"/>
  <c r="T311" i="24"/>
  <c r="S311" i="24"/>
  <c r="R311" i="24"/>
  <c r="Q311" i="24"/>
  <c r="P311" i="24"/>
  <c r="O311" i="24"/>
  <c r="N311" i="24"/>
  <c r="M311" i="24"/>
  <c r="L311" i="24"/>
  <c r="J311" i="24" s="1"/>
  <c r="J303" i="24"/>
  <c r="R302" i="24"/>
  <c r="Q302" i="24"/>
  <c r="AO301" i="24"/>
  <c r="AN301" i="24"/>
  <c r="AM301" i="24"/>
  <c r="AL301" i="24"/>
  <c r="AK301" i="24"/>
  <c r="AJ301" i="24"/>
  <c r="AI301" i="24"/>
  <c r="AH301" i="24"/>
  <c r="AG301" i="24"/>
  <c r="AF301" i="24"/>
  <c r="AE301" i="24"/>
  <c r="AD301" i="24"/>
  <c r="AC301" i="24"/>
  <c r="AB301" i="24"/>
  <c r="AA301" i="24"/>
  <c r="Y301" i="24"/>
  <c r="X301" i="24"/>
  <c r="W301" i="24"/>
  <c r="V301" i="24"/>
  <c r="U301" i="24"/>
  <c r="T301" i="24"/>
  <c r="S301" i="24"/>
  <c r="R301" i="24"/>
  <c r="Q301" i="24"/>
  <c r="P301" i="24"/>
  <c r="O301" i="24"/>
  <c r="N301" i="24"/>
  <c r="M301" i="24"/>
  <c r="L301" i="24"/>
  <c r="J301" i="24"/>
  <c r="AA299" i="24"/>
  <c r="Q299" i="24"/>
  <c r="AA298" i="24"/>
  <c r="AA296" i="24" s="1"/>
  <c r="W298" i="24"/>
  <c r="Q298" i="24"/>
  <c r="AA297" i="24"/>
  <c r="Q297" i="24"/>
  <c r="AK296" i="24"/>
  <c r="AK250" i="24" s="1"/>
  <c r="AJ296" i="24"/>
  <c r="AI296" i="24"/>
  <c r="AH296" i="24"/>
  <c r="AG296" i="24"/>
  <c r="AG250" i="24" s="1"/>
  <c r="AF296" i="24"/>
  <c r="AE296" i="24"/>
  <c r="AD296" i="24"/>
  <c r="AC296" i="24"/>
  <c r="AC291" i="24" s="1"/>
  <c r="AB296" i="24"/>
  <c r="Q296" i="24"/>
  <c r="V295" i="24"/>
  <c r="V292" i="24" s="1"/>
  <c r="V291" i="24" s="1"/>
  <c r="P295" i="24"/>
  <c r="R293" i="24"/>
  <c r="P293" i="24" s="1"/>
  <c r="AE292" i="24"/>
  <c r="AD292" i="24"/>
  <c r="AA292" i="24"/>
  <c r="Z292" i="24"/>
  <c r="Y292" i="24"/>
  <c r="X292" i="24"/>
  <c r="X291" i="24" s="1"/>
  <c r="W292" i="24"/>
  <c r="U292" i="24"/>
  <c r="T292" i="24"/>
  <c r="T291" i="24" s="1"/>
  <c r="S292" i="24"/>
  <c r="R292" i="24"/>
  <c r="Q292" i="24"/>
  <c r="J292" i="24"/>
  <c r="AQ291" i="24"/>
  <c r="AO291" i="24"/>
  <c r="AN291" i="24"/>
  <c r="AL291" i="24"/>
  <c r="AK291" i="24"/>
  <c r="AJ291" i="24"/>
  <c r="AI291" i="24"/>
  <c r="AH291" i="24"/>
  <c r="AG291" i="24"/>
  <c r="AF291" i="24"/>
  <c r="AE291" i="24"/>
  <c r="AD291" i="24"/>
  <c r="AB291" i="24"/>
  <c r="Z291" i="24"/>
  <c r="Y291" i="24"/>
  <c r="W291" i="24"/>
  <c r="U291" i="24"/>
  <c r="S291" i="24"/>
  <c r="R291" i="24"/>
  <c r="Q291" i="24"/>
  <c r="P291" i="24"/>
  <c r="O291" i="24"/>
  <c r="N291" i="24"/>
  <c r="M291" i="24"/>
  <c r="L291" i="24"/>
  <c r="J291" i="24"/>
  <c r="J290" i="24"/>
  <c r="R289" i="24"/>
  <c r="Q289" i="24"/>
  <c r="P289" i="24"/>
  <c r="AO288" i="24"/>
  <c r="AN288" i="24"/>
  <c r="AM288" i="24"/>
  <c r="AL288" i="24"/>
  <c r="AK288" i="24"/>
  <c r="AJ288" i="24"/>
  <c r="AI288" i="24"/>
  <c r="AH288" i="24"/>
  <c r="AG288" i="24"/>
  <c r="AF288" i="24"/>
  <c r="AE288" i="24"/>
  <c r="AD288" i="24"/>
  <c r="AC288" i="24"/>
  <c r="AB288" i="24"/>
  <c r="AA288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M288" i="24"/>
  <c r="L288" i="24"/>
  <c r="J288" i="24" s="1"/>
  <c r="J287" i="24"/>
  <c r="Q286" i="24"/>
  <c r="AA285" i="24"/>
  <c r="R285" i="24"/>
  <c r="Q285" i="24"/>
  <c r="Q284" i="24"/>
  <c r="R283" i="24"/>
  <c r="P283" i="24" s="1"/>
  <c r="Q283" i="24"/>
  <c r="AJ282" i="24"/>
  <c r="AI282" i="24"/>
  <c r="AI281" i="24" s="1"/>
  <c r="AH282" i="24"/>
  <c r="AG282" i="24"/>
  <c r="AF282" i="24"/>
  <c r="AE282" i="24"/>
  <c r="AE281" i="24" s="1"/>
  <c r="AD282" i="24"/>
  <c r="AC282" i="24"/>
  <c r="AB282" i="24"/>
  <c r="AA282" i="24"/>
  <c r="AA281" i="24" s="1"/>
  <c r="Y282" i="24"/>
  <c r="W282" i="24"/>
  <c r="V282" i="24"/>
  <c r="U282" i="24"/>
  <c r="U281" i="24" s="1"/>
  <c r="T282" i="24"/>
  <c r="S282" i="24"/>
  <c r="R282" i="24"/>
  <c r="Q282" i="24"/>
  <c r="Q281" i="24" s="1"/>
  <c r="J282" i="24"/>
  <c r="AO281" i="24"/>
  <c r="AN281" i="24"/>
  <c r="AJ281" i="24"/>
  <c r="AH281" i="24"/>
  <c r="AG281" i="24"/>
  <c r="AF281" i="24"/>
  <c r="AD281" i="24"/>
  <c r="AC281" i="24"/>
  <c r="AB281" i="24"/>
  <c r="Y281" i="24"/>
  <c r="X281" i="24"/>
  <c r="W281" i="24"/>
  <c r="V281" i="24"/>
  <c r="T281" i="24"/>
  <c r="S281" i="24"/>
  <c r="R281" i="24"/>
  <c r="P281" i="24"/>
  <c r="O281" i="24"/>
  <c r="N281" i="24"/>
  <c r="M281" i="24"/>
  <c r="L281" i="24"/>
  <c r="J281" i="24"/>
  <c r="J280" i="24"/>
  <c r="AA279" i="24"/>
  <c r="T279" i="24"/>
  <c r="P279" i="24" s="1"/>
  <c r="Q279" i="24"/>
  <c r="AF278" i="24"/>
  <c r="AF277" i="24" s="1"/>
  <c r="AF276" i="24" s="1"/>
  <c r="T278" i="24"/>
  <c r="Q278" i="24"/>
  <c r="AJ277" i="24"/>
  <c r="AI277" i="24"/>
  <c r="AH277" i="24"/>
  <c r="AG277" i="24"/>
  <c r="AE277" i="24"/>
  <c r="AD277" i="24"/>
  <c r="AC277" i="24"/>
  <c r="AB277" i="24"/>
  <c r="AA277" i="24"/>
  <c r="Y277" i="24"/>
  <c r="W277" i="24"/>
  <c r="V277" i="24"/>
  <c r="V276" i="24" s="1"/>
  <c r="U277" i="24"/>
  <c r="T277" i="24"/>
  <c r="S277" i="24"/>
  <c r="R277" i="24" s="1"/>
  <c r="R276" i="24" s="1"/>
  <c r="Q277" i="24"/>
  <c r="AO276" i="24"/>
  <c r="AN276" i="24"/>
  <c r="AM276" i="24"/>
  <c r="AK276" i="24"/>
  <c r="AL276" i="24" s="1"/>
  <c r="AJ276" i="24"/>
  <c r="AI276" i="24"/>
  <c r="AH276" i="24"/>
  <c r="AG276" i="24"/>
  <c r="AE276" i="24"/>
  <c r="AD276" i="24"/>
  <c r="AC276" i="24"/>
  <c r="AB276" i="24"/>
  <c r="AA276" i="24"/>
  <c r="Y276" i="24"/>
  <c r="X276" i="24"/>
  <c r="W276" i="24"/>
  <c r="U276" i="24"/>
  <c r="T276" i="24"/>
  <c r="S276" i="24"/>
  <c r="O276" i="24"/>
  <c r="N276" i="24"/>
  <c r="M276" i="24"/>
  <c r="L276" i="24"/>
  <c r="J276" i="24" s="1"/>
  <c r="J275" i="24"/>
  <c r="AF274" i="24"/>
  <c r="U274" i="24"/>
  <c r="T274" i="24" s="1"/>
  <c r="T273" i="24" s="1"/>
  <c r="T272" i="24" s="1"/>
  <c r="P274" i="24"/>
  <c r="AJ273" i="24"/>
  <c r="AI273" i="24"/>
  <c r="AH273" i="24"/>
  <c r="AH272" i="24" s="1"/>
  <c r="AG273" i="24"/>
  <c r="AG272" i="24" s="1"/>
  <c r="AF273" i="24"/>
  <c r="AD273" i="24"/>
  <c r="AD272" i="24" s="1"/>
  <c r="AC273" i="24"/>
  <c r="AC272" i="24" s="1"/>
  <c r="AB273" i="24"/>
  <c r="AB272" i="24" s="1"/>
  <c r="Y273" i="24"/>
  <c r="X273" i="24"/>
  <c r="W273" i="24"/>
  <c r="W272" i="24" s="1"/>
  <c r="V273" i="24"/>
  <c r="V272" i="24" s="1"/>
  <c r="S273" i="24"/>
  <c r="R273" i="24"/>
  <c r="Q273" i="24"/>
  <c r="Q272" i="24" s="1"/>
  <c r="J273" i="24"/>
  <c r="AO272" i="24"/>
  <c r="AN272" i="24"/>
  <c r="AJ272" i="24"/>
  <c r="AI272" i="24"/>
  <c r="AF272" i="24"/>
  <c r="AE272" i="24"/>
  <c r="AA272" i="24"/>
  <c r="Y272" i="24"/>
  <c r="X272" i="24"/>
  <c r="S272" i="24"/>
  <c r="R272" i="24"/>
  <c r="P272" i="24"/>
  <c r="O272" i="24"/>
  <c r="N272" i="24"/>
  <c r="M272" i="24"/>
  <c r="L272" i="24"/>
  <c r="J272" i="24" s="1"/>
  <c r="AL270" i="24"/>
  <c r="AK270" i="24"/>
  <c r="O270" i="24"/>
  <c r="N270" i="24"/>
  <c r="M270" i="24"/>
  <c r="L270" i="24"/>
  <c r="AA269" i="24"/>
  <c r="V269" i="24"/>
  <c r="Q269" i="24"/>
  <c r="AI268" i="24"/>
  <c r="AI263" i="24" s="1"/>
  <c r="AH268" i="24"/>
  <c r="AG268" i="24"/>
  <c r="AF268" i="24"/>
  <c r="AE268" i="24"/>
  <c r="AD268" i="24"/>
  <c r="AC268" i="24"/>
  <c r="AB268" i="24"/>
  <c r="AB250" i="24" s="1"/>
  <c r="Y268" i="24"/>
  <c r="X268" i="24"/>
  <c r="W268" i="24"/>
  <c r="V268" i="24"/>
  <c r="U268" i="24"/>
  <c r="T268" i="24"/>
  <c r="S268" i="24"/>
  <c r="R268" i="24"/>
  <c r="AA266" i="24"/>
  <c r="T266" i="24"/>
  <c r="Q266" i="24"/>
  <c r="AA265" i="24"/>
  <c r="T265" i="24"/>
  <c r="T264" i="24" s="1"/>
  <c r="T263" i="24" s="1"/>
  <c r="R265" i="24"/>
  <c r="Q265" i="24"/>
  <c r="P265" i="24"/>
  <c r="AE264" i="24"/>
  <c r="AE263" i="24" s="1"/>
  <c r="AD264" i="24"/>
  <c r="AC264" i="24"/>
  <c r="AB264" i="24"/>
  <c r="AB263" i="24" s="1"/>
  <c r="Y264" i="24"/>
  <c r="X264" i="24"/>
  <c r="W264" i="24"/>
  <c r="V264" i="24"/>
  <c r="V263" i="24" s="1"/>
  <c r="U264" i="24"/>
  <c r="S264" i="24"/>
  <c r="R264" i="24"/>
  <c r="AQ263" i="24"/>
  <c r="AH263" i="24"/>
  <c r="AG263" i="24"/>
  <c r="AD263" i="24"/>
  <c r="AC263" i="24"/>
  <c r="AA263" i="24"/>
  <c r="Z263" i="24"/>
  <c r="Y263" i="24"/>
  <c r="X263" i="24"/>
  <c r="W263" i="24"/>
  <c r="U263" i="24"/>
  <c r="S263" i="24"/>
  <c r="Q263" i="24"/>
  <c r="P263" i="24"/>
  <c r="O263" i="24"/>
  <c r="N263" i="24"/>
  <c r="M263" i="24"/>
  <c r="L263" i="24"/>
  <c r="J263" i="24" s="1"/>
  <c r="AF262" i="24"/>
  <c r="AF261" i="24" s="1"/>
  <c r="AF260" i="24" s="1"/>
  <c r="AA262" i="24"/>
  <c r="V262" i="24"/>
  <c r="V261" i="24" s="1"/>
  <c r="V260" i="24" s="1"/>
  <c r="R262" i="24"/>
  <c r="R261" i="24" s="1"/>
  <c r="R260" i="24" s="1"/>
  <c r="Q262" i="24"/>
  <c r="P262" i="24" s="1"/>
  <c r="AO261" i="24"/>
  <c r="AO260" i="24" s="1"/>
  <c r="AN261" i="24"/>
  <c r="AM261" i="24"/>
  <c r="AM260" i="24" s="1"/>
  <c r="AL261" i="24"/>
  <c r="AK261" i="24"/>
  <c r="AK260" i="24" s="1"/>
  <c r="AJ261" i="24"/>
  <c r="AJ260" i="24" s="1"/>
  <c r="AI261" i="24"/>
  <c r="AI260" i="24" s="1"/>
  <c r="AH261" i="24"/>
  <c r="AG261" i="24"/>
  <c r="AG260" i="24" s="1"/>
  <c r="AE261" i="24"/>
  <c r="AE260" i="24" s="1"/>
  <c r="AD261" i="24"/>
  <c r="AC261" i="24"/>
  <c r="AC260" i="24" s="1"/>
  <c r="AB261" i="24"/>
  <c r="AA261" i="24"/>
  <c r="AA260" i="24" s="1"/>
  <c r="Y261" i="24"/>
  <c r="Y260" i="24" s="1"/>
  <c r="W261" i="24"/>
  <c r="U261" i="24"/>
  <c r="T261" i="24"/>
  <c r="T260" i="24" s="1"/>
  <c r="S261" i="24"/>
  <c r="S260" i="24" s="1"/>
  <c r="Q261" i="24"/>
  <c r="AN260" i="24"/>
  <c r="AN249" i="24" s="1"/>
  <c r="AL260" i="24"/>
  <c r="AH260" i="24"/>
  <c r="AD260" i="24"/>
  <c r="AB260" i="24"/>
  <c r="X260" i="24"/>
  <c r="W260" i="24"/>
  <c r="U260" i="24"/>
  <c r="Q260" i="24"/>
  <c r="P260" i="24"/>
  <c r="M260" i="24"/>
  <c r="L260" i="24"/>
  <c r="J260" i="24" s="1"/>
  <c r="AA258" i="24"/>
  <c r="X258" i="24"/>
  <c r="V258" i="24"/>
  <c r="Q258" i="24"/>
  <c r="AA257" i="24"/>
  <c r="Q257" i="24"/>
  <c r="P257" i="24" s="1"/>
  <c r="AE256" i="24"/>
  <c r="AE255" i="24" s="1"/>
  <c r="AD256" i="24"/>
  <c r="AC256" i="24"/>
  <c r="AB256" i="24"/>
  <c r="AA256" i="24"/>
  <c r="AA255" i="24" s="1"/>
  <c r="Y256" i="24"/>
  <c r="X256" i="24"/>
  <c r="W256" i="24"/>
  <c r="V256" i="24"/>
  <c r="V255" i="24" s="1"/>
  <c r="U256" i="24"/>
  <c r="T256" i="24"/>
  <c r="S256" i="24"/>
  <c r="R256" i="24"/>
  <c r="R255" i="24" s="1"/>
  <c r="AO255" i="24"/>
  <c r="AN255" i="24"/>
  <c r="AM255" i="24"/>
  <c r="AL255" i="24"/>
  <c r="AK255" i="24"/>
  <c r="AJ255" i="24"/>
  <c r="AI255" i="24"/>
  <c r="AH255" i="24"/>
  <c r="AG255" i="24"/>
  <c r="AF255" i="24"/>
  <c r="AD255" i="24"/>
  <c r="AC255" i="24"/>
  <c r="AB255" i="24"/>
  <c r="Y255" i="24"/>
  <c r="X255" i="24"/>
  <c r="W255" i="24"/>
  <c r="U255" i="24"/>
  <c r="T255" i="24"/>
  <c r="S255" i="24"/>
  <c r="P255" i="24"/>
  <c r="P249" i="24" s="1"/>
  <c r="O255" i="24"/>
  <c r="N255" i="24"/>
  <c r="M255" i="24"/>
  <c r="L255" i="24"/>
  <c r="L249" i="24" s="1"/>
  <c r="AA254" i="24"/>
  <c r="AA253" i="24" s="1"/>
  <c r="Q254" i="24"/>
  <c r="AI253" i="24"/>
  <c r="AH253" i="24"/>
  <c r="AG253" i="24"/>
  <c r="AF253" i="24"/>
  <c r="AE253" i="24"/>
  <c r="AD253" i="24"/>
  <c r="AC253" i="24"/>
  <c r="AB253" i="24"/>
  <c r="Y253" i="24"/>
  <c r="Y252" i="24" s="1"/>
  <c r="X253" i="24"/>
  <c r="X252" i="24" s="1"/>
  <c r="X249" i="24" s="1"/>
  <c r="W253" i="24"/>
  <c r="W252" i="24" s="1"/>
  <c r="V253" i="24"/>
  <c r="U253" i="24"/>
  <c r="U252" i="24" s="1"/>
  <c r="T253" i="24"/>
  <c r="S253" i="24"/>
  <c r="S252" i="24" s="1"/>
  <c r="R253" i="24"/>
  <c r="Q253" i="24"/>
  <c r="AO252" i="24"/>
  <c r="AN252" i="24"/>
  <c r="AM252" i="24"/>
  <c r="AL252" i="24"/>
  <c r="AK252" i="24"/>
  <c r="AJ252" i="24"/>
  <c r="AI252" i="24"/>
  <c r="AH252" i="24"/>
  <c r="AH249" i="24" s="1"/>
  <c r="AG252" i="24"/>
  <c r="AF252" i="24"/>
  <c r="AE252" i="24"/>
  <c r="AD252" i="24"/>
  <c r="AC252" i="24"/>
  <c r="AB252" i="24"/>
  <c r="V252" i="24"/>
  <c r="T252" i="24"/>
  <c r="R252" i="24"/>
  <c r="O252" i="24"/>
  <c r="N252" i="24"/>
  <c r="N249" i="24" s="1"/>
  <c r="M252" i="24"/>
  <c r="M249" i="24" s="1"/>
  <c r="L252" i="24"/>
  <c r="L251" i="24"/>
  <c r="AM250" i="24"/>
  <c r="AL250" i="24"/>
  <c r="AJ250" i="24"/>
  <c r="AI250" i="24"/>
  <c r="AH250" i="24"/>
  <c r="AE250" i="24"/>
  <c r="AD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AJ249" i="24"/>
  <c r="O249" i="24"/>
  <c r="K249" i="24"/>
  <c r="J249" i="24" s="1"/>
  <c r="L248" i="24"/>
  <c r="AO246" i="24"/>
  <c r="AN246" i="24"/>
  <c r="AM246" i="24"/>
  <c r="AL246" i="24"/>
  <c r="AK246" i="24"/>
  <c r="AG246" i="24"/>
  <c r="AF246" i="24"/>
  <c r="AE246" i="24"/>
  <c r="AD246" i="24"/>
  <c r="AC246" i="24"/>
  <c r="AB246" i="24"/>
  <c r="Y246" i="24"/>
  <c r="Y245" i="24" s="1"/>
  <c r="X246" i="24"/>
  <c r="W246" i="24"/>
  <c r="V246" i="24"/>
  <c r="V245" i="24" s="1"/>
  <c r="U246" i="24"/>
  <c r="U245" i="24" s="1"/>
  <c r="T246" i="24"/>
  <c r="S246" i="24"/>
  <c r="R246" i="24"/>
  <c r="R245" i="24" s="1"/>
  <c r="O246" i="24"/>
  <c r="L246" i="24" s="1"/>
  <c r="AO245" i="24"/>
  <c r="AN245" i="24"/>
  <c r="AJ245" i="24"/>
  <c r="AI245" i="24"/>
  <c r="AH245" i="24"/>
  <c r="AG245" i="24"/>
  <c r="AF245" i="24"/>
  <c r="AE245" i="24"/>
  <c r="AD245" i="24"/>
  <c r="AC245" i="24"/>
  <c r="AB245" i="24"/>
  <c r="AA245" i="24"/>
  <c r="Z245" i="24"/>
  <c r="X245" i="24"/>
  <c r="W245" i="24"/>
  <c r="T245" i="24"/>
  <c r="S245" i="24"/>
  <c r="Q245" i="24"/>
  <c r="P245" i="24"/>
  <c r="O245" i="24"/>
  <c r="N245" i="24"/>
  <c r="M245" i="24"/>
  <c r="AA243" i="24"/>
  <c r="AA242" i="24" s="1"/>
  <c r="AA241" i="24" s="1"/>
  <c r="AA235" i="24" s="1"/>
  <c r="R243" i="24"/>
  <c r="P243" i="24" s="1"/>
  <c r="P242" i="24" s="1"/>
  <c r="P241" i="24" s="1"/>
  <c r="P235" i="24" s="1"/>
  <c r="Q243" i="24"/>
  <c r="Q242" i="24" s="1"/>
  <c r="Q241" i="24" s="1"/>
  <c r="L243" i="24"/>
  <c r="AO242" i="24"/>
  <c r="AN242" i="24"/>
  <c r="AM242" i="24"/>
  <c r="AL242" i="24"/>
  <c r="AK242" i="24"/>
  <c r="AG242" i="24"/>
  <c r="AG241" i="24" s="1"/>
  <c r="AF242" i="24"/>
  <c r="AE242" i="24"/>
  <c r="AE241" i="24" s="1"/>
  <c r="AE235" i="24" s="1"/>
  <c r="AD242" i="24"/>
  <c r="AC242" i="24"/>
  <c r="AC241" i="24" s="1"/>
  <c r="AC235" i="24" s="1"/>
  <c r="AB242" i="24"/>
  <c r="Y242" i="24"/>
  <c r="X242" i="24"/>
  <c r="W242" i="24"/>
  <c r="V242" i="24"/>
  <c r="V241" i="24" s="1"/>
  <c r="V235" i="24" s="1"/>
  <c r="U242" i="24"/>
  <c r="T242" i="24"/>
  <c r="S242" i="24"/>
  <c r="R242" i="24"/>
  <c r="R241" i="24" s="1"/>
  <c r="R235" i="24" s="1"/>
  <c r="O242" i="24"/>
  <c r="L242" i="24" s="1"/>
  <c r="L241" i="24" s="1"/>
  <c r="L235" i="24" s="1"/>
  <c r="J235" i="24" s="1"/>
  <c r="AO241" i="24"/>
  <c r="AN241" i="24"/>
  <c r="AN235" i="24" s="1"/>
  <c r="AJ241" i="24"/>
  <c r="AI241" i="24"/>
  <c r="AH241" i="24"/>
  <c r="AF241" i="24"/>
  <c r="AD241" i="24"/>
  <c r="AD235" i="24" s="1"/>
  <c r="AB241" i="24"/>
  <c r="AB235" i="24" s="1"/>
  <c r="Z241" i="24"/>
  <c r="Y241" i="24"/>
  <c r="Y235" i="24" s="1"/>
  <c r="X241" i="24"/>
  <c r="W241" i="24"/>
  <c r="U241" i="24"/>
  <c r="U235" i="24" s="1"/>
  <c r="T241" i="24"/>
  <c r="S241" i="24"/>
  <c r="O241" i="24"/>
  <c r="N241" i="24"/>
  <c r="M241" i="24"/>
  <c r="AO238" i="24"/>
  <c r="AN238" i="24"/>
  <c r="AM238" i="24"/>
  <c r="AL238" i="24"/>
  <c r="AK238" i="24"/>
  <c r="AJ238" i="24"/>
  <c r="AI238" i="24"/>
  <c r="AH238" i="24"/>
  <c r="AG238" i="24"/>
  <c r="AF238" i="24"/>
  <c r="AE238" i="24"/>
  <c r="AD238" i="24"/>
  <c r="AC238" i="24"/>
  <c r="AB238" i="24"/>
  <c r="AA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L237" i="24"/>
  <c r="L236" i="24"/>
  <c r="X235" i="24"/>
  <c r="W235" i="24"/>
  <c r="T235" i="24"/>
  <c r="S235" i="24"/>
  <c r="O235" i="24"/>
  <c r="N235" i="24"/>
  <c r="M235" i="24"/>
  <c r="K235" i="24"/>
  <c r="L234" i="24"/>
  <c r="AO232" i="24"/>
  <c r="AN232" i="24"/>
  <c r="AM232" i="24"/>
  <c r="AL232" i="24"/>
  <c r="AK232" i="24"/>
  <c r="AJ232" i="24"/>
  <c r="AI232" i="24"/>
  <c r="AH232" i="24"/>
  <c r="AG232" i="24"/>
  <c r="AF232" i="24"/>
  <c r="AE232" i="24"/>
  <c r="AD232" i="24"/>
  <c r="AC232" i="24"/>
  <c r="AB232" i="24"/>
  <c r="AA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M232" i="24"/>
  <c r="L232" i="24"/>
  <c r="AO230" i="24"/>
  <c r="AN230" i="24"/>
  <c r="AM230" i="24"/>
  <c r="AL230" i="24"/>
  <c r="AK230" i="24"/>
  <c r="AJ230" i="24"/>
  <c r="AI230" i="24"/>
  <c r="AH230" i="24"/>
  <c r="AG230" i="24"/>
  <c r="AF230" i="24"/>
  <c r="AE230" i="24"/>
  <c r="AD230" i="24"/>
  <c r="AC230" i="24"/>
  <c r="AB230" i="24"/>
  <c r="AA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AO228" i="24"/>
  <c r="AN228" i="24"/>
  <c r="AM228" i="24"/>
  <c r="AL228" i="24"/>
  <c r="AK228" i="24"/>
  <c r="AJ228" i="24"/>
  <c r="AJ209" i="24" s="1"/>
  <c r="AI228" i="24"/>
  <c r="AI209" i="24" s="1"/>
  <c r="AI161" i="24" s="1"/>
  <c r="AH228" i="24"/>
  <c r="AG228" i="24"/>
  <c r="AF228" i="24"/>
  <c r="AF209" i="24" s="1"/>
  <c r="AE228" i="24"/>
  <c r="AE209" i="24" s="1"/>
  <c r="AE161" i="24" s="1"/>
  <c r="AD228" i="24"/>
  <c r="AC228" i="24"/>
  <c r="AB228" i="24"/>
  <c r="AB209" i="24" s="1"/>
  <c r="AA228" i="24"/>
  <c r="AA209" i="24" s="1"/>
  <c r="Y228" i="24"/>
  <c r="X228" i="24"/>
  <c r="W228" i="24"/>
  <c r="W209" i="24" s="1"/>
  <c r="V228" i="24"/>
  <c r="V209" i="24" s="1"/>
  <c r="V161" i="24" s="1"/>
  <c r="U228" i="24"/>
  <c r="T228" i="24"/>
  <c r="S228" i="24"/>
  <c r="S209" i="24" s="1"/>
  <c r="R228" i="24"/>
  <c r="R209" i="24" s="1"/>
  <c r="R161" i="24" s="1"/>
  <c r="Q228" i="24"/>
  <c r="P228" i="24"/>
  <c r="O228" i="24"/>
  <c r="O209" i="24" s="1"/>
  <c r="N228" i="24"/>
  <c r="N209" i="24" s="1"/>
  <c r="M228" i="24"/>
  <c r="L228" i="24"/>
  <c r="Q227" i="24"/>
  <c r="Q226" i="24"/>
  <c r="Q225" i="24"/>
  <c r="Q224" i="24"/>
  <c r="AJ223" i="24"/>
  <c r="AJ222" i="24" s="1"/>
  <c r="AI223" i="24"/>
  <c r="AI222" i="24" s="1"/>
  <c r="AH223" i="24"/>
  <c r="AG223" i="24"/>
  <c r="AG222" i="24" s="1"/>
  <c r="AF223" i="24"/>
  <c r="AE223" i="24"/>
  <c r="AE222" i="24" s="1"/>
  <c r="AD223" i="24"/>
  <c r="AC223" i="24"/>
  <c r="AC222" i="24" s="1"/>
  <c r="AB223" i="24"/>
  <c r="AB222" i="24" s="1"/>
  <c r="AA223" i="24"/>
  <c r="AA222" i="24" s="1"/>
  <c r="Y223" i="24"/>
  <c r="W223" i="24"/>
  <c r="V223" i="24"/>
  <c r="V222" i="24" s="1"/>
  <c r="U223" i="24"/>
  <c r="T223" i="24"/>
  <c r="S223" i="24"/>
  <c r="R223" i="24"/>
  <c r="R222" i="24" s="1"/>
  <c r="Q223" i="24"/>
  <c r="Q222" i="24" s="1"/>
  <c r="AO222" i="24"/>
  <c r="AN222" i="24"/>
  <c r="AM222" i="24"/>
  <c r="AL222" i="24"/>
  <c r="AK222" i="24"/>
  <c r="AH222" i="24"/>
  <c r="AF222" i="24"/>
  <c r="AD222" i="24"/>
  <c r="Y222" i="24"/>
  <c r="X222" i="24"/>
  <c r="W222" i="24"/>
  <c r="U222" i="24"/>
  <c r="T222" i="24"/>
  <c r="S222" i="24"/>
  <c r="P222" i="24"/>
  <c r="O222" i="24"/>
  <c r="N222" i="24"/>
  <c r="M222" i="24"/>
  <c r="L222" i="24"/>
  <c r="Q221" i="24"/>
  <c r="Q220" i="24"/>
  <c r="Q219" i="24"/>
  <c r="Q218" i="24"/>
  <c r="Q217" i="24" s="1"/>
  <c r="AO217" i="24"/>
  <c r="AO216" i="24" s="1"/>
  <c r="AN217" i="24"/>
  <c r="AM217" i="24"/>
  <c r="AM216" i="24" s="1"/>
  <c r="AL217" i="24"/>
  <c r="AL216" i="24" s="1"/>
  <c r="AK217" i="24"/>
  <c r="AK216" i="24" s="1"/>
  <c r="AJ217" i="24"/>
  <c r="AI217" i="24"/>
  <c r="AI216" i="24" s="1"/>
  <c r="AH217" i="24"/>
  <c r="AH216" i="24" s="1"/>
  <c r="AG217" i="24"/>
  <c r="AG216" i="24" s="1"/>
  <c r="AF217" i="24"/>
  <c r="AE217" i="24"/>
  <c r="AE216" i="24" s="1"/>
  <c r="AD217" i="24"/>
  <c r="AD216" i="24" s="1"/>
  <c r="AD208" i="24" s="1"/>
  <c r="AC217" i="24"/>
  <c r="AC216" i="24" s="1"/>
  <c r="AB217" i="24"/>
  <c r="AA217" i="24"/>
  <c r="AA216" i="24" s="1"/>
  <c r="Y217" i="24"/>
  <c r="W217" i="24"/>
  <c r="V217" i="24"/>
  <c r="U217" i="24"/>
  <c r="T217" i="24"/>
  <c r="T216" i="24" s="1"/>
  <c r="S217" i="24"/>
  <c r="R217" i="24"/>
  <c r="AN216" i="24"/>
  <c r="AJ216" i="24"/>
  <c r="AF216" i="24"/>
  <c r="AB216" i="24"/>
  <c r="Y216" i="24"/>
  <c r="X216" i="24"/>
  <c r="W216" i="24"/>
  <c r="V216" i="24"/>
  <c r="U216" i="24"/>
  <c r="S216" i="24"/>
  <c r="R216" i="24"/>
  <c r="Q216" i="24"/>
  <c r="P216" i="24"/>
  <c r="O216" i="24"/>
  <c r="N216" i="24"/>
  <c r="M216" i="24"/>
  <c r="M208" i="24" s="1"/>
  <c r="M160" i="24" s="1"/>
  <c r="L216" i="24"/>
  <c r="AF214" i="24"/>
  <c r="AF212" i="24" s="1"/>
  <c r="AF211" i="24" s="1"/>
  <c r="AA214" i="24"/>
  <c r="U214" i="24"/>
  <c r="AA213" i="24"/>
  <c r="V213" i="24"/>
  <c r="Q213" i="24" s="1"/>
  <c r="AO212" i="24"/>
  <c r="AO211" i="24" s="1"/>
  <c r="AO208" i="24" s="1"/>
  <c r="AN212" i="24"/>
  <c r="AM212" i="24"/>
  <c r="AL212" i="24"/>
  <c r="AK212" i="24"/>
  <c r="AJ212" i="24"/>
  <c r="AI212" i="24"/>
  <c r="AH212" i="24"/>
  <c r="AG212" i="24"/>
  <c r="AG211" i="24" s="1"/>
  <c r="AG208" i="24" s="1"/>
  <c r="AE212" i="24"/>
  <c r="AD212" i="24"/>
  <c r="AC212" i="24"/>
  <c r="AB212" i="24"/>
  <c r="AB211" i="24" s="1"/>
  <c r="AB208" i="24" s="1"/>
  <c r="Y212" i="24"/>
  <c r="Y211" i="24" s="1"/>
  <c r="X212" i="24"/>
  <c r="W212" i="24"/>
  <c r="W211" i="24" s="1"/>
  <c r="U212" i="24"/>
  <c r="U211" i="24" s="1"/>
  <c r="S212" i="24"/>
  <c r="S211" i="24" s="1"/>
  <c r="S208" i="24" s="1"/>
  <c r="R212" i="24"/>
  <c r="R211" i="24" s="1"/>
  <c r="R208" i="24" s="1"/>
  <c r="AN211" i="24"/>
  <c r="AN208" i="24" s="1"/>
  <c r="AJ211" i="24"/>
  <c r="AJ208" i="24" s="1"/>
  <c r="AI211" i="24"/>
  <c r="AH211" i="24"/>
  <c r="AE211" i="24"/>
  <c r="AD211" i="24"/>
  <c r="AC211" i="24"/>
  <c r="AA211" i="24"/>
  <c r="X211" i="24"/>
  <c r="Q211" i="24"/>
  <c r="P211" i="24"/>
  <c r="AM211" i="24" s="1"/>
  <c r="AM208" i="24" s="1"/>
  <c r="O211" i="24"/>
  <c r="N211" i="24"/>
  <c r="N208" i="24" s="1"/>
  <c r="M211" i="24"/>
  <c r="L211" i="24"/>
  <c r="L208" i="24" s="1"/>
  <c r="AH209" i="24"/>
  <c r="AH161" i="24" s="1"/>
  <c r="AG209" i="24"/>
  <c r="AD209" i="24"/>
  <c r="AC209" i="24"/>
  <c r="Y209" i="24"/>
  <c r="Y161" i="24" s="1"/>
  <c r="X209" i="24"/>
  <c r="U209" i="24"/>
  <c r="T209" i="24"/>
  <c r="Q209" i="24"/>
  <c r="Q161" i="24" s="1"/>
  <c r="P209" i="24"/>
  <c r="M209" i="24"/>
  <c r="L209" i="24"/>
  <c r="L161" i="24" s="1"/>
  <c r="AH208" i="24"/>
  <c r="O208" i="24"/>
  <c r="K208" i="24"/>
  <c r="J208" i="24"/>
  <c r="P204" i="24"/>
  <c r="P201" i="24"/>
  <c r="P198" i="24"/>
  <c r="AA196" i="24"/>
  <c r="X196" i="24"/>
  <c r="Q196" i="24"/>
  <c r="AA195" i="24"/>
  <c r="X195" i="24"/>
  <c r="Q195" i="24"/>
  <c r="AA194" i="24"/>
  <c r="AA193" i="24"/>
  <c r="T193" i="24"/>
  <c r="R193" i="24"/>
  <c r="Q193" i="24"/>
  <c r="X192" i="24"/>
  <c r="Q192" i="24"/>
  <c r="AJ191" i="24"/>
  <c r="AJ190" i="24" s="1"/>
  <c r="AI191" i="24"/>
  <c r="AI190" i="24" s="1"/>
  <c r="AH191" i="24"/>
  <c r="AH190" i="24" s="1"/>
  <c r="AG191" i="24"/>
  <c r="AF191" i="24"/>
  <c r="AF190" i="24" s="1"/>
  <c r="AE191" i="24"/>
  <c r="AE190" i="24" s="1"/>
  <c r="AD191" i="24"/>
  <c r="AD190" i="24" s="1"/>
  <c r="AC191" i="24"/>
  <c r="AB191" i="24"/>
  <c r="AB190" i="24" s="1"/>
  <c r="S191" i="24"/>
  <c r="S190" i="24" s="1"/>
  <c r="R191" i="24"/>
  <c r="AO190" i="24"/>
  <c r="AN190" i="24"/>
  <c r="AM190" i="24"/>
  <c r="AL190" i="24"/>
  <c r="AK190" i="24"/>
  <c r="AG190" i="24"/>
  <c r="AC190" i="24"/>
  <c r="Y190" i="24"/>
  <c r="X190" i="24"/>
  <c r="W190" i="24"/>
  <c r="V190" i="24"/>
  <c r="U190" i="24"/>
  <c r="T190" i="24"/>
  <c r="R190" i="24"/>
  <c r="Q190" i="24"/>
  <c r="P190" i="24"/>
  <c r="O190" i="24"/>
  <c r="N190" i="24"/>
  <c r="M190" i="24"/>
  <c r="L190" i="24"/>
  <c r="AA189" i="24"/>
  <c r="Q189" i="24"/>
  <c r="AG188" i="24"/>
  <c r="AF188" i="24"/>
  <c r="AE188" i="24"/>
  <c r="AD188" i="24"/>
  <c r="AC188" i="24"/>
  <c r="AB188" i="24"/>
  <c r="AA188" i="24"/>
  <c r="Y188" i="24"/>
  <c r="Y187" i="24" s="1"/>
  <c r="X188" i="24"/>
  <c r="W188" i="24"/>
  <c r="W187" i="24" s="1"/>
  <c r="V188" i="24"/>
  <c r="V187" i="24" s="1"/>
  <c r="U188" i="24"/>
  <c r="U187" i="24" s="1"/>
  <c r="T188" i="24"/>
  <c r="S188" i="24"/>
  <c r="S187" i="24" s="1"/>
  <c r="R188" i="24"/>
  <c r="Q188" i="24"/>
  <c r="AO187" i="24"/>
  <c r="AN187" i="24"/>
  <c r="AM187" i="24"/>
  <c r="AL187" i="24"/>
  <c r="AK187" i="24"/>
  <c r="AJ187" i="24"/>
  <c r="AI187" i="24"/>
  <c r="AH187" i="24"/>
  <c r="AG187" i="24"/>
  <c r="AF187" i="24"/>
  <c r="AE187" i="24"/>
  <c r="AD187" i="24"/>
  <c r="AC187" i="24"/>
  <c r="AB187" i="24"/>
  <c r="X187" i="24"/>
  <c r="T187" i="24"/>
  <c r="R187" i="24"/>
  <c r="O187" i="24"/>
  <c r="N187" i="24"/>
  <c r="M187" i="24"/>
  <c r="L187" i="24"/>
  <c r="AA186" i="24"/>
  <c r="AA184" i="24" s="1"/>
  <c r="AA183" i="24" s="1"/>
  <c r="Q186" i="24"/>
  <c r="AE184" i="24"/>
  <c r="AD184" i="24"/>
  <c r="AD183" i="24" s="1"/>
  <c r="AC184" i="24"/>
  <c r="AB184" i="24"/>
  <c r="AB183" i="24" s="1"/>
  <c r="Y184" i="24"/>
  <c r="Y183" i="24" s="1"/>
  <c r="X184" i="24"/>
  <c r="X183" i="24" s="1"/>
  <c r="W184" i="24"/>
  <c r="V184" i="24"/>
  <c r="U184" i="24"/>
  <c r="U183" i="24" s="1"/>
  <c r="T184" i="24"/>
  <c r="T183" i="24" s="1"/>
  <c r="AO183" i="24"/>
  <c r="AN183" i="24"/>
  <c r="AM183" i="24"/>
  <c r="AL183" i="24"/>
  <c r="AK183" i="24"/>
  <c r="AJ183" i="24"/>
  <c r="AI183" i="24"/>
  <c r="AH183" i="24"/>
  <c r="AG183" i="24"/>
  <c r="AF183" i="24"/>
  <c r="AE183" i="24"/>
  <c r="AC183" i="24"/>
  <c r="Z183" i="24"/>
  <c r="W183" i="24"/>
  <c r="V183" i="24"/>
  <c r="S183" i="24"/>
  <c r="R183" i="24"/>
  <c r="Q183" i="24"/>
  <c r="Q163" i="24" s="1"/>
  <c r="Q159" i="24" s="1"/>
  <c r="P183" i="24"/>
  <c r="O183" i="24"/>
  <c r="N183" i="24"/>
  <c r="M183" i="24"/>
  <c r="L183" i="24"/>
  <c r="AF182" i="24"/>
  <c r="R182" i="24"/>
  <c r="Q182" i="24"/>
  <c r="AA181" i="24"/>
  <c r="AF180" i="24"/>
  <c r="AA180" i="24"/>
  <c r="Q180" i="24"/>
  <c r="AF179" i="24"/>
  <c r="AA179" i="24"/>
  <c r="AA175" i="24" s="1"/>
  <c r="AA174" i="24" s="1"/>
  <c r="R179" i="24"/>
  <c r="Q179" i="24"/>
  <c r="AF178" i="24"/>
  <c r="Q178" i="24"/>
  <c r="AF177" i="24"/>
  <c r="Q177" i="24"/>
  <c r="AF176" i="24"/>
  <c r="R176" i="24"/>
  <c r="R175" i="24" s="1"/>
  <c r="R174" i="24" s="1"/>
  <c r="Q176" i="24"/>
  <c r="AO175" i="24"/>
  <c r="AO174" i="24" s="1"/>
  <c r="AN175" i="24"/>
  <c r="AN174" i="24" s="1"/>
  <c r="AM175" i="24"/>
  <c r="AL175" i="24"/>
  <c r="AK175" i="24"/>
  <c r="AH175" i="24"/>
  <c r="AH174" i="24" s="1"/>
  <c r="AG175" i="24"/>
  <c r="AE175" i="24"/>
  <c r="AE174" i="24" s="1"/>
  <c r="AD175" i="24"/>
  <c r="AC175" i="24"/>
  <c r="AC174" i="24" s="1"/>
  <c r="AB175" i="24"/>
  <c r="Y175" i="24"/>
  <c r="Y174" i="24" s="1"/>
  <c r="W175" i="24"/>
  <c r="W174" i="24" s="1"/>
  <c r="V175" i="24"/>
  <c r="U175" i="24"/>
  <c r="T175" i="24"/>
  <c r="T174" i="24" s="1"/>
  <c r="S175" i="24"/>
  <c r="AL174" i="24"/>
  <c r="AJ174" i="24"/>
  <c r="AI174" i="24"/>
  <c r="AD174" i="24"/>
  <c r="AB174" i="24"/>
  <c r="X174" i="24"/>
  <c r="V174" i="24"/>
  <c r="U174" i="24"/>
  <c r="S174" i="24"/>
  <c r="Q174" i="24"/>
  <c r="AM174" i="24" s="1"/>
  <c r="O174" i="24"/>
  <c r="N174" i="24"/>
  <c r="M174" i="24"/>
  <c r="M163" i="24" s="1"/>
  <c r="M159" i="24" s="1"/>
  <c r="L174" i="24"/>
  <c r="J174" i="24" s="1"/>
  <c r="J163" i="24" s="1"/>
  <c r="J159" i="24" s="1"/>
  <c r="AA172" i="24"/>
  <c r="R172" i="24"/>
  <c r="Q172" i="24"/>
  <c r="AG171" i="24"/>
  <c r="AF171" i="24"/>
  <c r="AE171" i="24"/>
  <c r="AD171" i="24"/>
  <c r="AD170" i="24" s="1"/>
  <c r="AC171" i="24"/>
  <c r="AB171" i="24"/>
  <c r="Y171" i="24"/>
  <c r="X171" i="24"/>
  <c r="X170" i="24" s="1"/>
  <c r="W171" i="24"/>
  <c r="V171" i="24"/>
  <c r="V170" i="24" s="1"/>
  <c r="U171" i="24"/>
  <c r="T171" i="24"/>
  <c r="T170" i="24" s="1"/>
  <c r="S171" i="24"/>
  <c r="S170" i="24" s="1"/>
  <c r="R171" i="24"/>
  <c r="R170" i="24" s="1"/>
  <c r="AO170" i="24"/>
  <c r="AN170" i="24"/>
  <c r="AN163" i="24" s="1"/>
  <c r="AN159" i="24" s="1"/>
  <c r="AJ170" i="24"/>
  <c r="AI170" i="24"/>
  <c r="AH170" i="24"/>
  <c r="AG170" i="24"/>
  <c r="AF170" i="24"/>
  <c r="AE170" i="24"/>
  <c r="AC170" i="24"/>
  <c r="AB170" i="24"/>
  <c r="AA170" i="24"/>
  <c r="Y170" i="24"/>
  <c r="W170" i="24"/>
  <c r="U170" i="24"/>
  <c r="Q170" i="24"/>
  <c r="P170" i="24"/>
  <c r="O170" i="24"/>
  <c r="O163" i="24" s="1"/>
  <c r="N170" i="24"/>
  <c r="M170" i="24"/>
  <c r="L170" i="24"/>
  <c r="K170" i="24"/>
  <c r="AA169" i="24"/>
  <c r="T169" i="24"/>
  <c r="T168" i="24" s="1"/>
  <c r="T167" i="24" s="1"/>
  <c r="R169" i="24"/>
  <c r="R168" i="24" s="1"/>
  <c r="Q169" i="24"/>
  <c r="Q168" i="24" s="1"/>
  <c r="AK168" i="24"/>
  <c r="AJ168" i="24"/>
  <c r="AI168" i="24"/>
  <c r="AH168" i="24"/>
  <c r="AH167" i="24" s="1"/>
  <c r="AG168" i="24"/>
  <c r="AF168" i="24"/>
  <c r="AE168" i="24"/>
  <c r="AD168" i="24"/>
  <c r="AD167" i="24" s="1"/>
  <c r="AC168" i="24"/>
  <c r="AB168" i="24"/>
  <c r="AA168" i="24"/>
  <c r="Y168" i="24"/>
  <c r="Y167" i="24" s="1"/>
  <c r="X168" i="24"/>
  <c r="W168" i="24"/>
  <c r="W167" i="24" s="1"/>
  <c r="V168" i="24"/>
  <c r="V167" i="24" s="1"/>
  <c r="V163" i="24" s="1"/>
  <c r="V159" i="24" s="1"/>
  <c r="U168" i="24"/>
  <c r="U167" i="24" s="1"/>
  <c r="S168" i="24"/>
  <c r="S167" i="24" s="1"/>
  <c r="AO167" i="24"/>
  <c r="AO163" i="24" s="1"/>
  <c r="AO159" i="24" s="1"/>
  <c r="AN167" i="24"/>
  <c r="AM167" i="24"/>
  <c r="AK167" i="24"/>
  <c r="AL167" i="24" s="1"/>
  <c r="AJ167" i="24"/>
  <c r="AI167" i="24"/>
  <c r="AI163" i="24" s="1"/>
  <c r="AI159" i="24" s="1"/>
  <c r="AG167" i="24"/>
  <c r="AF167" i="24"/>
  <c r="AE167" i="24"/>
  <c r="AC167" i="24"/>
  <c r="AB167" i="24"/>
  <c r="X167" i="24"/>
  <c r="R167" i="24"/>
  <c r="O167" i="24"/>
  <c r="N167" i="24"/>
  <c r="N163" i="24" s="1"/>
  <c r="N159" i="24" s="1"/>
  <c r="M167" i="24"/>
  <c r="L167" i="24"/>
  <c r="L166" i="24"/>
  <c r="P165" i="24"/>
  <c r="P161" i="24" s="1"/>
  <c r="N165" i="24"/>
  <c r="N161" i="24" s="1"/>
  <c r="M165" i="24"/>
  <c r="L165" i="24"/>
  <c r="L164" i="24"/>
  <c r="AH163" i="24"/>
  <c r="AH159" i="24" s="1"/>
  <c r="K163" i="24"/>
  <c r="K159" i="24" s="1"/>
  <c r="K158" i="24" s="1"/>
  <c r="AO162" i="24"/>
  <c r="AN162" i="24"/>
  <c r="AM162" i="24"/>
  <c r="AL162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K162" i="24"/>
  <c r="J162" i="24"/>
  <c r="AO161" i="24"/>
  <c r="AN161" i="24"/>
  <c r="AM161" i="24"/>
  <c r="AL161" i="24"/>
  <c r="AK161" i="24"/>
  <c r="AJ161" i="24"/>
  <c r="AG161" i="24"/>
  <c r="AF161" i="24"/>
  <c r="AD161" i="24"/>
  <c r="AB161" i="24"/>
  <c r="X161" i="24"/>
  <c r="W161" i="24"/>
  <c r="U161" i="24"/>
  <c r="T161" i="24"/>
  <c r="S161" i="24"/>
  <c r="O161" i="24"/>
  <c r="M161" i="24"/>
  <c r="K161" i="24"/>
  <c r="J161" i="24"/>
  <c r="O160" i="24"/>
  <c r="O158" i="24" s="1"/>
  <c r="K160" i="24"/>
  <c r="O159" i="24"/>
  <c r="AQ158" i="24"/>
  <c r="Z158" i="24"/>
  <c r="AA154" i="24"/>
  <c r="R154" i="24"/>
  <c r="R152" i="24" s="1"/>
  <c r="R151" i="24" s="1"/>
  <c r="Q154" i="24"/>
  <c r="AA153" i="24"/>
  <c r="AA152" i="24" s="1"/>
  <c r="AA151" i="24" s="1"/>
  <c r="T153" i="24"/>
  <c r="Q153" i="24"/>
  <c r="AE152" i="24"/>
  <c r="AE151" i="24" s="1"/>
  <c r="AD152" i="24"/>
  <c r="AD151" i="24" s="1"/>
  <c r="AC152" i="24"/>
  <c r="AC151" i="24" s="1"/>
  <c r="AB152" i="24"/>
  <c r="AB151" i="24" s="1"/>
  <c r="Y152" i="24"/>
  <c r="Y151" i="24" s="1"/>
  <c r="X152" i="24"/>
  <c r="X151" i="24" s="1"/>
  <c r="W152" i="24"/>
  <c r="W151" i="24" s="1"/>
  <c r="V152" i="24"/>
  <c r="V151" i="24" s="1"/>
  <c r="U152" i="24"/>
  <c r="T152" i="24"/>
  <c r="T151" i="24" s="1"/>
  <c r="S152" i="24"/>
  <c r="S151" i="24" s="1"/>
  <c r="AO151" i="24"/>
  <c r="AN151" i="24"/>
  <c r="AJ151" i="24"/>
  <c r="AI151" i="24"/>
  <c r="AH151" i="24"/>
  <c r="AG151" i="24"/>
  <c r="AF151" i="24"/>
  <c r="U151" i="24"/>
  <c r="Q151" i="24"/>
  <c r="P151" i="24"/>
  <c r="AK151" i="24" s="1"/>
  <c r="AL151" i="24" s="1"/>
  <c r="O151" i="24"/>
  <c r="N151" i="24"/>
  <c r="M151" i="24"/>
  <c r="L151" i="24"/>
  <c r="AA149" i="24"/>
  <c r="R149" i="24"/>
  <c r="R147" i="24" s="1"/>
  <c r="R146" i="24" s="1"/>
  <c r="Q149" i="24"/>
  <c r="AA148" i="24"/>
  <c r="T148" i="24"/>
  <c r="T147" i="24" s="1"/>
  <c r="T146" i="24" s="1"/>
  <c r="Q148" i="24"/>
  <c r="AE147" i="24"/>
  <c r="AE146" i="24" s="1"/>
  <c r="AD147" i="24"/>
  <c r="AD146" i="24" s="1"/>
  <c r="AC147" i="24"/>
  <c r="AC146" i="24" s="1"/>
  <c r="AB147" i="24"/>
  <c r="Y147" i="24"/>
  <c r="Y146" i="24" s="1"/>
  <c r="X147" i="24"/>
  <c r="X146" i="24" s="1"/>
  <c r="W147" i="24"/>
  <c r="W146" i="24" s="1"/>
  <c r="V147" i="24"/>
  <c r="V146" i="24" s="1"/>
  <c r="U147" i="24"/>
  <c r="U146" i="24" s="1"/>
  <c r="S147" i="24"/>
  <c r="S146" i="24" s="1"/>
  <c r="AO146" i="24"/>
  <c r="AN146" i="24"/>
  <c r="AJ146" i="24"/>
  <c r="AI146" i="24"/>
  <c r="AH146" i="24"/>
  <c r="AG146" i="24"/>
  <c r="AF146" i="24"/>
  <c r="AB146" i="24"/>
  <c r="Q146" i="24"/>
  <c r="AM146" i="24" s="1"/>
  <c r="P146" i="24"/>
  <c r="O146" i="24"/>
  <c r="N146" i="24"/>
  <c r="M146" i="24"/>
  <c r="L146" i="24"/>
  <c r="AA144" i="24"/>
  <c r="R144" i="24"/>
  <c r="Q144" i="24"/>
  <c r="AA143" i="24"/>
  <c r="T143" i="24"/>
  <c r="Q143" i="24"/>
  <c r="AE142" i="24"/>
  <c r="AE141" i="24" s="1"/>
  <c r="AD142" i="24"/>
  <c r="AC142" i="24"/>
  <c r="AC141" i="24" s="1"/>
  <c r="AB142" i="24"/>
  <c r="AB141" i="24" s="1"/>
  <c r="AB130" i="24" s="1"/>
  <c r="AA142" i="24"/>
  <c r="AA141" i="24" s="1"/>
  <c r="AA130" i="24" s="1"/>
  <c r="Y142" i="24"/>
  <c r="Y141" i="24" s="1"/>
  <c r="X142" i="24"/>
  <c r="X141" i="24" s="1"/>
  <c r="W142" i="24"/>
  <c r="W141" i="24" s="1"/>
  <c r="V142" i="24"/>
  <c r="V141" i="24" s="1"/>
  <c r="U142" i="24"/>
  <c r="T142" i="24"/>
  <c r="T141" i="24" s="1"/>
  <c r="S142" i="24"/>
  <c r="R142" i="24"/>
  <c r="R141" i="24" s="1"/>
  <c r="R130" i="24" s="1"/>
  <c r="AO141" i="24"/>
  <c r="AO130" i="24" s="1"/>
  <c r="AN141" i="24"/>
  <c r="AJ141" i="24"/>
  <c r="AI141" i="24"/>
  <c r="AI130" i="24" s="1"/>
  <c r="AI120" i="24" s="1"/>
  <c r="AH141" i="24"/>
  <c r="AH130" i="24" s="1"/>
  <c r="AG141" i="24"/>
  <c r="AF141" i="24"/>
  <c r="AD141" i="24"/>
  <c r="U141" i="24"/>
  <c r="S141" i="24"/>
  <c r="S130" i="24" s="1"/>
  <c r="Q141" i="24"/>
  <c r="P141" i="24"/>
  <c r="P130" i="24" s="1"/>
  <c r="O141" i="24"/>
  <c r="O130" i="24" s="1"/>
  <c r="N141" i="24"/>
  <c r="N130" i="24" s="1"/>
  <c r="M141" i="24"/>
  <c r="L141" i="24"/>
  <c r="AA139" i="24"/>
  <c r="AA137" i="24" s="1"/>
  <c r="Q139" i="24"/>
  <c r="Q137" i="24" s="1"/>
  <c r="Z137" i="24"/>
  <c r="Y137" i="24"/>
  <c r="X137" i="24"/>
  <c r="W137" i="24"/>
  <c r="V137" i="24"/>
  <c r="U137" i="24"/>
  <c r="T137" i="24"/>
  <c r="S137" i="24"/>
  <c r="R137" i="24"/>
  <c r="P137" i="24"/>
  <c r="AA135" i="24"/>
  <c r="Q135" i="24"/>
  <c r="Q133" i="24" s="1"/>
  <c r="AA133" i="24"/>
  <c r="Z133" i="24"/>
  <c r="Y133" i="24"/>
  <c r="X133" i="24"/>
  <c r="W133" i="24"/>
  <c r="V133" i="24"/>
  <c r="U133" i="24"/>
  <c r="T133" i="24"/>
  <c r="S133" i="24"/>
  <c r="R133" i="24"/>
  <c r="P133" i="24"/>
  <c r="L132" i="24"/>
  <c r="L131" i="24"/>
  <c r="AN130" i="24"/>
  <c r="AJ130" i="24"/>
  <c r="AJ120" i="24" s="1"/>
  <c r="AG130" i="24"/>
  <c r="AG120" i="24" s="1"/>
  <c r="AF130" i="24"/>
  <c r="AF120" i="24" s="1"/>
  <c r="AD130" i="24"/>
  <c r="AD120" i="24" s="1"/>
  <c r="Y130" i="24"/>
  <c r="U130" i="24"/>
  <c r="Q130" i="24"/>
  <c r="M130" i="24"/>
  <c r="L130" i="24"/>
  <c r="J130" i="24"/>
  <c r="L129" i="24"/>
  <c r="K129" i="24"/>
  <c r="AA128" i="24"/>
  <c r="T128" i="24"/>
  <c r="T127" i="24" s="1"/>
  <c r="T126" i="24" s="1"/>
  <c r="R128" i="24"/>
  <c r="Q128" i="24"/>
  <c r="AI127" i="24"/>
  <c r="AI126" i="24" s="1"/>
  <c r="AH127" i="24"/>
  <c r="AG127" i="24"/>
  <c r="AF127" i="24"/>
  <c r="AF126" i="24" s="1"/>
  <c r="AE127" i="24"/>
  <c r="AE126" i="24" s="1"/>
  <c r="AD127" i="24"/>
  <c r="AC127" i="24"/>
  <c r="AB127" i="24"/>
  <c r="AB126" i="24" s="1"/>
  <c r="AA127" i="24"/>
  <c r="AA126" i="24" s="1"/>
  <c r="Y127" i="24"/>
  <c r="X127" i="24"/>
  <c r="W127" i="24"/>
  <c r="W126" i="24" s="1"/>
  <c r="V127" i="24"/>
  <c r="V126" i="24" s="1"/>
  <c r="U127" i="24"/>
  <c r="S127" i="24"/>
  <c r="S126" i="24" s="1"/>
  <c r="R127" i="24"/>
  <c r="R126" i="24" s="1"/>
  <c r="Q127" i="24"/>
  <c r="AO126" i="24"/>
  <c r="AN126" i="24"/>
  <c r="AM126" i="24"/>
  <c r="AL126" i="24"/>
  <c r="AK126" i="24"/>
  <c r="AJ126" i="24"/>
  <c r="AH126" i="24"/>
  <c r="AG126" i="24"/>
  <c r="AD126" i="24"/>
  <c r="AC126" i="24"/>
  <c r="Y126" i="24"/>
  <c r="X126" i="24"/>
  <c r="U126" i="24"/>
  <c r="O126" i="24"/>
  <c r="N126" i="24"/>
  <c r="M126" i="24"/>
  <c r="L126" i="24"/>
  <c r="AJ125" i="24"/>
  <c r="AI125" i="24"/>
  <c r="AI121" i="24" s="1"/>
  <c r="AH125" i="24"/>
  <c r="AG125" i="24"/>
  <c r="AG121" i="24" s="1"/>
  <c r="AF125" i="24"/>
  <c r="AF121" i="24" s="1"/>
  <c r="AD125" i="24"/>
  <c r="AD121" i="24" s="1"/>
  <c r="Y125" i="24"/>
  <c r="P125" i="24"/>
  <c r="P121" i="24" s="1"/>
  <c r="V124" i="24"/>
  <c r="U124" i="24"/>
  <c r="T124" i="24" s="1"/>
  <c r="T122" i="24" s="1"/>
  <c r="Q124" i="24"/>
  <c r="AA123" i="24"/>
  <c r="V123" i="24"/>
  <c r="Q123" i="24"/>
  <c r="AD122" i="24"/>
  <c r="AC122" i="24"/>
  <c r="AB122" i="24"/>
  <c r="AB121" i="24" s="1"/>
  <c r="Y122" i="24"/>
  <c r="X122" i="24"/>
  <c r="W122" i="24"/>
  <c r="V122" i="24"/>
  <c r="S122" i="24"/>
  <c r="R122" i="24"/>
  <c r="AO121" i="24"/>
  <c r="AN121" i="24"/>
  <c r="AM121" i="24"/>
  <c r="AL121" i="24"/>
  <c r="AJ121" i="24"/>
  <c r="AH121" i="24"/>
  <c r="Y121" i="24"/>
  <c r="S121" i="24"/>
  <c r="R121" i="24"/>
  <c r="Q121" i="24"/>
  <c r="O121" i="24"/>
  <c r="N121" i="24"/>
  <c r="M121" i="24"/>
  <c r="L121" i="24"/>
  <c r="AH120" i="24"/>
  <c r="Y120" i="24"/>
  <c r="R119" i="24"/>
  <c r="R118" i="24" s="1"/>
  <c r="R117" i="24" s="1"/>
  <c r="Q119" i="24"/>
  <c r="AJ118" i="24"/>
  <c r="AI118" i="24"/>
  <c r="AH118" i="24"/>
  <c r="AG118" i="24"/>
  <c r="AF118" i="24"/>
  <c r="AE118" i="24"/>
  <c r="AD118" i="24"/>
  <c r="AC118" i="24"/>
  <c r="AB118" i="24"/>
  <c r="AA118" i="24"/>
  <c r="Y118" i="24"/>
  <c r="X118" i="24"/>
  <c r="W118" i="24"/>
  <c r="V118" i="24"/>
  <c r="U118" i="24"/>
  <c r="T118" i="24"/>
  <c r="S118" i="24"/>
  <c r="AO117" i="24"/>
  <c r="AN117" i="24"/>
  <c r="AL117" i="24"/>
  <c r="AJ117" i="24"/>
  <c r="AI117" i="24"/>
  <c r="AH117" i="24"/>
  <c r="AG117" i="24"/>
  <c r="AF117" i="24"/>
  <c r="AE117" i="24"/>
  <c r="AD117" i="24"/>
  <c r="AC117" i="24"/>
  <c r="AB117" i="24"/>
  <c r="AA117" i="24"/>
  <c r="Y117" i="24"/>
  <c r="X117" i="24"/>
  <c r="W117" i="24"/>
  <c r="V117" i="24"/>
  <c r="U117" i="24"/>
  <c r="T117" i="24"/>
  <c r="S117" i="24"/>
  <c r="Q117" i="24"/>
  <c r="P117" i="24"/>
  <c r="AK117" i="24" s="1"/>
  <c r="O117" i="24"/>
  <c r="N117" i="24"/>
  <c r="M117" i="24"/>
  <c r="L117" i="24"/>
  <c r="AA116" i="24"/>
  <c r="R116" i="24"/>
  <c r="R115" i="24" s="1"/>
  <c r="R114" i="24" s="1"/>
  <c r="Q116" i="24"/>
  <c r="Q115" i="24" s="1"/>
  <c r="AJ115" i="24"/>
  <c r="AJ114" i="24" s="1"/>
  <c r="AI115" i="24"/>
  <c r="AI114" i="24" s="1"/>
  <c r="AH115" i="24"/>
  <c r="AH114" i="24" s="1"/>
  <c r="AG115" i="24"/>
  <c r="AF115" i="24"/>
  <c r="AF114" i="24" s="1"/>
  <c r="AE115" i="24"/>
  <c r="AE114" i="24" s="1"/>
  <c r="AD115" i="24"/>
  <c r="AD114" i="24" s="1"/>
  <c r="AC115" i="24"/>
  <c r="AB115" i="24"/>
  <c r="AB114" i="24" s="1"/>
  <c r="AA115" i="24"/>
  <c r="Y115" i="24"/>
  <c r="Y114" i="24" s="1"/>
  <c r="X115" i="24"/>
  <c r="X114" i="24" s="1"/>
  <c r="W115" i="24"/>
  <c r="V115" i="24"/>
  <c r="V114" i="24" s="1"/>
  <c r="U115" i="24"/>
  <c r="T115" i="24"/>
  <c r="T114" i="24" s="1"/>
  <c r="S115" i="24"/>
  <c r="S114" i="24" s="1"/>
  <c r="AO114" i="24"/>
  <c r="AN114" i="24"/>
  <c r="AM114" i="24"/>
  <c r="AL114" i="24"/>
  <c r="AK114" i="24"/>
  <c r="AG114" i="24"/>
  <c r="AC114" i="24"/>
  <c r="W114" i="24"/>
  <c r="U114" i="24"/>
  <c r="O114" i="24"/>
  <c r="N114" i="24"/>
  <c r="M114" i="24"/>
  <c r="L114" i="24"/>
  <c r="AF112" i="24"/>
  <c r="AA112" i="24"/>
  <c r="T112" i="24"/>
  <c r="L112" i="24"/>
  <c r="AF111" i="24"/>
  <c r="T111" i="24"/>
  <c r="Q111" i="24"/>
  <c r="L111" i="24"/>
  <c r="AJ110" i="24"/>
  <c r="AJ109" i="24" s="1"/>
  <c r="AI110" i="24"/>
  <c r="AI109" i="24" s="1"/>
  <c r="AH110" i="24"/>
  <c r="AH109" i="24" s="1"/>
  <c r="AG110" i="24"/>
  <c r="AF110" i="24"/>
  <c r="AF109" i="24" s="1"/>
  <c r="AE110" i="24"/>
  <c r="AD110" i="24"/>
  <c r="AD109" i="24" s="1"/>
  <c r="AC110" i="24"/>
  <c r="AB110" i="24"/>
  <c r="AB109" i="24" s="1"/>
  <c r="AA110" i="24"/>
  <c r="AA109" i="24" s="1"/>
  <c r="Y110" i="24"/>
  <c r="Y109" i="24" s="1"/>
  <c r="W110" i="24"/>
  <c r="V110" i="24"/>
  <c r="U110" i="24"/>
  <c r="U109" i="24" s="1"/>
  <c r="T110" i="24"/>
  <c r="T109" i="24" s="1"/>
  <c r="S110" i="24"/>
  <c r="AO109" i="24"/>
  <c r="AN109" i="24"/>
  <c r="AL109" i="24"/>
  <c r="AG109" i="24"/>
  <c r="AE109" i="24"/>
  <c r="AC109" i="24"/>
  <c r="X109" i="24"/>
  <c r="W109" i="24"/>
  <c r="V109" i="24"/>
  <c r="S109" i="24"/>
  <c r="R109" i="24"/>
  <c r="Q109" i="24"/>
  <c r="P109" i="24"/>
  <c r="AM109" i="24" s="1"/>
  <c r="O109" i="24"/>
  <c r="N109" i="24"/>
  <c r="M109" i="24"/>
  <c r="L109" i="24"/>
  <c r="AF107" i="24"/>
  <c r="Q107" i="24"/>
  <c r="AF106" i="24"/>
  <c r="AA106" i="24"/>
  <c r="R106" i="24"/>
  <c r="Q106" i="24"/>
  <c r="AF105" i="24"/>
  <c r="Q105" i="24"/>
  <c r="AJ104" i="24"/>
  <c r="AJ103" i="24" s="1"/>
  <c r="AI104" i="24"/>
  <c r="AI103" i="24" s="1"/>
  <c r="AH104" i="24"/>
  <c r="AG104" i="24"/>
  <c r="AG103" i="24" s="1"/>
  <c r="AF104" i="24"/>
  <c r="AE104" i="24"/>
  <c r="AE103" i="24" s="1"/>
  <c r="AD104" i="24"/>
  <c r="AC104" i="24"/>
  <c r="AC103" i="24" s="1"/>
  <c r="AB104" i="24"/>
  <c r="AB103" i="24" s="1"/>
  <c r="AA104" i="24"/>
  <c r="AA103" i="24" s="1"/>
  <c r="Y104" i="24"/>
  <c r="W104" i="24"/>
  <c r="V104" i="24"/>
  <c r="V103" i="24" s="1"/>
  <c r="U104" i="24"/>
  <c r="U103" i="24" s="1"/>
  <c r="T104" i="24"/>
  <c r="S104" i="24"/>
  <c r="R104" i="24"/>
  <c r="R103" i="24" s="1"/>
  <c r="Q104" i="24"/>
  <c r="Q103" i="24" s="1"/>
  <c r="P104" i="24"/>
  <c r="AO103" i="24"/>
  <c r="AN103" i="24"/>
  <c r="AL103" i="24"/>
  <c r="AH103" i="24"/>
  <c r="AF103" i="24"/>
  <c r="AD103" i="24"/>
  <c r="Y103" i="24"/>
  <c r="X103" i="24"/>
  <c r="W103" i="24"/>
  <c r="T103" i="24"/>
  <c r="S103" i="24"/>
  <c r="P103" i="24"/>
  <c r="O103" i="24"/>
  <c r="N103" i="24"/>
  <c r="M103" i="24"/>
  <c r="L103" i="24"/>
  <c r="AF102" i="24"/>
  <c r="AF101" i="24" s="1"/>
  <c r="AF100" i="24" s="1"/>
  <c r="Q102" i="24"/>
  <c r="AJ101" i="24"/>
  <c r="AJ100" i="24" s="1"/>
  <c r="AI101" i="24"/>
  <c r="AH101" i="24"/>
  <c r="AH100" i="24" s="1"/>
  <c r="AG101" i="24"/>
  <c r="AE101" i="24"/>
  <c r="AE100" i="24" s="1"/>
  <c r="AD101" i="24"/>
  <c r="AD100" i="24" s="1"/>
  <c r="AC101" i="24"/>
  <c r="AB101" i="24"/>
  <c r="AB100" i="24" s="1"/>
  <c r="AA101" i="24"/>
  <c r="Y101" i="24"/>
  <c r="Y100" i="24" s="1"/>
  <c r="X101" i="24"/>
  <c r="W101" i="24"/>
  <c r="W100" i="24" s="1"/>
  <c r="V101" i="24"/>
  <c r="V100" i="24" s="1"/>
  <c r="U101" i="24"/>
  <c r="U100" i="24" s="1"/>
  <c r="T101" i="24"/>
  <c r="S101" i="24"/>
  <c r="S100" i="24" s="1"/>
  <c r="R101" i="24"/>
  <c r="Q101" i="24"/>
  <c r="Q100" i="24" s="1"/>
  <c r="AO100" i="24"/>
  <c r="AN100" i="24"/>
  <c r="AL100" i="24"/>
  <c r="AI100" i="24"/>
  <c r="AG100" i="24"/>
  <c r="AC100" i="24"/>
  <c r="AA100" i="24"/>
  <c r="X100" i="24"/>
  <c r="T100" i="24"/>
  <c r="R100" i="24"/>
  <c r="P100" i="24"/>
  <c r="O100" i="24"/>
  <c r="N100" i="24"/>
  <c r="M100" i="24"/>
  <c r="L100" i="24"/>
  <c r="AA99" i="24"/>
  <c r="U99" i="24"/>
  <c r="Q99" i="24" s="1"/>
  <c r="AD98" i="24"/>
  <c r="AC98" i="24"/>
  <c r="AB98" i="24"/>
  <c r="AA98" i="24"/>
  <c r="Y98" i="24"/>
  <c r="Y97" i="24" s="1"/>
  <c r="X98" i="24"/>
  <c r="W98" i="24"/>
  <c r="W97" i="24" s="1"/>
  <c r="V98" i="24"/>
  <c r="U98" i="24"/>
  <c r="U97" i="24" s="1"/>
  <c r="T98" i="24"/>
  <c r="S98" i="24"/>
  <c r="R98" i="24"/>
  <c r="Q98" i="24"/>
  <c r="AO97" i="24"/>
  <c r="AN97" i="24"/>
  <c r="AM97" i="24"/>
  <c r="AL97" i="24"/>
  <c r="AK97" i="24"/>
  <c r="AJ97" i="24"/>
  <c r="AI97" i="24"/>
  <c r="AH97" i="24"/>
  <c r="AG97" i="24"/>
  <c r="AF97" i="24"/>
  <c r="AE97" i="24"/>
  <c r="AD97" i="24"/>
  <c r="AC97" i="24"/>
  <c r="AB97" i="24"/>
  <c r="X97" i="24"/>
  <c r="V97" i="24"/>
  <c r="T97" i="24"/>
  <c r="S97" i="24"/>
  <c r="R97" i="24"/>
  <c r="O97" i="24"/>
  <c r="N97" i="24"/>
  <c r="M97" i="24"/>
  <c r="L97" i="24"/>
  <c r="AA96" i="24"/>
  <c r="AA95" i="24" s="1"/>
  <c r="U96" i="24"/>
  <c r="Q96" i="24"/>
  <c r="AE95" i="24"/>
  <c r="AE94" i="24" s="1"/>
  <c r="AD95" i="24"/>
  <c r="AD94" i="24" s="1"/>
  <c r="AC95" i="24"/>
  <c r="AB95" i="24"/>
  <c r="AB94" i="24" s="1"/>
  <c r="Y95" i="24"/>
  <c r="Y94" i="24" s="1"/>
  <c r="X95" i="24"/>
  <c r="X94" i="24" s="1"/>
  <c r="W95" i="24"/>
  <c r="W94" i="24" s="1"/>
  <c r="V95" i="24"/>
  <c r="U95" i="24"/>
  <c r="U94" i="24" s="1"/>
  <c r="T95" i="24"/>
  <c r="S95" i="24"/>
  <c r="S94" i="24" s="1"/>
  <c r="R95" i="24"/>
  <c r="R94" i="24" s="1"/>
  <c r="Q95" i="24"/>
  <c r="AO94" i="24"/>
  <c r="AN94" i="24"/>
  <c r="AM94" i="24"/>
  <c r="AL94" i="24"/>
  <c r="AK94" i="24"/>
  <c r="AJ94" i="24"/>
  <c r="AI94" i="24"/>
  <c r="AH94" i="24"/>
  <c r="AG94" i="24"/>
  <c r="AF94" i="24"/>
  <c r="AC94" i="24"/>
  <c r="V94" i="24"/>
  <c r="T94" i="24"/>
  <c r="O94" i="24"/>
  <c r="N94" i="24"/>
  <c r="N80" i="24" s="1"/>
  <c r="M94" i="24"/>
  <c r="M80" i="24" s="1"/>
  <c r="L94" i="24"/>
  <c r="AA92" i="24"/>
  <c r="Q92" i="24"/>
  <c r="Q87" i="24" s="1"/>
  <c r="J92" i="24"/>
  <c r="AF91" i="24"/>
  <c r="AA91" i="24"/>
  <c r="R91" i="24"/>
  <c r="Q91" i="24"/>
  <c r="T90" i="24"/>
  <c r="Q90" i="24"/>
  <c r="AA89" i="24"/>
  <c r="T89" i="24"/>
  <c r="T88" i="24" s="1"/>
  <c r="T87" i="24" s="1"/>
  <c r="Q89" i="24"/>
  <c r="AK88" i="24"/>
  <c r="AJ88" i="24"/>
  <c r="AJ87" i="24" s="1"/>
  <c r="AI88" i="24"/>
  <c r="AI87" i="24" s="1"/>
  <c r="AH88" i="24"/>
  <c r="AH87" i="24" s="1"/>
  <c r="AG88" i="24"/>
  <c r="AF88" i="24"/>
  <c r="AF87" i="24" s="1"/>
  <c r="AE88" i="24"/>
  <c r="AE87" i="24" s="1"/>
  <c r="AD88" i="24"/>
  <c r="AD87" i="24" s="1"/>
  <c r="AC88" i="24"/>
  <c r="AB88" i="24"/>
  <c r="AB87" i="24" s="1"/>
  <c r="Y88" i="24"/>
  <c r="Y87" i="24" s="1"/>
  <c r="X88" i="24"/>
  <c r="W88" i="24"/>
  <c r="V88" i="24"/>
  <c r="U88" i="24"/>
  <c r="U87" i="24" s="1"/>
  <c r="S88" i="24"/>
  <c r="R88" i="24"/>
  <c r="J88" i="24"/>
  <c r="AO87" i="24"/>
  <c r="AN87" i="24"/>
  <c r="AG87" i="24"/>
  <c r="AC87" i="24"/>
  <c r="AA87" i="24"/>
  <c r="X87" i="24"/>
  <c r="W87" i="24"/>
  <c r="V87" i="24"/>
  <c r="S87" i="24"/>
  <c r="R87" i="24"/>
  <c r="P87" i="24"/>
  <c r="O87" i="24"/>
  <c r="N87" i="24"/>
  <c r="M87" i="24"/>
  <c r="L87" i="24"/>
  <c r="J87" i="24" s="1"/>
  <c r="AF85" i="24"/>
  <c r="AF84" i="24" s="1"/>
  <c r="AF83" i="24" s="1"/>
  <c r="AA85" i="24"/>
  <c r="X85" i="24"/>
  <c r="X84" i="24" s="1"/>
  <c r="X83" i="24" s="1"/>
  <c r="V85" i="24"/>
  <c r="R85" i="24"/>
  <c r="Q85" i="24"/>
  <c r="Q84" i="24" s="1"/>
  <c r="P85" i="24"/>
  <c r="AJ84" i="24"/>
  <c r="AJ83" i="24" s="1"/>
  <c r="AJ80" i="24" s="1"/>
  <c r="AI84" i="24"/>
  <c r="AI83" i="24" s="1"/>
  <c r="AH84" i="24"/>
  <c r="AG84" i="24"/>
  <c r="AG83" i="24" s="1"/>
  <c r="AE84" i="24"/>
  <c r="AE83" i="24" s="1"/>
  <c r="AD84" i="24"/>
  <c r="AC84" i="24"/>
  <c r="AC83" i="24" s="1"/>
  <c r="AB84" i="24"/>
  <c r="AB83" i="24" s="1"/>
  <c r="AB80" i="24" s="1"/>
  <c r="AA84" i="24"/>
  <c r="AA83" i="24" s="1"/>
  <c r="Y84" i="24"/>
  <c r="W84" i="24"/>
  <c r="W83" i="24" s="1"/>
  <c r="V84" i="24"/>
  <c r="V83" i="24" s="1"/>
  <c r="U84" i="24"/>
  <c r="T84" i="24"/>
  <c r="T83" i="24" s="1"/>
  <c r="S84" i="24"/>
  <c r="S83" i="24" s="1"/>
  <c r="R84" i="24"/>
  <c r="R83" i="24" s="1"/>
  <c r="R80" i="24" s="1"/>
  <c r="AL83" i="24"/>
  <c r="AH83" i="24"/>
  <c r="AH80" i="24" s="1"/>
  <c r="AD83" i="24"/>
  <c r="Y83" i="24"/>
  <c r="U83" i="24"/>
  <c r="Q83" i="24"/>
  <c r="Q80" i="24" s="1"/>
  <c r="O83" i="24"/>
  <c r="O80" i="24" s="1"/>
  <c r="N83" i="24"/>
  <c r="M83" i="24"/>
  <c r="L83" i="24"/>
  <c r="L82" i="24"/>
  <c r="J82" i="24" s="1"/>
  <c r="L81" i="24"/>
  <c r="J81" i="24" s="1"/>
  <c r="AO80" i="24"/>
  <c r="AN80" i="24"/>
  <c r="P80" i="24"/>
  <c r="K80" i="24"/>
  <c r="L79" i="24"/>
  <c r="AO77" i="24"/>
  <c r="AN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AA73" i="24"/>
  <c r="AA72" i="24" s="1"/>
  <c r="Z73" i="24"/>
  <c r="Z72" i="24" s="1"/>
  <c r="Y73" i="24"/>
  <c r="Y72" i="24" s="1"/>
  <c r="X73" i="24"/>
  <c r="X72" i="24" s="1"/>
  <c r="W73" i="24"/>
  <c r="W72" i="24" s="1"/>
  <c r="V73" i="24"/>
  <c r="V72" i="24" s="1"/>
  <c r="U73" i="24"/>
  <c r="U72" i="24" s="1"/>
  <c r="T73" i="24"/>
  <c r="S73" i="24"/>
  <c r="S72" i="24" s="1"/>
  <c r="R73" i="24"/>
  <c r="R72" i="24" s="1"/>
  <c r="Q73" i="24"/>
  <c r="Q72" i="24" s="1"/>
  <c r="AO72" i="24"/>
  <c r="AN72" i="24"/>
  <c r="AJ72" i="24"/>
  <c r="AI72" i="24"/>
  <c r="AH72" i="24"/>
  <c r="AG72" i="24"/>
  <c r="AF72" i="24"/>
  <c r="AE72" i="24"/>
  <c r="AD72" i="24"/>
  <c r="AC72" i="24"/>
  <c r="AB72" i="24"/>
  <c r="T72" i="24"/>
  <c r="P72" i="24"/>
  <c r="P10" i="24" s="1"/>
  <c r="O72" i="24"/>
  <c r="N72" i="24"/>
  <c r="M72" i="24"/>
  <c r="L72" i="24"/>
  <c r="AF70" i="24"/>
  <c r="AF69" i="24" s="1"/>
  <c r="AF68" i="24" s="1"/>
  <c r="AF65" i="24" s="1"/>
  <c r="AA70" i="24"/>
  <c r="AA68" i="24" s="1"/>
  <c r="AA65" i="24" s="1"/>
  <c r="R70" i="24"/>
  <c r="R69" i="24" s="1"/>
  <c r="Q70" i="24"/>
  <c r="Q68" i="24" s="1"/>
  <c r="AG69" i="24"/>
  <c r="AG68" i="24" s="1"/>
  <c r="AG65" i="24" s="1"/>
  <c r="AB69" i="24"/>
  <c r="Y69" i="24"/>
  <c r="Y68" i="24" s="1"/>
  <c r="W69" i="24"/>
  <c r="W68" i="24" s="1"/>
  <c r="W65" i="24" s="1"/>
  <c r="V69" i="24"/>
  <c r="U69" i="24"/>
  <c r="U68" i="24" s="1"/>
  <c r="T69" i="24"/>
  <c r="T68" i="24" s="1"/>
  <c r="T65" i="24" s="1"/>
  <c r="S69" i="24"/>
  <c r="S68" i="24" s="1"/>
  <c r="S65" i="24" s="1"/>
  <c r="AO68" i="24"/>
  <c r="AN68" i="24"/>
  <c r="AN65" i="24" s="1"/>
  <c r="AJ68" i="24"/>
  <c r="AJ65" i="24" s="1"/>
  <c r="AI68" i="24"/>
  <c r="AH68" i="24"/>
  <c r="AE68" i="24"/>
  <c r="AD68" i="24"/>
  <c r="AC68" i="24"/>
  <c r="AC65" i="24" s="1"/>
  <c r="AB68" i="24"/>
  <c r="AB65" i="24" s="1"/>
  <c r="Z68" i="24"/>
  <c r="X68" i="24"/>
  <c r="X65" i="24" s="1"/>
  <c r="V68" i="24"/>
  <c r="V65" i="24" s="1"/>
  <c r="R68" i="24"/>
  <c r="R65" i="24" s="1"/>
  <c r="P68" i="24"/>
  <c r="O68" i="24"/>
  <c r="N68" i="24"/>
  <c r="N65" i="24" s="1"/>
  <c r="M68" i="24"/>
  <c r="L68" i="24"/>
  <c r="L65" i="24" s="1"/>
  <c r="L67" i="24"/>
  <c r="L66" i="24"/>
  <c r="AO65" i="24"/>
  <c r="AI65" i="24"/>
  <c r="AH65" i="24"/>
  <c r="AE65" i="24"/>
  <c r="AD65" i="24"/>
  <c r="U65" i="24"/>
  <c r="O65" i="24"/>
  <c r="M65" i="24"/>
  <c r="K65" i="24"/>
  <c r="J65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J61" i="24"/>
  <c r="AA60" i="24"/>
  <c r="V60" i="24"/>
  <c r="Q60" i="24"/>
  <c r="AD59" i="24"/>
  <c r="AC59" i="24"/>
  <c r="AB59" i="24"/>
  <c r="Y59" i="24"/>
  <c r="X59" i="24"/>
  <c r="W59" i="24"/>
  <c r="V59" i="24"/>
  <c r="U59" i="24"/>
  <c r="T59" i="24"/>
  <c r="S59" i="24"/>
  <c r="R59" i="24"/>
  <c r="J59" i="24"/>
  <c r="AO58" i="24"/>
  <c r="AN58" i="24"/>
  <c r="AJ58" i="24"/>
  <c r="AJ52" i="24" s="1"/>
  <c r="AI58" i="24"/>
  <c r="AH58" i="24"/>
  <c r="AG58" i="24"/>
  <c r="AF58" i="24"/>
  <c r="AF52" i="24" s="1"/>
  <c r="AE58" i="24"/>
  <c r="AD58" i="24"/>
  <c r="AC58" i="24"/>
  <c r="AC52" i="24" s="1"/>
  <c r="AB58" i="24"/>
  <c r="AB52" i="24" s="1"/>
  <c r="Y58" i="24"/>
  <c r="X58" i="24"/>
  <c r="W58" i="24"/>
  <c r="W52" i="24" s="1"/>
  <c r="V58" i="24"/>
  <c r="U58" i="24"/>
  <c r="T58" i="24"/>
  <c r="S58" i="24"/>
  <c r="S52" i="24" s="1"/>
  <c r="R58" i="24"/>
  <c r="Q58" i="24"/>
  <c r="P58" i="24"/>
  <c r="AK58" i="24" s="1"/>
  <c r="AL58" i="24" s="1"/>
  <c r="O58" i="24"/>
  <c r="O52" i="24" s="1"/>
  <c r="N58" i="24"/>
  <c r="M58" i="24"/>
  <c r="L58" i="24"/>
  <c r="J58" i="24" s="1"/>
  <c r="L57" i="24"/>
  <c r="J57" i="24" s="1"/>
  <c r="L56" i="24"/>
  <c r="J56" i="24" s="1"/>
  <c r="AO55" i="24"/>
  <c r="AN55" i="24"/>
  <c r="AN52" i="24" s="1"/>
  <c r="AN12" i="24" s="1"/>
  <c r="AI55" i="24"/>
  <c r="AI52" i="24" s="1"/>
  <c r="AH55" i="24"/>
  <c r="AG55" i="24"/>
  <c r="AF55" i="24"/>
  <c r="AE55" i="24"/>
  <c r="AE52" i="24" s="1"/>
  <c r="AD55" i="24"/>
  <c r="AC55" i="24"/>
  <c r="AB55" i="24"/>
  <c r="AA55" i="24"/>
  <c r="Y55" i="24"/>
  <c r="X55" i="24"/>
  <c r="W55" i="24"/>
  <c r="V55" i="24"/>
  <c r="U55" i="24"/>
  <c r="T55" i="24"/>
  <c r="S55" i="24"/>
  <c r="R55" i="24"/>
  <c r="R52" i="24" s="1"/>
  <c r="Q55" i="24"/>
  <c r="P55" i="24"/>
  <c r="O55" i="24"/>
  <c r="N55" i="24"/>
  <c r="N52" i="24" s="1"/>
  <c r="M55" i="24"/>
  <c r="M52" i="24" s="1"/>
  <c r="J54" i="24"/>
  <c r="J53" i="24"/>
  <c r="AO52" i="24"/>
  <c r="AM52" i="24"/>
  <c r="AG52" i="24"/>
  <c r="AA52" i="24"/>
  <c r="Y52" i="24"/>
  <c r="X52" i="24"/>
  <c r="V52" i="24"/>
  <c r="U52" i="24"/>
  <c r="T52" i="24"/>
  <c r="Q52" i="24"/>
  <c r="P52" i="24"/>
  <c r="L52" i="24"/>
  <c r="J52" i="24" s="1"/>
  <c r="AJ51" i="24"/>
  <c r="AI51" i="24"/>
  <c r="AH51" i="24"/>
  <c r="AG51" i="24"/>
  <c r="AA49" i="24"/>
  <c r="Q49" i="24"/>
  <c r="AC48" i="24"/>
  <c r="AC47" i="24" s="1"/>
  <c r="AC45" i="24" s="1"/>
  <c r="AB48" i="24"/>
  <c r="Z48" i="24"/>
  <c r="Y48" i="24"/>
  <c r="Y47" i="24" s="1"/>
  <c r="Y45" i="24" s="1"/>
  <c r="Y13" i="24" s="1"/>
  <c r="X48" i="24"/>
  <c r="X47" i="24" s="1"/>
  <c r="X45" i="24" s="1"/>
  <c r="W48" i="24"/>
  <c r="V48" i="24"/>
  <c r="U48" i="24"/>
  <c r="T48" i="24"/>
  <c r="T47" i="24" s="1"/>
  <c r="S48" i="24"/>
  <c r="R48" i="24"/>
  <c r="AB47" i="24"/>
  <c r="W47" i="24"/>
  <c r="V47" i="24"/>
  <c r="V45" i="24" s="1"/>
  <c r="U47" i="24"/>
  <c r="U44" i="24" s="1"/>
  <c r="S47" i="24"/>
  <c r="R47" i="24"/>
  <c r="Q47" i="24"/>
  <c r="P47" i="24"/>
  <c r="O47" i="24"/>
  <c r="N47" i="24"/>
  <c r="M47" i="24"/>
  <c r="M45" i="24" s="1"/>
  <c r="L47" i="24"/>
  <c r="AO45" i="24"/>
  <c r="AN45" i="24"/>
  <c r="AN13" i="24" s="1"/>
  <c r="AM45" i="24"/>
  <c r="AJ45" i="24"/>
  <c r="AI45" i="24"/>
  <c r="AH45" i="24"/>
  <c r="AG45" i="24"/>
  <c r="AF45" i="24"/>
  <c r="AE45" i="24"/>
  <c r="AD45" i="24"/>
  <c r="AB45" i="24"/>
  <c r="AA45" i="24"/>
  <c r="W45" i="24"/>
  <c r="T45" i="24"/>
  <c r="S45" i="24"/>
  <c r="O45" i="24"/>
  <c r="K45" i="24"/>
  <c r="J45" i="24"/>
  <c r="V44" i="24"/>
  <c r="T44" i="24"/>
  <c r="S44" i="24"/>
  <c r="Q44" i="24"/>
  <c r="P44" i="24"/>
  <c r="O44" i="24"/>
  <c r="M44" i="24"/>
  <c r="M12" i="24" s="1"/>
  <c r="M7" i="24" s="1"/>
  <c r="L44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AA38" i="24"/>
  <c r="Q38" i="24"/>
  <c r="Q37" i="24" s="1"/>
  <c r="Q36" i="24" s="1"/>
  <c r="AE37" i="24"/>
  <c r="AA37" i="24"/>
  <c r="AA36" i="24" s="1"/>
  <c r="Y37" i="24"/>
  <c r="X37" i="24"/>
  <c r="X36" i="24" s="1"/>
  <c r="L37" i="24"/>
  <c r="L36" i="24" s="1"/>
  <c r="L15" i="24" s="1"/>
  <c r="L11" i="24" s="1"/>
  <c r="AO36" i="24"/>
  <c r="AN36" i="24"/>
  <c r="AJ36" i="24"/>
  <c r="AI36" i="24"/>
  <c r="AH36" i="24"/>
  <c r="AG36" i="24"/>
  <c r="AF36" i="24"/>
  <c r="AE36" i="24"/>
  <c r="AE15" i="24" s="1"/>
  <c r="AE11" i="24" s="1"/>
  <c r="AD36" i="24"/>
  <c r="AC36" i="24"/>
  <c r="AB36" i="24"/>
  <c r="Y36" i="24"/>
  <c r="W36" i="24"/>
  <c r="V36" i="24"/>
  <c r="U36" i="24"/>
  <c r="T36" i="24"/>
  <c r="S36" i="24"/>
  <c r="R36" i="24"/>
  <c r="P36" i="24"/>
  <c r="AK36" i="24" s="1"/>
  <c r="AL36" i="24" s="1"/>
  <c r="O36" i="24"/>
  <c r="O15" i="24" s="1"/>
  <c r="O11" i="24" s="1"/>
  <c r="N36" i="24"/>
  <c r="M36" i="24"/>
  <c r="AO33" i="24"/>
  <c r="AN33" i="24"/>
  <c r="AN15" i="24" s="1"/>
  <c r="AN11" i="24" s="1"/>
  <c r="AM33" i="24"/>
  <c r="AJ33" i="24"/>
  <c r="AI33" i="24"/>
  <c r="AH33" i="24"/>
  <c r="AH15" i="24" s="1"/>
  <c r="AH11" i="24" s="1"/>
  <c r="AG33" i="24"/>
  <c r="AG32" i="24" s="1"/>
  <c r="AF32" i="24" s="1"/>
  <c r="AF33" i="24"/>
  <c r="AE33" i="24"/>
  <c r="AD33" i="24"/>
  <c r="AD15" i="24" s="1"/>
  <c r="AD11" i="24" s="1"/>
  <c r="AC33" i="24"/>
  <c r="AB33" i="24"/>
  <c r="AA33" i="24"/>
  <c r="Y33" i="24"/>
  <c r="X33" i="24"/>
  <c r="W33" i="24"/>
  <c r="V33" i="24"/>
  <c r="U33" i="24"/>
  <c r="U15" i="24" s="1"/>
  <c r="T33" i="24"/>
  <c r="S33" i="24"/>
  <c r="R33" i="24"/>
  <c r="Q33" i="24"/>
  <c r="P33" i="24"/>
  <c r="O33" i="24"/>
  <c r="N33" i="24"/>
  <c r="M33" i="24"/>
  <c r="L33" i="24"/>
  <c r="J33" i="24" s="1"/>
  <c r="J15" i="24" s="1"/>
  <c r="J11" i="24" s="1"/>
  <c r="Q32" i="24"/>
  <c r="P32" i="24" s="1"/>
  <c r="U31" i="24"/>
  <c r="T31" i="24" s="1"/>
  <c r="T30" i="24" s="1"/>
  <c r="T17" i="24" s="1"/>
  <c r="T13" i="24" s="1"/>
  <c r="T8" i="24" s="1"/>
  <c r="AJ30" i="24"/>
  <c r="AI30" i="24"/>
  <c r="AH30" i="24"/>
  <c r="AH17" i="24" s="1"/>
  <c r="AE30" i="24"/>
  <c r="AE17" i="24" s="1"/>
  <c r="AE13" i="24" s="1"/>
  <c r="AD30" i="24"/>
  <c r="AC30" i="24"/>
  <c r="AB30" i="24"/>
  <c r="AB17" i="24" s="1"/>
  <c r="AB13" i="24" s="1"/>
  <c r="AB8" i="24" s="1"/>
  <c r="AA30" i="24"/>
  <c r="AA17" i="24" s="1"/>
  <c r="AA13" i="24" s="1"/>
  <c r="Y30" i="24"/>
  <c r="W30" i="24"/>
  <c r="V30" i="24"/>
  <c r="V17" i="24" s="1"/>
  <c r="S30" i="24"/>
  <c r="S17" i="24" s="1"/>
  <c r="S13" i="24" s="1"/>
  <c r="S8" i="24" s="1"/>
  <c r="R30" i="24"/>
  <c r="N30" i="24"/>
  <c r="L30" i="24"/>
  <c r="L19" i="24" s="1"/>
  <c r="AF29" i="24"/>
  <c r="AA29" i="24"/>
  <c r="R29" i="24"/>
  <c r="P29" i="24"/>
  <c r="AJ28" i="24"/>
  <c r="AI28" i="24"/>
  <c r="AH28" i="24"/>
  <c r="AG28" i="24"/>
  <c r="AF28" i="24"/>
  <c r="AE28" i="24"/>
  <c r="AD28" i="24"/>
  <c r="AC28" i="24"/>
  <c r="AB28" i="24"/>
  <c r="AA28" i="24"/>
  <c r="Y28" i="24"/>
  <c r="W28" i="24"/>
  <c r="W18" i="24" s="1"/>
  <c r="W14" i="24" s="1"/>
  <c r="V28" i="24"/>
  <c r="V18" i="24" s="1"/>
  <c r="U28" i="24"/>
  <c r="T28" i="24"/>
  <c r="S28" i="24"/>
  <c r="R28" i="24"/>
  <c r="R18" i="24" s="1"/>
  <c r="Q28" i="24"/>
  <c r="J28" i="24"/>
  <c r="AF27" i="24"/>
  <c r="AA27" i="24"/>
  <c r="R27" i="24"/>
  <c r="Q27" i="24"/>
  <c r="P27" i="24"/>
  <c r="AF26" i="24"/>
  <c r="AA26" i="24"/>
  <c r="Q26" i="24"/>
  <c r="AF25" i="24"/>
  <c r="AF20" i="24" s="1"/>
  <c r="AF15" i="24" s="1"/>
  <c r="AA25" i="24"/>
  <c r="Q25" i="24"/>
  <c r="AF24" i="24"/>
  <c r="AA24" i="24"/>
  <c r="Q24" i="24"/>
  <c r="P24" i="24"/>
  <c r="AF23" i="24"/>
  <c r="AA23" i="24"/>
  <c r="T23" i="24"/>
  <c r="T20" i="24" s="1"/>
  <c r="R23" i="24"/>
  <c r="AF22" i="24"/>
  <c r="AA22" i="24"/>
  <c r="R22" i="24"/>
  <c r="P22" i="24"/>
  <c r="AF21" i="24"/>
  <c r="R21" i="24"/>
  <c r="R20" i="24" s="1"/>
  <c r="AJ20" i="24"/>
  <c r="AJ15" i="24" s="1"/>
  <c r="AJ11" i="24" s="1"/>
  <c r="AI20" i="24"/>
  <c r="AH20" i="24"/>
  <c r="AG20" i="24"/>
  <c r="AE20" i="24"/>
  <c r="AD20" i="24"/>
  <c r="AC20" i="24"/>
  <c r="AB20" i="24"/>
  <c r="AB15" i="24" s="1"/>
  <c r="Y20" i="24"/>
  <c r="X20" i="24"/>
  <c r="W20" i="24"/>
  <c r="V20" i="24"/>
  <c r="V15" i="24" s="1"/>
  <c r="V11" i="24" s="1"/>
  <c r="V6" i="24" s="1"/>
  <c r="U20" i="24"/>
  <c r="S20" i="24"/>
  <c r="Q20" i="24"/>
  <c r="K20" i="24"/>
  <c r="K19" i="24" s="1"/>
  <c r="AO19" i="24"/>
  <c r="AN19" i="24"/>
  <c r="AJ19" i="24"/>
  <c r="AI19" i="24"/>
  <c r="AH19" i="24"/>
  <c r="AE19" i="24"/>
  <c r="AD19" i="24"/>
  <c r="AB19" i="24"/>
  <c r="Y19" i="24"/>
  <c r="X19" i="24"/>
  <c r="V19" i="24"/>
  <c r="P19" i="24"/>
  <c r="O19" i="24"/>
  <c r="N19" i="24"/>
  <c r="M19" i="24"/>
  <c r="AO18" i="24"/>
  <c r="AO14" i="24" s="1"/>
  <c r="AO9" i="24" s="1"/>
  <c r="AN18" i="24"/>
  <c r="AN14" i="24" s="1"/>
  <c r="AM18" i="24"/>
  <c r="AL18" i="24"/>
  <c r="AK18" i="24"/>
  <c r="AK14" i="24" s="1"/>
  <c r="AK9" i="24" s="1"/>
  <c r="AJ18" i="24"/>
  <c r="AJ14" i="24" s="1"/>
  <c r="AJ9" i="24" s="1"/>
  <c r="AI18" i="24"/>
  <c r="AH18" i="24"/>
  <c r="AG18" i="24"/>
  <c r="AG14" i="24" s="1"/>
  <c r="AG9" i="24" s="1"/>
  <c r="AF18" i="24"/>
  <c r="AF14" i="24" s="1"/>
  <c r="AF9" i="24" s="1"/>
  <c r="AE18" i="24"/>
  <c r="AD18" i="24"/>
  <c r="AC18" i="24"/>
  <c r="AC14" i="24" s="1"/>
  <c r="AC9" i="24" s="1"/>
  <c r="AB18" i="24"/>
  <c r="AB14" i="24" s="1"/>
  <c r="AB9" i="24" s="1"/>
  <c r="AA18" i="24"/>
  <c r="Y18" i="24"/>
  <c r="X18" i="24"/>
  <c r="X14" i="24" s="1"/>
  <c r="X9" i="24" s="1"/>
  <c r="U18" i="24"/>
  <c r="T18" i="24"/>
  <c r="T14" i="24" s="1"/>
  <c r="T9" i="24" s="1"/>
  <c r="Q18" i="24"/>
  <c r="P18" i="24"/>
  <c r="P14" i="24" s="1"/>
  <c r="P9" i="24" s="1"/>
  <c r="O18" i="24"/>
  <c r="O14" i="24" s="1"/>
  <c r="N18" i="24"/>
  <c r="M18" i="24"/>
  <c r="L18" i="24"/>
  <c r="L14" i="24" s="1"/>
  <c r="L9" i="24" s="1"/>
  <c r="K18" i="24"/>
  <c r="K14" i="24" s="1"/>
  <c r="J18" i="24"/>
  <c r="AJ17" i="24"/>
  <c r="AI17" i="24"/>
  <c r="AI13" i="24" s="1"/>
  <c r="AI8" i="24" s="1"/>
  <c r="AD17" i="24"/>
  <c r="AC17" i="24"/>
  <c r="Y17" i="24"/>
  <c r="X17" i="24"/>
  <c r="W17" i="24"/>
  <c r="R17" i="24"/>
  <c r="P17" i="24"/>
  <c r="P13" i="24" s="1"/>
  <c r="P8" i="24" s="1"/>
  <c r="O17" i="24"/>
  <c r="N17" i="24"/>
  <c r="M17" i="24"/>
  <c r="AO15" i="24"/>
  <c r="AO11" i="24" s="1"/>
  <c r="AO6" i="24" s="1"/>
  <c r="AI15" i="24"/>
  <c r="AI11" i="24" s="1"/>
  <c r="AI6" i="24" s="1"/>
  <c r="Y15" i="24"/>
  <c r="Y11" i="24" s="1"/>
  <c r="S15" i="24"/>
  <c r="S11" i="24" s="1"/>
  <c r="P15" i="24"/>
  <c r="P11" i="24" s="1"/>
  <c r="N15" i="24"/>
  <c r="M15" i="24"/>
  <c r="M11" i="24" s="1"/>
  <c r="K15" i="24"/>
  <c r="K11" i="24" s="1"/>
  <c r="AM14" i="24"/>
  <c r="AL14" i="24"/>
  <c r="AI14" i="24"/>
  <c r="AI9" i="24" s="1"/>
  <c r="AH14" i="24"/>
  <c r="AE14" i="24"/>
  <c r="AD14" i="24"/>
  <c r="AA14" i="24"/>
  <c r="AA9" i="24" s="1"/>
  <c r="Y14" i="24"/>
  <c r="Y9" i="24" s="1"/>
  <c r="V14" i="24"/>
  <c r="V9" i="24" s="1"/>
  <c r="U14" i="24"/>
  <c r="U9" i="24" s="1"/>
  <c r="R14" i="24"/>
  <c r="R9" i="24" s="1"/>
  <c r="Q14" i="24"/>
  <c r="Q9" i="24" s="1"/>
  <c r="N14" i="24"/>
  <c r="N9" i="24" s="1"/>
  <c r="M14" i="24"/>
  <c r="M9" i="24" s="1"/>
  <c r="J14" i="24"/>
  <c r="J9" i="24" s="1"/>
  <c r="AO13" i="24"/>
  <c r="AO8" i="24" s="1"/>
  <c r="AM13" i="24"/>
  <c r="AJ13" i="24"/>
  <c r="AJ8" i="24" s="1"/>
  <c r="AD13" i="24"/>
  <c r="AD8" i="24" s="1"/>
  <c r="W13" i="24"/>
  <c r="W8" i="24" s="1"/>
  <c r="O13" i="24"/>
  <c r="O8" i="24" s="1"/>
  <c r="K13" i="24"/>
  <c r="J13" i="24"/>
  <c r="J8" i="24" s="1"/>
  <c r="AO12" i="24"/>
  <c r="O12" i="24"/>
  <c r="K12" i="24"/>
  <c r="AF11" i="24"/>
  <c r="AB11" i="24"/>
  <c r="U11" i="24"/>
  <c r="N11" i="24"/>
  <c r="AQ10" i="24"/>
  <c r="AQ9" i="24"/>
  <c r="AN9" i="24"/>
  <c r="AL9" i="24"/>
  <c r="AH9" i="24"/>
  <c r="AE9" i="24"/>
  <c r="AD9" i="24"/>
  <c r="Z9" i="24"/>
  <c r="W9" i="24"/>
  <c r="O9" i="24"/>
  <c r="K9" i="24"/>
  <c r="AQ8" i="24"/>
  <c r="AN8" i="24"/>
  <c r="AE8" i="24"/>
  <c r="Z8" i="24"/>
  <c r="K8" i="24"/>
  <c r="AQ7" i="24"/>
  <c r="Z7" i="24"/>
  <c r="O7" i="24"/>
  <c r="K7" i="24"/>
  <c r="AQ6" i="24"/>
  <c r="Z6" i="24"/>
  <c r="N6" i="24"/>
  <c r="AQ5" i="24"/>
  <c r="Z52" i="6"/>
  <c r="AA154" i="6"/>
  <c r="AB154" i="6"/>
  <c r="AC154" i="6"/>
  <c r="AD154" i="6"/>
  <c r="Z155" i="6"/>
  <c r="AD148" i="6"/>
  <c r="Y148" i="6"/>
  <c r="X166" i="6"/>
  <c r="X165" i="6" s="1"/>
  <c r="R165" i="6"/>
  <c r="S165" i="6"/>
  <c r="T165" i="6"/>
  <c r="U165" i="6"/>
  <c r="V165" i="6"/>
  <c r="W165" i="6"/>
  <c r="Y165" i="6"/>
  <c r="Z165" i="6"/>
  <c r="AA165" i="6"/>
  <c r="AB165" i="6"/>
  <c r="AC165" i="6"/>
  <c r="AD165" i="6"/>
  <c r="AE165" i="6"/>
  <c r="AF165" i="6"/>
  <c r="AG165" i="6"/>
  <c r="AH165" i="6"/>
  <c r="AI165" i="6"/>
  <c r="Q165" i="6"/>
  <c r="Q166" i="6"/>
  <c r="Z88" i="6"/>
  <c r="Q88" i="6"/>
  <c r="AA136" i="23"/>
  <c r="AA147" i="6"/>
  <c r="AB147" i="6"/>
  <c r="AC147" i="6"/>
  <c r="Z92" i="6"/>
  <c r="Z91" i="6" s="1"/>
  <c r="AA91" i="6"/>
  <c r="AB91" i="6"/>
  <c r="AC91" i="6"/>
  <c r="AD91" i="6"/>
  <c r="R91" i="6"/>
  <c r="S91" i="6"/>
  <c r="T91" i="6"/>
  <c r="U91" i="6"/>
  <c r="V91" i="6"/>
  <c r="W91" i="6"/>
  <c r="X91" i="6"/>
  <c r="Q92" i="6"/>
  <c r="Q91" i="6" s="1"/>
  <c r="Y91" i="6"/>
  <c r="Q273" i="23"/>
  <c r="Q272" i="23" s="1"/>
  <c r="P272" i="23"/>
  <c r="Q136" i="23"/>
  <c r="J316" i="23"/>
  <c r="R315" i="23"/>
  <c r="Q315" i="23"/>
  <c r="AO314" i="23"/>
  <c r="AN314" i="23"/>
  <c r="AM314" i="23"/>
  <c r="AL314" i="23"/>
  <c r="AK314" i="23"/>
  <c r="AJ314" i="23"/>
  <c r="AI314" i="23"/>
  <c r="AH314" i="23"/>
  <c r="AG314" i="23"/>
  <c r="AF314" i="23"/>
  <c r="AE314" i="23"/>
  <c r="AD314" i="23"/>
  <c r="AC314" i="23"/>
  <c r="AB314" i="23"/>
  <c r="AA314" i="23"/>
  <c r="Y314" i="23"/>
  <c r="X314" i="23"/>
  <c r="W314" i="23"/>
  <c r="V314" i="23"/>
  <c r="U314" i="23"/>
  <c r="T314" i="23"/>
  <c r="S314" i="23"/>
  <c r="R314" i="23"/>
  <c r="Q314" i="23"/>
  <c r="P314" i="23"/>
  <c r="O314" i="23"/>
  <c r="N314" i="23"/>
  <c r="M314" i="23"/>
  <c r="L314" i="23"/>
  <c r="J314" i="23" s="1"/>
  <c r="J313" i="23"/>
  <c r="R312" i="23"/>
  <c r="Q312" i="23"/>
  <c r="AO311" i="23"/>
  <c r="AN311" i="23"/>
  <c r="AM311" i="23"/>
  <c r="AL311" i="23"/>
  <c r="AK311" i="23"/>
  <c r="AJ311" i="23"/>
  <c r="AI311" i="23"/>
  <c r="AH311" i="23"/>
  <c r="AG311" i="23"/>
  <c r="AF311" i="23"/>
  <c r="AE311" i="23"/>
  <c r="AD311" i="23"/>
  <c r="AC311" i="23"/>
  <c r="AB311" i="23"/>
  <c r="AA311" i="23"/>
  <c r="Y311" i="23"/>
  <c r="X311" i="23"/>
  <c r="W311" i="23"/>
  <c r="V311" i="23"/>
  <c r="U311" i="23"/>
  <c r="T311" i="23"/>
  <c r="S311" i="23"/>
  <c r="R311" i="23"/>
  <c r="Q311" i="23"/>
  <c r="P311" i="23"/>
  <c r="O311" i="23"/>
  <c r="N311" i="23"/>
  <c r="M311" i="23"/>
  <c r="L311" i="23"/>
  <c r="J311" i="23"/>
  <c r="J303" i="23"/>
  <c r="R302" i="23"/>
  <c r="Q302" i="23"/>
  <c r="AO301" i="23"/>
  <c r="AN301" i="23"/>
  <c r="AM301" i="23"/>
  <c r="AL301" i="23"/>
  <c r="AK301" i="23"/>
  <c r="AJ301" i="23"/>
  <c r="AI301" i="23"/>
  <c r="AH301" i="23"/>
  <c r="AG301" i="23"/>
  <c r="AF301" i="23"/>
  <c r="AE301" i="23"/>
  <c r="AD301" i="23"/>
  <c r="AC301" i="23"/>
  <c r="AB301" i="23"/>
  <c r="AA301" i="23"/>
  <c r="Y301" i="23"/>
  <c r="X301" i="23"/>
  <c r="W301" i="23"/>
  <c r="V301" i="23"/>
  <c r="U301" i="23"/>
  <c r="T301" i="23"/>
  <c r="S301" i="23"/>
  <c r="R301" i="23"/>
  <c r="Q301" i="23"/>
  <c r="P301" i="23"/>
  <c r="O301" i="23"/>
  <c r="N301" i="23"/>
  <c r="M301" i="23"/>
  <c r="L301" i="23"/>
  <c r="J301" i="23" s="1"/>
  <c r="AA299" i="23"/>
  <c r="AA296" i="23" s="1"/>
  <c r="Q299" i="23"/>
  <c r="AA298" i="23"/>
  <c r="W298" i="23"/>
  <c r="Q298" i="23"/>
  <c r="Q296" i="23" s="1"/>
  <c r="AA297" i="23"/>
  <c r="Q297" i="23"/>
  <c r="AK296" i="23"/>
  <c r="AJ296" i="23"/>
  <c r="AI296" i="23"/>
  <c r="AH296" i="23"/>
  <c r="AG296" i="23"/>
  <c r="AF296" i="23"/>
  <c r="AE296" i="23"/>
  <c r="AD296" i="23"/>
  <c r="AC296" i="23"/>
  <c r="AC291" i="23" s="1"/>
  <c r="AB296" i="23"/>
  <c r="AB291" i="23" s="1"/>
  <c r="V295" i="23"/>
  <c r="V292" i="23" s="1"/>
  <c r="V291" i="23" s="1"/>
  <c r="P295" i="23"/>
  <c r="R293" i="23"/>
  <c r="P293" i="23"/>
  <c r="AE292" i="23"/>
  <c r="AE291" i="23" s="1"/>
  <c r="AD292" i="23"/>
  <c r="AA292" i="23"/>
  <c r="Z292" i="23"/>
  <c r="Y292" i="23"/>
  <c r="Y291" i="23" s="1"/>
  <c r="X292" i="23"/>
  <c r="X291" i="23" s="1"/>
  <c r="W292" i="23"/>
  <c r="U292" i="23"/>
  <c r="U291" i="23" s="1"/>
  <c r="T292" i="23"/>
  <c r="T291" i="23" s="1"/>
  <c r="S292" i="23"/>
  <c r="R292" i="23"/>
  <c r="Q292" i="23"/>
  <c r="Q291" i="23" s="1"/>
  <c r="J292" i="23"/>
  <c r="AQ291" i="23"/>
  <c r="AO291" i="23"/>
  <c r="AN291" i="23"/>
  <c r="AL291" i="23"/>
  <c r="AK291" i="23"/>
  <c r="AJ291" i="23"/>
  <c r="AI291" i="23"/>
  <c r="AH291" i="23"/>
  <c r="AG291" i="23"/>
  <c r="AF291" i="23"/>
  <c r="AD291" i="23"/>
  <c r="AA291" i="23"/>
  <c r="Z291" i="23"/>
  <c r="W291" i="23"/>
  <c r="S291" i="23"/>
  <c r="R291" i="23"/>
  <c r="P291" i="23"/>
  <c r="O291" i="23"/>
  <c r="N291" i="23"/>
  <c r="M291" i="23"/>
  <c r="L291" i="23"/>
  <c r="J291" i="23" s="1"/>
  <c r="J290" i="23"/>
  <c r="R289" i="23"/>
  <c r="P289" i="23" s="1"/>
  <c r="Q289" i="23"/>
  <c r="AO288" i="23"/>
  <c r="AN288" i="23"/>
  <c r="AM288" i="23"/>
  <c r="AL288" i="23"/>
  <c r="AK288" i="23"/>
  <c r="AJ288" i="23"/>
  <c r="AI288" i="23"/>
  <c r="AH288" i="23"/>
  <c r="AG288" i="23"/>
  <c r="AF288" i="23"/>
  <c r="AE288" i="23"/>
  <c r="AD288" i="23"/>
  <c r="AC288" i="23"/>
  <c r="AB288" i="23"/>
  <c r="AA288" i="23"/>
  <c r="Z288" i="23"/>
  <c r="Y288" i="23"/>
  <c r="X288" i="23"/>
  <c r="W288" i="23"/>
  <c r="V288" i="23"/>
  <c r="U288" i="23"/>
  <c r="T288" i="23"/>
  <c r="S288" i="23"/>
  <c r="Q288" i="23"/>
  <c r="P288" i="23"/>
  <c r="O288" i="23"/>
  <c r="N288" i="23"/>
  <c r="M288" i="23"/>
  <c r="L288" i="23"/>
  <c r="J288" i="23" s="1"/>
  <c r="J287" i="23"/>
  <c r="Q286" i="23"/>
  <c r="AA285" i="23"/>
  <c r="R285" i="23"/>
  <c r="Q285" i="23"/>
  <c r="Q284" i="23"/>
  <c r="Q282" i="23" s="1"/>
  <c r="Q281" i="23" s="1"/>
  <c r="R283" i="23"/>
  <c r="P283" i="23" s="1"/>
  <c r="Q283" i="23"/>
  <c r="AJ282" i="23"/>
  <c r="AJ281" i="23" s="1"/>
  <c r="AI282" i="23"/>
  <c r="AI281" i="23" s="1"/>
  <c r="AH282" i="23"/>
  <c r="AG282" i="23"/>
  <c r="AF282" i="23"/>
  <c r="AF281" i="23" s="1"/>
  <c r="AE282" i="23"/>
  <c r="AE281" i="23" s="1"/>
  <c r="AD282" i="23"/>
  <c r="AC282" i="23"/>
  <c r="AB282" i="23"/>
  <c r="AB281" i="23" s="1"/>
  <c r="AA282" i="23"/>
  <c r="AA281" i="23" s="1"/>
  <c r="Y282" i="23"/>
  <c r="W282" i="23"/>
  <c r="V282" i="23"/>
  <c r="V281" i="23" s="1"/>
  <c r="U282" i="23"/>
  <c r="U281" i="23" s="1"/>
  <c r="T282" i="23"/>
  <c r="S282" i="23"/>
  <c r="R282" i="23"/>
  <c r="R281" i="23" s="1"/>
  <c r="J282" i="23"/>
  <c r="AO281" i="23"/>
  <c r="AN281" i="23"/>
  <c r="AH281" i="23"/>
  <c r="AG281" i="23"/>
  <c r="AD281" i="23"/>
  <c r="AC281" i="23"/>
  <c r="Y281" i="23"/>
  <c r="X281" i="23"/>
  <c r="W281" i="23"/>
  <c r="T281" i="23"/>
  <c r="S281" i="23"/>
  <c r="P281" i="23"/>
  <c r="AK281" i="23" s="1"/>
  <c r="AL281" i="23" s="1"/>
  <c r="O281" i="23"/>
  <c r="N281" i="23"/>
  <c r="M281" i="23"/>
  <c r="L281" i="23"/>
  <c r="J281" i="23" s="1"/>
  <c r="J280" i="23"/>
  <c r="AA279" i="23"/>
  <c r="T279" i="23"/>
  <c r="Q279" i="23"/>
  <c r="P279" i="23"/>
  <c r="AF278" i="23"/>
  <c r="T278" i="23"/>
  <c r="Q278" i="23"/>
  <c r="Q277" i="23" s="1"/>
  <c r="AJ277" i="23"/>
  <c r="AJ276" i="23" s="1"/>
  <c r="AI277" i="23"/>
  <c r="AH277" i="23"/>
  <c r="AG277" i="23"/>
  <c r="AG276" i="23" s="1"/>
  <c r="AF277" i="23"/>
  <c r="AF276" i="23" s="1"/>
  <c r="AE277" i="23"/>
  <c r="AD277" i="23"/>
  <c r="AC277" i="23"/>
  <c r="AC276" i="23" s="1"/>
  <c r="AB277" i="23"/>
  <c r="AB276" i="23" s="1"/>
  <c r="AA277" i="23"/>
  <c r="Y277" i="23"/>
  <c r="W277" i="23"/>
  <c r="W276" i="23" s="1"/>
  <c r="V277" i="23"/>
  <c r="V276" i="23" s="1"/>
  <c r="U277" i="23"/>
  <c r="T277" i="23"/>
  <c r="S277" i="23"/>
  <c r="AO276" i="23"/>
  <c r="AN276" i="23"/>
  <c r="AM276" i="23"/>
  <c r="AK276" i="23"/>
  <c r="AL276" i="23" s="1"/>
  <c r="AI276" i="23"/>
  <c r="AH276" i="23"/>
  <c r="AE276" i="23"/>
  <c r="AD276" i="23"/>
  <c r="AA276" i="23"/>
  <c r="Y276" i="23"/>
  <c r="X276" i="23"/>
  <c r="U276" i="23"/>
  <c r="T276" i="23"/>
  <c r="O276" i="23"/>
  <c r="N276" i="23"/>
  <c r="M276" i="23"/>
  <c r="L276" i="23"/>
  <c r="J276" i="23" s="1"/>
  <c r="J275" i="23"/>
  <c r="AF274" i="23"/>
  <c r="U274" i="23"/>
  <c r="U273" i="23" s="1"/>
  <c r="U272" i="23" s="1"/>
  <c r="P274" i="23"/>
  <c r="AJ273" i="23"/>
  <c r="AI273" i="23"/>
  <c r="AI272" i="23" s="1"/>
  <c r="AH273" i="23"/>
  <c r="AG273" i="23"/>
  <c r="AG272" i="23" s="1"/>
  <c r="AF273" i="23"/>
  <c r="AD273" i="23"/>
  <c r="AC273" i="23"/>
  <c r="AB273" i="23"/>
  <c r="Y273" i="23"/>
  <c r="X273" i="23"/>
  <c r="X272" i="23" s="1"/>
  <c r="W273" i="23"/>
  <c r="V273" i="23"/>
  <c r="V272" i="23" s="1"/>
  <c r="S273" i="23"/>
  <c r="R273" i="23"/>
  <c r="R272" i="23" s="1"/>
  <c r="J273" i="23"/>
  <c r="AO272" i="23"/>
  <c r="AN272" i="23"/>
  <c r="AJ272" i="23"/>
  <c r="AJ249" i="23" s="1"/>
  <c r="AH272" i="23"/>
  <c r="AF272" i="23"/>
  <c r="AE272" i="23"/>
  <c r="AD272" i="23"/>
  <c r="AC272" i="23"/>
  <c r="AB272" i="23"/>
  <c r="AA272" i="23"/>
  <c r="Y272" i="23"/>
  <c r="W272" i="23"/>
  <c r="S272" i="23"/>
  <c r="O272" i="23"/>
  <c r="N272" i="23"/>
  <c r="M272" i="23"/>
  <c r="L272" i="23"/>
  <c r="J272" i="23" s="1"/>
  <c r="AK270" i="23"/>
  <c r="AL270" i="23" s="1"/>
  <c r="O270" i="23"/>
  <c r="N270" i="23"/>
  <c r="N249" i="23" s="1"/>
  <c r="M270" i="23"/>
  <c r="L270" i="23"/>
  <c r="AA269" i="23"/>
  <c r="V269" i="23"/>
  <c r="V268" i="23" s="1"/>
  <c r="Q269" i="23"/>
  <c r="AI268" i="23"/>
  <c r="AI250" i="23" s="1"/>
  <c r="AH268" i="23"/>
  <c r="AG268" i="23"/>
  <c r="AF268" i="23"/>
  <c r="AE268" i="23"/>
  <c r="AE250" i="23" s="1"/>
  <c r="AD268" i="23"/>
  <c r="AC268" i="23"/>
  <c r="AB268" i="23"/>
  <c r="Y268" i="23"/>
  <c r="X268" i="23"/>
  <c r="W268" i="23"/>
  <c r="W250" i="23" s="1"/>
  <c r="U268" i="23"/>
  <c r="T268" i="23"/>
  <c r="S268" i="23"/>
  <c r="R268" i="23"/>
  <c r="R250" i="23" s="1"/>
  <c r="AA266" i="23"/>
  <c r="T266" i="23"/>
  <c r="Q266" i="23"/>
  <c r="AA265" i="23"/>
  <c r="T265" i="23"/>
  <c r="R265" i="23"/>
  <c r="Q265" i="23"/>
  <c r="AE264" i="23"/>
  <c r="AD264" i="23"/>
  <c r="AC264" i="23"/>
  <c r="AB264" i="23"/>
  <c r="Y264" i="23"/>
  <c r="Y263" i="23" s="1"/>
  <c r="X264" i="23"/>
  <c r="X263" i="23" s="1"/>
  <c r="W264" i="23"/>
  <c r="V264" i="23"/>
  <c r="U264" i="23"/>
  <c r="S264" i="23"/>
  <c r="R264" i="23"/>
  <c r="AQ263" i="23"/>
  <c r="AI263" i="23"/>
  <c r="AH263" i="23"/>
  <c r="AF263" i="23"/>
  <c r="AE263" i="23"/>
  <c r="AD263" i="23"/>
  <c r="AB263" i="23"/>
  <c r="AA263" i="23"/>
  <c r="Z263" i="23"/>
  <c r="W263" i="23"/>
  <c r="S263" i="23"/>
  <c r="Q263" i="23"/>
  <c r="AM263" i="23" s="1"/>
  <c r="P263" i="23"/>
  <c r="O263" i="23"/>
  <c r="N263" i="23"/>
  <c r="M263" i="23"/>
  <c r="L263" i="23"/>
  <c r="J263" i="23"/>
  <c r="AF262" i="23"/>
  <c r="AA262" i="23"/>
  <c r="AA261" i="23" s="1"/>
  <c r="AA260" i="23" s="1"/>
  <c r="AA249" i="23" s="1"/>
  <c r="V262" i="23"/>
  <c r="R262" i="23"/>
  <c r="Q262" i="23"/>
  <c r="P262" i="23"/>
  <c r="AO261" i="23"/>
  <c r="AN261" i="23"/>
  <c r="AN260" i="23" s="1"/>
  <c r="AM261" i="23"/>
  <c r="AL261" i="23"/>
  <c r="AL260" i="23" s="1"/>
  <c r="AK261" i="23"/>
  <c r="AJ261" i="23"/>
  <c r="AJ260" i="23" s="1"/>
  <c r="AI261" i="23"/>
  <c r="AH261" i="23"/>
  <c r="AH260" i="23" s="1"/>
  <c r="AG261" i="23"/>
  <c r="AF261" i="23"/>
  <c r="AF260" i="23" s="1"/>
  <c r="AF235" i="23" s="1"/>
  <c r="AE261" i="23"/>
  <c r="AD261" i="23"/>
  <c r="AD260" i="23" s="1"/>
  <c r="AD249" i="23" s="1"/>
  <c r="AC261" i="23"/>
  <c r="AB261" i="23"/>
  <c r="AB260" i="23" s="1"/>
  <c r="Y261" i="23"/>
  <c r="Y260" i="23" s="1"/>
  <c r="W261" i="23"/>
  <c r="V261" i="23"/>
  <c r="U261" i="23"/>
  <c r="T261" i="23"/>
  <c r="S261" i="23"/>
  <c r="R261" i="23"/>
  <c r="Q261" i="23"/>
  <c r="AO260" i="23"/>
  <c r="AO235" i="23" s="1"/>
  <c r="AM260" i="23"/>
  <c r="AK260" i="23"/>
  <c r="AI260" i="23"/>
  <c r="AG260" i="23"/>
  <c r="AE260" i="23"/>
  <c r="AC260" i="23"/>
  <c r="X260" i="23"/>
  <c r="W260" i="23"/>
  <c r="V260" i="23"/>
  <c r="U260" i="23"/>
  <c r="T260" i="23"/>
  <c r="S260" i="23"/>
  <c r="R260" i="23"/>
  <c r="Q260" i="23"/>
  <c r="P260" i="23"/>
  <c r="P249" i="23" s="1"/>
  <c r="M260" i="23"/>
  <c r="L260" i="23"/>
  <c r="J260" i="23" s="1"/>
  <c r="AA258" i="23"/>
  <c r="X258" i="23"/>
  <c r="X256" i="23" s="1"/>
  <c r="X255" i="23" s="1"/>
  <c r="V258" i="23"/>
  <c r="Q258" i="23"/>
  <c r="AA257" i="23"/>
  <c r="Q257" i="23"/>
  <c r="AE256" i="23"/>
  <c r="AD256" i="23"/>
  <c r="AC256" i="23"/>
  <c r="AB256" i="23"/>
  <c r="AB255" i="23" s="1"/>
  <c r="AB249" i="23" s="1"/>
  <c r="AA256" i="23"/>
  <c r="Y256" i="23"/>
  <c r="W256" i="23"/>
  <c r="W255" i="23" s="1"/>
  <c r="V256" i="23"/>
  <c r="U256" i="23"/>
  <c r="T256" i="23"/>
  <c r="S256" i="23"/>
  <c r="S255" i="23" s="1"/>
  <c r="R256" i="23"/>
  <c r="AO255" i="23"/>
  <c r="AN255" i="23"/>
  <c r="AN249" i="23" s="1"/>
  <c r="AM255" i="23"/>
  <c r="AL255" i="23"/>
  <c r="AK255" i="23"/>
  <c r="AJ255" i="23"/>
  <c r="AI255" i="23"/>
  <c r="AH255" i="23"/>
  <c r="AG255" i="23"/>
  <c r="AF255" i="23"/>
  <c r="AE255" i="23"/>
  <c r="AD255" i="23"/>
  <c r="AC255" i="23"/>
  <c r="AA255" i="23"/>
  <c r="Y255" i="23"/>
  <c r="V255" i="23"/>
  <c r="U255" i="23"/>
  <c r="T255" i="23"/>
  <c r="R255" i="23"/>
  <c r="P255" i="23"/>
  <c r="O255" i="23"/>
  <c r="O249" i="23" s="1"/>
  <c r="N255" i="23"/>
  <c r="M255" i="23"/>
  <c r="L255" i="23"/>
  <c r="AA254" i="23"/>
  <c r="AA253" i="23" s="1"/>
  <c r="Q254" i="23"/>
  <c r="AI253" i="23"/>
  <c r="AH253" i="23"/>
  <c r="AG253" i="23"/>
  <c r="AF253" i="23"/>
  <c r="AE253" i="23"/>
  <c r="AD253" i="23"/>
  <c r="AC253" i="23"/>
  <c r="AB253" i="23"/>
  <c r="Y253" i="23"/>
  <c r="X253" i="23"/>
  <c r="X252" i="23" s="1"/>
  <c r="X249" i="23" s="1"/>
  <c r="W253" i="23"/>
  <c r="V253" i="23"/>
  <c r="V252" i="23" s="1"/>
  <c r="V249" i="23" s="1"/>
  <c r="U253" i="23"/>
  <c r="T253" i="23"/>
  <c r="T252" i="23" s="1"/>
  <c r="S253" i="23"/>
  <c r="R253" i="23"/>
  <c r="R252" i="23" s="1"/>
  <c r="Q253" i="23"/>
  <c r="AO252" i="23"/>
  <c r="AO249" i="23" s="1"/>
  <c r="AN252" i="23"/>
  <c r="AM252" i="23"/>
  <c r="AL252" i="23"/>
  <c r="AK252" i="23"/>
  <c r="AJ252" i="23"/>
  <c r="AI252" i="23"/>
  <c r="AH252" i="23"/>
  <c r="AG252" i="23"/>
  <c r="AG249" i="23" s="1"/>
  <c r="AF252" i="23"/>
  <c r="AE252" i="23"/>
  <c r="AD252" i="23"/>
  <c r="AC252" i="23"/>
  <c r="AC249" i="23" s="1"/>
  <c r="AB252" i="23"/>
  <c r="Y252" i="23"/>
  <c r="W252" i="23"/>
  <c r="W249" i="23" s="1"/>
  <c r="U252" i="23"/>
  <c r="S252" i="23"/>
  <c r="O252" i="23"/>
  <c r="N252" i="23"/>
  <c r="M252" i="23"/>
  <c r="L252" i="23"/>
  <c r="L251" i="23"/>
  <c r="AM250" i="23"/>
  <c r="AL250" i="23"/>
  <c r="AK250" i="23"/>
  <c r="AJ250" i="23"/>
  <c r="AH250" i="23"/>
  <c r="AF250" i="23"/>
  <c r="AD250" i="23"/>
  <c r="AB250" i="23"/>
  <c r="AA250" i="23"/>
  <c r="Y250" i="23"/>
  <c r="Y161" i="23" s="1"/>
  <c r="X250" i="23"/>
  <c r="U250" i="23"/>
  <c r="T250" i="23"/>
  <c r="S250" i="23"/>
  <c r="Q250" i="23"/>
  <c r="P250" i="23"/>
  <c r="O250" i="23"/>
  <c r="N250" i="23"/>
  <c r="M250" i="23"/>
  <c r="L250" i="23"/>
  <c r="AF249" i="23"/>
  <c r="M249" i="23"/>
  <c r="M160" i="23" s="1"/>
  <c r="K249" i="23"/>
  <c r="L248" i="23"/>
  <c r="AO246" i="23"/>
  <c r="AN246" i="23"/>
  <c r="AM246" i="23"/>
  <c r="AL246" i="23"/>
  <c r="AK246" i="23"/>
  <c r="AG246" i="23"/>
  <c r="AF246" i="23"/>
  <c r="AE246" i="23"/>
  <c r="AD246" i="23"/>
  <c r="AC246" i="23"/>
  <c r="AB246" i="23"/>
  <c r="Y246" i="23"/>
  <c r="X246" i="23"/>
  <c r="X245" i="23" s="1"/>
  <c r="W246" i="23"/>
  <c r="V246" i="23"/>
  <c r="U246" i="23"/>
  <c r="T246" i="23"/>
  <c r="T245" i="23" s="1"/>
  <c r="S246" i="23"/>
  <c r="R246" i="23"/>
  <c r="O246" i="23"/>
  <c r="L246" i="23" s="1"/>
  <c r="L245" i="23" s="1"/>
  <c r="AO245" i="23"/>
  <c r="AN245" i="23"/>
  <c r="AJ245" i="23"/>
  <c r="AI245" i="23"/>
  <c r="AH245" i="23"/>
  <c r="AG245" i="23"/>
  <c r="AF245" i="23"/>
  <c r="AE245" i="23"/>
  <c r="AD245" i="23"/>
  <c r="AC245" i="23"/>
  <c r="AB245" i="23"/>
  <c r="AA245" i="23"/>
  <c r="Z245" i="23"/>
  <c r="Y245" i="23"/>
  <c r="W245" i="23"/>
  <c r="V245" i="23"/>
  <c r="U245" i="23"/>
  <c r="S245" i="23"/>
  <c r="R245" i="23"/>
  <c r="Q245" i="23"/>
  <c r="P245" i="23"/>
  <c r="AK245" i="23" s="1"/>
  <c r="AL245" i="23" s="1"/>
  <c r="O245" i="23"/>
  <c r="N245" i="23"/>
  <c r="M245" i="23"/>
  <c r="AA243" i="23"/>
  <c r="R243" i="23"/>
  <c r="P243" i="23" s="1"/>
  <c r="P242" i="23" s="1"/>
  <c r="P241" i="23" s="1"/>
  <c r="Q243" i="23"/>
  <c r="Q242" i="23" s="1"/>
  <c r="L243" i="23"/>
  <c r="AO242" i="23"/>
  <c r="AN242" i="23"/>
  <c r="AM242" i="23"/>
  <c r="AL242" i="23"/>
  <c r="AK242" i="23"/>
  <c r="AG242" i="23"/>
  <c r="AG241" i="23" s="1"/>
  <c r="AF242" i="23"/>
  <c r="AE242" i="23"/>
  <c r="AD242" i="23"/>
  <c r="AC242" i="23"/>
  <c r="AC241" i="23" s="1"/>
  <c r="AC235" i="23" s="1"/>
  <c r="AB242" i="23"/>
  <c r="AA242" i="23"/>
  <c r="Y242" i="23"/>
  <c r="X242" i="23"/>
  <c r="X241" i="23" s="1"/>
  <c r="X235" i="23" s="1"/>
  <c r="X160" i="23" s="1"/>
  <c r="W242" i="23"/>
  <c r="V242" i="23"/>
  <c r="V241" i="23" s="1"/>
  <c r="U242" i="23"/>
  <c r="T242" i="23"/>
  <c r="T241" i="23" s="1"/>
  <c r="T235" i="23" s="1"/>
  <c r="S242" i="23"/>
  <c r="R242" i="23"/>
  <c r="R241" i="23" s="1"/>
  <c r="O242" i="23"/>
  <c r="L242" i="23"/>
  <c r="L241" i="23" s="1"/>
  <c r="L235" i="23" s="1"/>
  <c r="AO241" i="23"/>
  <c r="AN241" i="23"/>
  <c r="AN235" i="23" s="1"/>
  <c r="AJ241" i="23"/>
  <c r="AI241" i="23"/>
  <c r="AH241" i="23"/>
  <c r="AF241" i="23"/>
  <c r="AE241" i="23"/>
  <c r="AD241" i="23"/>
  <c r="AB241" i="23"/>
  <c r="AA241" i="23"/>
  <c r="Z241" i="23"/>
  <c r="Y241" i="23"/>
  <c r="Y235" i="23" s="1"/>
  <c r="W241" i="23"/>
  <c r="W235" i="23" s="1"/>
  <c r="U241" i="23"/>
  <c r="U235" i="23" s="1"/>
  <c r="S241" i="23"/>
  <c r="S235" i="23" s="1"/>
  <c r="Q241" i="23"/>
  <c r="O241" i="23"/>
  <c r="O235" i="23" s="1"/>
  <c r="N241" i="23"/>
  <c r="M241" i="23"/>
  <c r="M235" i="23" s="1"/>
  <c r="AO238" i="23"/>
  <c r="AN238" i="23"/>
  <c r="AM238" i="23"/>
  <c r="AL238" i="23"/>
  <c r="AK238" i="23"/>
  <c r="AJ238" i="23"/>
  <c r="AI238" i="23"/>
  <c r="AH238" i="23"/>
  <c r="AG238" i="23"/>
  <c r="AF238" i="23"/>
  <c r="AE238" i="23"/>
  <c r="AD238" i="23"/>
  <c r="AC238" i="23"/>
  <c r="AB238" i="23"/>
  <c r="AA238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L237" i="23"/>
  <c r="L236" i="23"/>
  <c r="AE235" i="23"/>
  <c r="AD235" i="23"/>
  <c r="AB235" i="23"/>
  <c r="AA235" i="23"/>
  <c r="V235" i="23"/>
  <c r="R235" i="23"/>
  <c r="N235" i="23"/>
  <c r="K235" i="23"/>
  <c r="J235" i="23"/>
  <c r="L234" i="23"/>
  <c r="AO232" i="23"/>
  <c r="AN232" i="23"/>
  <c r="AM232" i="23"/>
  <c r="AL232" i="23"/>
  <c r="AK232" i="23"/>
  <c r="AJ232" i="23"/>
  <c r="AI232" i="23"/>
  <c r="AH232" i="23"/>
  <c r="AG232" i="23"/>
  <c r="AF232" i="23"/>
  <c r="AE232" i="23"/>
  <c r="AD232" i="23"/>
  <c r="AC232" i="23"/>
  <c r="AB232" i="23"/>
  <c r="AA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AO230" i="23"/>
  <c r="AN230" i="23"/>
  <c r="AM230" i="23"/>
  <c r="AL230" i="23"/>
  <c r="AK230" i="23"/>
  <c r="AJ230" i="23"/>
  <c r="AI230" i="23"/>
  <c r="AH230" i="23"/>
  <c r="AG230" i="23"/>
  <c r="AF230" i="23"/>
  <c r="AF209" i="23" s="1"/>
  <c r="AE230" i="23"/>
  <c r="AD230" i="23"/>
  <c r="AC230" i="23"/>
  <c r="AB230" i="23"/>
  <c r="AA230" i="23"/>
  <c r="Y230" i="23"/>
  <c r="X230" i="23"/>
  <c r="W230" i="23"/>
  <c r="W209" i="23" s="1"/>
  <c r="V230" i="23"/>
  <c r="U230" i="23"/>
  <c r="T230" i="23"/>
  <c r="S230" i="23"/>
  <c r="R230" i="23"/>
  <c r="Q230" i="23"/>
  <c r="P230" i="23"/>
  <c r="O230" i="23"/>
  <c r="O209" i="23" s="1"/>
  <c r="O161" i="23" s="1"/>
  <c r="N230" i="23"/>
  <c r="M230" i="23"/>
  <c r="L230" i="23"/>
  <c r="AO228" i="23"/>
  <c r="AN228" i="23"/>
  <c r="AM228" i="23"/>
  <c r="AL228" i="23"/>
  <c r="AK228" i="23"/>
  <c r="AJ228" i="23"/>
  <c r="AI228" i="23"/>
  <c r="AI209" i="23" s="1"/>
  <c r="AH228" i="23"/>
  <c r="AG228" i="23"/>
  <c r="AG209" i="23" s="1"/>
  <c r="AF228" i="23"/>
  <c r="AE228" i="23"/>
  <c r="AE209" i="23" s="1"/>
  <c r="AD228" i="23"/>
  <c r="AC228" i="23"/>
  <c r="AC209" i="23" s="1"/>
  <c r="AB228" i="23"/>
  <c r="AA228" i="23"/>
  <c r="AA209" i="23" s="1"/>
  <c r="Y228" i="23"/>
  <c r="X228" i="23"/>
  <c r="X209" i="23" s="1"/>
  <c r="W228" i="23"/>
  <c r="V228" i="23"/>
  <c r="V209" i="23" s="1"/>
  <c r="U228" i="23"/>
  <c r="T228" i="23"/>
  <c r="T209" i="23" s="1"/>
  <c r="S228" i="23"/>
  <c r="R228" i="23"/>
  <c r="R209" i="23" s="1"/>
  <c r="Q228" i="23"/>
  <c r="P228" i="23"/>
  <c r="P209" i="23" s="1"/>
  <c r="O228" i="23"/>
  <c r="N228" i="23"/>
  <c r="N209" i="23" s="1"/>
  <c r="M228" i="23"/>
  <c r="L228" i="23"/>
  <c r="L209" i="23" s="1"/>
  <c r="Q227" i="23"/>
  <c r="Q226" i="23"/>
  <c r="Q225" i="23"/>
  <c r="Q224" i="23"/>
  <c r="Q223" i="23" s="1"/>
  <c r="Q222" i="23" s="1"/>
  <c r="AJ223" i="23"/>
  <c r="AI223" i="23"/>
  <c r="AI222" i="23" s="1"/>
  <c r="AH223" i="23"/>
  <c r="AG223" i="23"/>
  <c r="AG222" i="23" s="1"/>
  <c r="AF223" i="23"/>
  <c r="AE223" i="23"/>
  <c r="AE222" i="23" s="1"/>
  <c r="AD223" i="23"/>
  <c r="AC223" i="23"/>
  <c r="AC222" i="23" s="1"/>
  <c r="AB223" i="23"/>
  <c r="AA223" i="23"/>
  <c r="AA222" i="23" s="1"/>
  <c r="Y223" i="23"/>
  <c r="W223" i="23"/>
  <c r="W222" i="23" s="1"/>
  <c r="V223" i="23"/>
  <c r="U223" i="23"/>
  <c r="T223" i="23"/>
  <c r="S223" i="23"/>
  <c r="S222" i="23" s="1"/>
  <c r="R223" i="23"/>
  <c r="AO222" i="23"/>
  <c r="AN222" i="23"/>
  <c r="AM222" i="23"/>
  <c r="AL222" i="23"/>
  <c r="AK222" i="23"/>
  <c r="AJ222" i="23"/>
  <c r="AH222" i="23"/>
  <c r="AF222" i="23"/>
  <c r="AD222" i="23"/>
  <c r="AB222" i="23"/>
  <c r="Y222" i="23"/>
  <c r="X222" i="23"/>
  <c r="V222" i="23"/>
  <c r="U222" i="23"/>
  <c r="T222" i="23"/>
  <c r="R222" i="23"/>
  <c r="P222" i="23"/>
  <c r="O222" i="23"/>
  <c r="N222" i="23"/>
  <c r="M222" i="23"/>
  <c r="L222" i="23"/>
  <c r="Q221" i="23"/>
  <c r="Q217" i="23" s="1"/>
  <c r="Q216" i="23" s="1"/>
  <c r="Q220" i="23"/>
  <c r="Q219" i="23"/>
  <c r="Q218" i="23"/>
  <c r="AO217" i="23"/>
  <c r="AO216" i="23" s="1"/>
  <c r="AN217" i="23"/>
  <c r="AM217" i="23"/>
  <c r="AM216" i="23" s="1"/>
  <c r="AL217" i="23"/>
  <c r="AK217" i="23"/>
  <c r="AK216" i="23" s="1"/>
  <c r="AJ217" i="23"/>
  <c r="AI217" i="23"/>
  <c r="AI216" i="23" s="1"/>
  <c r="AH217" i="23"/>
  <c r="AG217" i="23"/>
  <c r="AG216" i="23" s="1"/>
  <c r="AF217" i="23"/>
  <c r="AE217" i="23"/>
  <c r="AE216" i="23" s="1"/>
  <c r="AD217" i="23"/>
  <c r="AC217" i="23"/>
  <c r="AC216" i="23" s="1"/>
  <c r="AB217" i="23"/>
  <c r="AA217" i="23"/>
  <c r="AA216" i="23" s="1"/>
  <c r="Y217" i="23"/>
  <c r="W217" i="23"/>
  <c r="W216" i="23" s="1"/>
  <c r="V217" i="23"/>
  <c r="U217" i="23"/>
  <c r="T217" i="23"/>
  <c r="S217" i="23"/>
  <c r="S216" i="23" s="1"/>
  <c r="R217" i="23"/>
  <c r="AN216" i="23"/>
  <c r="AL216" i="23"/>
  <c r="AJ216" i="23"/>
  <c r="AJ208" i="23" s="1"/>
  <c r="AH216" i="23"/>
  <c r="AF216" i="23"/>
  <c r="AD216" i="23"/>
  <c r="AB216" i="23"/>
  <c r="AB208" i="23" s="1"/>
  <c r="AB160" i="23" s="1"/>
  <c r="Y216" i="23"/>
  <c r="X216" i="23"/>
  <c r="V216" i="23"/>
  <c r="U216" i="23"/>
  <c r="T216" i="23"/>
  <c r="R216" i="23"/>
  <c r="P216" i="23"/>
  <c r="O216" i="23"/>
  <c r="N216" i="23"/>
  <c r="M216" i="23"/>
  <c r="L216" i="23"/>
  <c r="AF214" i="23"/>
  <c r="AF212" i="23" s="1"/>
  <c r="AF211" i="23" s="1"/>
  <c r="AA214" i="23"/>
  <c r="U214" i="23"/>
  <c r="T214" i="23" s="1"/>
  <c r="T212" i="23" s="1"/>
  <c r="T211" i="23" s="1"/>
  <c r="AA213" i="23"/>
  <c r="V213" i="23"/>
  <c r="Q213" i="23" s="1"/>
  <c r="AO212" i="23"/>
  <c r="AO211" i="23" s="1"/>
  <c r="AN212" i="23"/>
  <c r="AM212" i="23"/>
  <c r="AL212" i="23"/>
  <c r="AK212" i="23"/>
  <c r="AJ212" i="23"/>
  <c r="AI212" i="23"/>
  <c r="AI211" i="23" s="1"/>
  <c r="AI208" i="23" s="1"/>
  <c r="AH212" i="23"/>
  <c r="AG212" i="23"/>
  <c r="AE212" i="23"/>
  <c r="AE211" i="23" s="1"/>
  <c r="AE208" i="23" s="1"/>
  <c r="AD212" i="23"/>
  <c r="AC212" i="23"/>
  <c r="AB212" i="23"/>
  <c r="Y212" i="23"/>
  <c r="Y211" i="23" s="1"/>
  <c r="Y208" i="23" s="1"/>
  <c r="X212" i="23"/>
  <c r="W212" i="23"/>
  <c r="W211" i="23" s="1"/>
  <c r="V212" i="23"/>
  <c r="U212" i="23"/>
  <c r="U211" i="23" s="1"/>
  <c r="S212" i="23"/>
  <c r="R212" i="23"/>
  <c r="R211" i="23" s="1"/>
  <c r="R208" i="23" s="1"/>
  <c r="AN211" i="23"/>
  <c r="AN208" i="23" s="1"/>
  <c r="AJ211" i="23"/>
  <c r="AH211" i="23"/>
  <c r="AG211" i="23"/>
  <c r="AD211" i="23"/>
  <c r="AC211" i="23"/>
  <c r="AB211" i="23"/>
  <c r="AA211" i="23"/>
  <c r="X211" i="23"/>
  <c r="X208" i="23" s="1"/>
  <c r="V211" i="23"/>
  <c r="V208" i="23" s="1"/>
  <c r="S211" i="23"/>
  <c r="Q211" i="23"/>
  <c r="AM211" i="23" s="1"/>
  <c r="AM208" i="23" s="1"/>
  <c r="P211" i="23"/>
  <c r="O211" i="23"/>
  <c r="N211" i="23"/>
  <c r="M211" i="23"/>
  <c r="M208" i="23" s="1"/>
  <c r="L211" i="23"/>
  <c r="AJ209" i="23"/>
  <c r="AH209" i="23"/>
  <c r="AD209" i="23"/>
  <c r="AB209" i="23"/>
  <c r="AB161" i="23" s="1"/>
  <c r="Y209" i="23"/>
  <c r="U209" i="23"/>
  <c r="S209" i="23"/>
  <c r="S161" i="23" s="1"/>
  <c r="Q209" i="23"/>
  <c r="M209" i="23"/>
  <c r="AO208" i="23"/>
  <c r="AO160" i="23" s="1"/>
  <c r="AH208" i="23"/>
  <c r="AD208" i="23"/>
  <c r="U208" i="23"/>
  <c r="P208" i="23"/>
  <c r="N208" i="23"/>
  <c r="L208" i="23"/>
  <c r="K208" i="23"/>
  <c r="J208" i="23"/>
  <c r="P204" i="23"/>
  <c r="P201" i="23"/>
  <c r="P198" i="23"/>
  <c r="AA196" i="23"/>
  <c r="X196" i="23"/>
  <c r="Q196" i="23"/>
  <c r="AA195" i="23"/>
  <c r="X195" i="23"/>
  <c r="Q195" i="23"/>
  <c r="AA194" i="23"/>
  <c r="AA193" i="23"/>
  <c r="T193" i="23"/>
  <c r="R193" i="23"/>
  <c r="Q193" i="23"/>
  <c r="X192" i="23"/>
  <c r="Q192" i="23"/>
  <c r="AJ191" i="23"/>
  <c r="AI191" i="23"/>
  <c r="AI190" i="23" s="1"/>
  <c r="AH191" i="23"/>
  <c r="AG191" i="23"/>
  <c r="AG190" i="23" s="1"/>
  <c r="AF191" i="23"/>
  <c r="AE191" i="23"/>
  <c r="AE190" i="23" s="1"/>
  <c r="AD191" i="23"/>
  <c r="AC191" i="23"/>
  <c r="AC190" i="23" s="1"/>
  <c r="AB191" i="23"/>
  <c r="AA191" i="23"/>
  <c r="AA190" i="23" s="1"/>
  <c r="S191" i="23"/>
  <c r="R191" i="23"/>
  <c r="R190" i="23" s="1"/>
  <c r="AO190" i="23"/>
  <c r="AN190" i="23"/>
  <c r="AM190" i="23"/>
  <c r="AL190" i="23"/>
  <c r="AK190" i="23"/>
  <c r="AJ190" i="23"/>
  <c r="AH190" i="23"/>
  <c r="AF190" i="23"/>
  <c r="AD190" i="23"/>
  <c r="AB190" i="23"/>
  <c r="Y190" i="23"/>
  <c r="X190" i="23"/>
  <c r="W190" i="23"/>
  <c r="V190" i="23"/>
  <c r="U190" i="23"/>
  <c r="T190" i="23"/>
  <c r="S190" i="23"/>
  <c r="Q190" i="23"/>
  <c r="P190" i="23"/>
  <c r="O190" i="23"/>
  <c r="N190" i="23"/>
  <c r="M190" i="23"/>
  <c r="L190" i="23"/>
  <c r="AA189" i="23"/>
  <c r="Q189" i="23"/>
  <c r="AG188" i="23"/>
  <c r="AF188" i="23"/>
  <c r="AE188" i="23"/>
  <c r="AD188" i="23"/>
  <c r="AC188" i="23"/>
  <c r="AB188" i="23"/>
  <c r="AA188" i="23"/>
  <c r="Y188" i="23"/>
  <c r="X188" i="23"/>
  <c r="X187" i="23" s="1"/>
  <c r="W188" i="23"/>
  <c r="V188" i="23"/>
  <c r="V187" i="23" s="1"/>
  <c r="U188" i="23"/>
  <c r="T188" i="23"/>
  <c r="T187" i="23" s="1"/>
  <c r="S188" i="23"/>
  <c r="R188" i="23"/>
  <c r="R187" i="23" s="1"/>
  <c r="Q188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Y187" i="23"/>
  <c r="W187" i="23"/>
  <c r="U187" i="23"/>
  <c r="S187" i="23"/>
  <c r="O187" i="23"/>
  <c r="N187" i="23"/>
  <c r="M187" i="23"/>
  <c r="L187" i="23"/>
  <c r="AA186" i="23"/>
  <c r="Q186" i="23"/>
  <c r="AE184" i="23"/>
  <c r="AE183" i="23" s="1"/>
  <c r="AD184" i="23"/>
  <c r="AC184" i="23"/>
  <c r="AC183" i="23" s="1"/>
  <c r="AB184" i="23"/>
  <c r="AA184" i="23"/>
  <c r="AA183" i="23" s="1"/>
  <c r="Y184" i="23"/>
  <c r="X184" i="23"/>
  <c r="W184" i="23"/>
  <c r="V184" i="23"/>
  <c r="V183" i="23" s="1"/>
  <c r="V163" i="23" s="1"/>
  <c r="V159" i="23" s="1"/>
  <c r="U184" i="23"/>
  <c r="T184" i="23"/>
  <c r="AO183" i="23"/>
  <c r="AN183" i="23"/>
  <c r="AM183" i="23"/>
  <c r="AL183" i="23"/>
  <c r="AK183" i="23"/>
  <c r="AJ183" i="23"/>
  <c r="AI183" i="23"/>
  <c r="AH183" i="23"/>
  <c r="AG183" i="23"/>
  <c r="AF183" i="23"/>
  <c r="AD183" i="23"/>
  <c r="AD163" i="23" s="1"/>
  <c r="AD159" i="23" s="1"/>
  <c r="AB183" i="23"/>
  <c r="Z183" i="23"/>
  <c r="Y183" i="23"/>
  <c r="X183" i="23"/>
  <c r="W183" i="23"/>
  <c r="U183" i="23"/>
  <c r="T183" i="23"/>
  <c r="S183" i="23"/>
  <c r="R183" i="23"/>
  <c r="Q183" i="23"/>
  <c r="P183" i="23"/>
  <c r="P163" i="23" s="1"/>
  <c r="P159" i="23" s="1"/>
  <c r="O183" i="23"/>
  <c r="N183" i="23"/>
  <c r="M183" i="23"/>
  <c r="L183" i="23"/>
  <c r="L163" i="23" s="1"/>
  <c r="L159" i="23" s="1"/>
  <c r="AF182" i="23"/>
  <c r="R182" i="23"/>
  <c r="Q182" i="23"/>
  <c r="AA181" i="23"/>
  <c r="AA175" i="23" s="1"/>
  <c r="AA174" i="23" s="1"/>
  <c r="AA163" i="23" s="1"/>
  <c r="AA159" i="23" s="1"/>
  <c r="AF180" i="23"/>
  <c r="AA180" i="23"/>
  <c r="Q180" i="23"/>
  <c r="AF179" i="23"/>
  <c r="AA179" i="23"/>
  <c r="R179" i="23"/>
  <c r="R175" i="23" s="1"/>
  <c r="R174" i="23" s="1"/>
  <c r="Q179" i="23"/>
  <c r="AF178" i="23"/>
  <c r="Q178" i="23"/>
  <c r="AF177" i="23"/>
  <c r="Q177" i="23"/>
  <c r="AF176" i="23"/>
  <c r="R176" i="23"/>
  <c r="Q176" i="23"/>
  <c r="AO175" i="23"/>
  <c r="AN175" i="23"/>
  <c r="AN174" i="23" s="1"/>
  <c r="AM175" i="23"/>
  <c r="AL175" i="23"/>
  <c r="AK175" i="23"/>
  <c r="AH175" i="23"/>
  <c r="AH174" i="23" s="1"/>
  <c r="AG175" i="23"/>
  <c r="AE175" i="23"/>
  <c r="AE174" i="23" s="1"/>
  <c r="AD175" i="23"/>
  <c r="AC175" i="23"/>
  <c r="AC174" i="23" s="1"/>
  <c r="AC163" i="23" s="1"/>
  <c r="AC159" i="23" s="1"/>
  <c r="AB175" i="23"/>
  <c r="Y175" i="23"/>
  <c r="W175" i="23"/>
  <c r="W174" i="23" s="1"/>
  <c r="V175" i="23"/>
  <c r="U175" i="23"/>
  <c r="T175" i="23"/>
  <c r="S175" i="23"/>
  <c r="S174" i="23" s="1"/>
  <c r="S163" i="23" s="1"/>
  <c r="S159" i="23" s="1"/>
  <c r="AO174" i="23"/>
  <c r="AL174" i="23"/>
  <c r="AJ174" i="23"/>
  <c r="AI174" i="23"/>
  <c r="AI163" i="23" s="1"/>
  <c r="AI159" i="23" s="1"/>
  <c r="AG174" i="23"/>
  <c r="AD174" i="23"/>
  <c r="AB174" i="23"/>
  <c r="Y174" i="23"/>
  <c r="X174" i="23"/>
  <c r="V174" i="23"/>
  <c r="U174" i="23"/>
  <c r="T174" i="23"/>
  <c r="Q174" i="23"/>
  <c r="AM174" i="23" s="1"/>
  <c r="O174" i="23"/>
  <c r="N174" i="23"/>
  <c r="M174" i="23"/>
  <c r="L174" i="23"/>
  <c r="J174" i="23" s="1"/>
  <c r="J163" i="23" s="1"/>
  <c r="J159" i="23" s="1"/>
  <c r="AA172" i="23"/>
  <c r="R172" i="23"/>
  <c r="R171" i="23" s="1"/>
  <c r="R170" i="23" s="1"/>
  <c r="Q172" i="23"/>
  <c r="AG171" i="23"/>
  <c r="AG170" i="23" s="1"/>
  <c r="AF171" i="23"/>
  <c r="AE171" i="23"/>
  <c r="AE170" i="23" s="1"/>
  <c r="AD171" i="23"/>
  <c r="AC171" i="23"/>
  <c r="AC170" i="23" s="1"/>
  <c r="AB171" i="23"/>
  <c r="Y171" i="23"/>
  <c r="X171" i="23"/>
  <c r="W171" i="23"/>
  <c r="V171" i="23"/>
  <c r="U171" i="23"/>
  <c r="T171" i="23"/>
  <c r="S171" i="23"/>
  <c r="AO170" i="23"/>
  <c r="AO163" i="23" s="1"/>
  <c r="AO159" i="23" s="1"/>
  <c r="AN170" i="23"/>
  <c r="AJ170" i="23"/>
  <c r="AI170" i="23"/>
  <c r="AH170" i="23"/>
  <c r="AH163" i="23" s="1"/>
  <c r="AH159" i="23" s="1"/>
  <c r="AF170" i="23"/>
  <c r="AD170" i="23"/>
  <c r="AB170" i="23"/>
  <c r="AA170" i="23"/>
  <c r="Y170" i="23"/>
  <c r="X170" i="23"/>
  <c r="W170" i="23"/>
  <c r="V170" i="23"/>
  <c r="U170" i="23"/>
  <c r="U163" i="23" s="1"/>
  <c r="U159" i="23" s="1"/>
  <c r="T170" i="23"/>
  <c r="S170" i="23"/>
  <c r="Q170" i="23"/>
  <c r="P170" i="23"/>
  <c r="O170" i="23"/>
  <c r="N170" i="23"/>
  <c r="M170" i="23"/>
  <c r="L170" i="23"/>
  <c r="K170" i="23"/>
  <c r="AA169" i="23"/>
  <c r="T169" i="23"/>
  <c r="T168" i="23" s="1"/>
  <c r="T167" i="23" s="1"/>
  <c r="T163" i="23" s="1"/>
  <c r="T159" i="23" s="1"/>
  <c r="R169" i="23"/>
  <c r="Q169" i="23"/>
  <c r="AK168" i="23"/>
  <c r="AJ168" i="23"/>
  <c r="AJ167" i="23" s="1"/>
  <c r="AJ163" i="23" s="1"/>
  <c r="AJ159" i="23" s="1"/>
  <c r="AI168" i="23"/>
  <c r="AH168" i="23"/>
  <c r="AH167" i="23" s="1"/>
  <c r="AG168" i="23"/>
  <c r="AF168" i="23"/>
  <c r="AF167" i="23" s="1"/>
  <c r="AE168" i="23"/>
  <c r="AD168" i="23"/>
  <c r="AD167" i="23" s="1"/>
  <c r="AC168" i="23"/>
  <c r="AB168" i="23"/>
  <c r="AB167" i="23" s="1"/>
  <c r="AB163" i="23" s="1"/>
  <c r="AB159" i="23" s="1"/>
  <c r="AB158" i="23" s="1"/>
  <c r="AA168" i="23"/>
  <c r="Y168" i="23"/>
  <c r="X168" i="23"/>
  <c r="W168" i="23"/>
  <c r="V168" i="23"/>
  <c r="U168" i="23"/>
  <c r="S168" i="23"/>
  <c r="R168" i="23"/>
  <c r="Q168" i="23"/>
  <c r="AO167" i="23"/>
  <c r="AN167" i="23"/>
  <c r="AM167" i="23"/>
  <c r="AK167" i="23"/>
  <c r="AL167" i="23" s="1"/>
  <c r="AI167" i="23"/>
  <c r="AG167" i="23"/>
  <c r="AE167" i="23"/>
  <c r="AE163" i="23" s="1"/>
  <c r="AE159" i="23" s="1"/>
  <c r="AC167" i="23"/>
  <c r="Y167" i="23"/>
  <c r="X167" i="23"/>
  <c r="W167" i="23"/>
  <c r="V167" i="23"/>
  <c r="U167" i="23"/>
  <c r="S167" i="23"/>
  <c r="R167" i="23"/>
  <c r="O167" i="23"/>
  <c r="N167" i="23"/>
  <c r="N163" i="23" s="1"/>
  <c r="N159" i="23" s="1"/>
  <c r="N6" i="23" s="1"/>
  <c r="M167" i="23"/>
  <c r="L167" i="23"/>
  <c r="L166" i="23"/>
  <c r="P165" i="23"/>
  <c r="P161" i="23" s="1"/>
  <c r="P8" i="23" s="1"/>
  <c r="N165" i="23"/>
  <c r="N161" i="23" s="1"/>
  <c r="M165" i="23"/>
  <c r="L165" i="23"/>
  <c r="L164" i="23"/>
  <c r="AG163" i="23"/>
  <c r="W163" i="23"/>
  <c r="W159" i="23" s="1"/>
  <c r="R163" i="23"/>
  <c r="O163" i="23"/>
  <c r="K163" i="23"/>
  <c r="K159" i="23" s="1"/>
  <c r="K158" i="23" s="1"/>
  <c r="AO162" i="23"/>
  <c r="AN162" i="23"/>
  <c r="AM162" i="23"/>
  <c r="AL162" i="23"/>
  <c r="AL9" i="23" s="1"/>
  <c r="AK162" i="23"/>
  <c r="AJ162" i="23"/>
  <c r="AI162" i="23"/>
  <c r="AH162" i="23"/>
  <c r="AH9" i="23" s="1"/>
  <c r="AG162" i="23"/>
  <c r="AF162" i="23"/>
  <c r="AE162" i="23"/>
  <c r="AD162" i="23"/>
  <c r="AD9" i="23" s="1"/>
  <c r="AC162" i="23"/>
  <c r="AB162" i="23"/>
  <c r="AA162" i="23"/>
  <c r="Y162" i="23"/>
  <c r="Y9" i="23" s="1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K162" i="23"/>
  <c r="J162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A161" i="23"/>
  <c r="X161" i="23"/>
  <c r="W161" i="23"/>
  <c r="U161" i="23"/>
  <c r="T161" i="23"/>
  <c r="R161" i="23"/>
  <c r="Q161" i="23"/>
  <c r="M161" i="23"/>
  <c r="L161" i="23"/>
  <c r="K161" i="23"/>
  <c r="J161" i="23"/>
  <c r="AN160" i="23"/>
  <c r="AD160" i="23"/>
  <c r="V160" i="23"/>
  <c r="N160" i="23"/>
  <c r="K160" i="23"/>
  <c r="J160" i="23"/>
  <c r="AG159" i="23"/>
  <c r="R159" i="23"/>
  <c r="O159" i="23"/>
  <c r="AQ158" i="23"/>
  <c r="AA158" i="23"/>
  <c r="Z158" i="23"/>
  <c r="W158" i="23"/>
  <c r="P158" i="23"/>
  <c r="AA154" i="23"/>
  <c r="R154" i="23"/>
  <c r="R152" i="23" s="1"/>
  <c r="R151" i="23" s="1"/>
  <c r="Q154" i="23"/>
  <c r="AA153" i="23"/>
  <c r="AA152" i="23" s="1"/>
  <c r="AA151" i="23" s="1"/>
  <c r="T153" i="23"/>
  <c r="Q153" i="23"/>
  <c r="AE152" i="23"/>
  <c r="AE151" i="23" s="1"/>
  <c r="AD152" i="23"/>
  <c r="AD151" i="23" s="1"/>
  <c r="AC152" i="23"/>
  <c r="AB152" i="23"/>
  <c r="AB151" i="23" s="1"/>
  <c r="Y152" i="23"/>
  <c r="Y151" i="23" s="1"/>
  <c r="X152" i="23"/>
  <c r="W152" i="23"/>
  <c r="W151" i="23" s="1"/>
  <c r="V152" i="23"/>
  <c r="V151" i="23" s="1"/>
  <c r="U152" i="23"/>
  <c r="U151" i="23" s="1"/>
  <c r="T152" i="23"/>
  <c r="T151" i="23" s="1"/>
  <c r="S152" i="23"/>
  <c r="S151" i="23" s="1"/>
  <c r="AO151" i="23"/>
  <c r="AN151" i="23"/>
  <c r="AJ151" i="23"/>
  <c r="AI151" i="23"/>
  <c r="AH151" i="23"/>
  <c r="AG151" i="23"/>
  <c r="AF151" i="23"/>
  <c r="AC151" i="23"/>
  <c r="X151" i="23"/>
  <c r="Q151" i="23"/>
  <c r="P151" i="23"/>
  <c r="AM151" i="23" s="1"/>
  <c r="O151" i="23"/>
  <c r="N151" i="23"/>
  <c r="M151" i="23"/>
  <c r="L151" i="23"/>
  <c r="AA149" i="23"/>
  <c r="R149" i="23"/>
  <c r="R147" i="23" s="1"/>
  <c r="R146" i="23" s="1"/>
  <c r="Q149" i="23"/>
  <c r="AA148" i="23"/>
  <c r="AA147" i="23" s="1"/>
  <c r="AA146" i="23" s="1"/>
  <c r="T148" i="23"/>
  <c r="Q148" i="23"/>
  <c r="AE147" i="23"/>
  <c r="AE146" i="23" s="1"/>
  <c r="AD147" i="23"/>
  <c r="AD146" i="23" s="1"/>
  <c r="AC147" i="23"/>
  <c r="AC146" i="23" s="1"/>
  <c r="AB147" i="23"/>
  <c r="AB146" i="23" s="1"/>
  <c r="Y147" i="23"/>
  <c r="Y146" i="23" s="1"/>
  <c r="X147" i="23"/>
  <c r="X146" i="23" s="1"/>
  <c r="W147" i="23"/>
  <c r="W146" i="23" s="1"/>
  <c r="V147" i="23"/>
  <c r="U147" i="23"/>
  <c r="U146" i="23" s="1"/>
  <c r="T147" i="23"/>
  <c r="T146" i="23" s="1"/>
  <c r="S147" i="23"/>
  <c r="S146" i="23" s="1"/>
  <c r="AO146" i="23"/>
  <c r="AN146" i="23"/>
  <c r="AJ146" i="23"/>
  <c r="AI146" i="23"/>
  <c r="AH146" i="23"/>
  <c r="AG146" i="23"/>
  <c r="AF146" i="23"/>
  <c r="V146" i="23"/>
  <c r="Q146" i="23"/>
  <c r="P146" i="23"/>
  <c r="AM146" i="23" s="1"/>
  <c r="O146" i="23"/>
  <c r="N146" i="23"/>
  <c r="M146" i="23"/>
  <c r="L146" i="23"/>
  <c r="AA144" i="23"/>
  <c r="R144" i="23"/>
  <c r="R142" i="23" s="1"/>
  <c r="R141" i="23" s="1"/>
  <c r="R130" i="23" s="1"/>
  <c r="Q144" i="23"/>
  <c r="AA143" i="23"/>
  <c r="T143" i="23"/>
  <c r="T142" i="23" s="1"/>
  <c r="T141" i="23" s="1"/>
  <c r="Q143" i="23"/>
  <c r="AE142" i="23"/>
  <c r="AD142" i="23"/>
  <c r="AD141" i="23" s="1"/>
  <c r="AC142" i="23"/>
  <c r="AC141" i="23" s="1"/>
  <c r="AC130" i="23" s="1"/>
  <c r="AC120" i="23" s="1"/>
  <c r="AB142" i="23"/>
  <c r="AB141" i="23" s="1"/>
  <c r="AB130" i="23" s="1"/>
  <c r="Y142" i="23"/>
  <c r="Y141" i="23" s="1"/>
  <c r="X142" i="23"/>
  <c r="X141" i="23" s="1"/>
  <c r="X130" i="23" s="1"/>
  <c r="X120" i="23" s="1"/>
  <c r="W142" i="23"/>
  <c r="W141" i="23" s="1"/>
  <c r="V142" i="23"/>
  <c r="U142" i="23"/>
  <c r="U141" i="23" s="1"/>
  <c r="U130" i="23" s="1"/>
  <c r="S142" i="23"/>
  <c r="S141" i="23" s="1"/>
  <c r="S130" i="23" s="1"/>
  <c r="AO141" i="23"/>
  <c r="AO130" i="23" s="1"/>
  <c r="AN141" i="23"/>
  <c r="AJ141" i="23"/>
  <c r="AI141" i="23"/>
  <c r="AI130" i="23" s="1"/>
  <c r="AI120" i="23" s="1"/>
  <c r="AH141" i="23"/>
  <c r="AG141" i="23"/>
  <c r="AG130" i="23" s="1"/>
  <c r="AG120" i="23" s="1"/>
  <c r="AF141" i="23"/>
  <c r="AF130" i="23" s="1"/>
  <c r="AF120" i="23" s="1"/>
  <c r="AE141" i="23"/>
  <c r="AE130" i="23" s="1"/>
  <c r="AE120" i="23" s="1"/>
  <c r="V141" i="23"/>
  <c r="V130" i="23" s="1"/>
  <c r="V120" i="23" s="1"/>
  <c r="Q141" i="23"/>
  <c r="P141" i="23"/>
  <c r="O141" i="23"/>
  <c r="N141" i="23"/>
  <c r="N130" i="23" s="1"/>
  <c r="M141" i="23"/>
  <c r="L141" i="23"/>
  <c r="L130" i="23" s="1"/>
  <c r="AA139" i="23"/>
  <c r="AA137" i="23" s="1"/>
  <c r="Q139" i="23"/>
  <c r="Q137" i="23" s="1"/>
  <c r="Z137" i="23"/>
  <c r="Y137" i="23"/>
  <c r="X137" i="23"/>
  <c r="W137" i="23"/>
  <c r="V137" i="23"/>
  <c r="U137" i="23"/>
  <c r="T137" i="23"/>
  <c r="S137" i="23"/>
  <c r="R137" i="23"/>
  <c r="P137" i="23"/>
  <c r="AA135" i="23"/>
  <c r="AA133" i="23" s="1"/>
  <c r="Q135" i="23"/>
  <c r="Q133" i="23" s="1"/>
  <c r="Z133" i="23"/>
  <c r="Y133" i="23"/>
  <c r="X133" i="23"/>
  <c r="W133" i="23"/>
  <c r="V133" i="23"/>
  <c r="U133" i="23"/>
  <c r="T133" i="23"/>
  <c r="S133" i="23"/>
  <c r="R133" i="23"/>
  <c r="P133" i="23"/>
  <c r="L132" i="23"/>
  <c r="L131" i="23"/>
  <c r="AN130" i="23"/>
  <c r="AJ130" i="23"/>
  <c r="AJ120" i="23" s="1"/>
  <c r="AH130" i="23"/>
  <c r="Q130" i="23"/>
  <c r="O130" i="23"/>
  <c r="M130" i="23"/>
  <c r="J130" i="23"/>
  <c r="L129" i="23"/>
  <c r="K129" i="23"/>
  <c r="AA128" i="23"/>
  <c r="T128" i="23"/>
  <c r="T127" i="23" s="1"/>
  <c r="T126" i="23" s="1"/>
  <c r="R128" i="23"/>
  <c r="Q128" i="23"/>
  <c r="Q127" i="23" s="1"/>
  <c r="AI127" i="23"/>
  <c r="AH127" i="23"/>
  <c r="AG127" i="23"/>
  <c r="AG126" i="23" s="1"/>
  <c r="AF127" i="23"/>
  <c r="AF126" i="23" s="1"/>
  <c r="AE127" i="23"/>
  <c r="AD127" i="23"/>
  <c r="AC127" i="23"/>
  <c r="AC126" i="23" s="1"/>
  <c r="AB127" i="23"/>
  <c r="AB126" i="23" s="1"/>
  <c r="AA127" i="23"/>
  <c r="Y127" i="23"/>
  <c r="X127" i="23"/>
  <c r="X126" i="23" s="1"/>
  <c r="W127" i="23"/>
  <c r="W126" i="23" s="1"/>
  <c r="V127" i="23"/>
  <c r="U127" i="23"/>
  <c r="S127" i="23"/>
  <c r="S126" i="23" s="1"/>
  <c r="R127" i="23"/>
  <c r="R126" i="23" s="1"/>
  <c r="AO126" i="23"/>
  <c r="AN126" i="23"/>
  <c r="AM126" i="23"/>
  <c r="AL126" i="23"/>
  <c r="AK126" i="23"/>
  <c r="AJ126" i="23"/>
  <c r="AI126" i="23"/>
  <c r="AH126" i="23"/>
  <c r="AE126" i="23"/>
  <c r="AD126" i="23"/>
  <c r="AA126" i="23"/>
  <c r="Y126" i="23"/>
  <c r="V126" i="23"/>
  <c r="U126" i="23"/>
  <c r="O126" i="23"/>
  <c r="N126" i="23"/>
  <c r="M126" i="23"/>
  <c r="L126" i="23"/>
  <c r="AJ125" i="23"/>
  <c r="AJ121" i="23" s="1"/>
  <c r="AH125" i="23"/>
  <c r="AH121" i="23" s="1"/>
  <c r="P125" i="23"/>
  <c r="P121" i="23" s="1"/>
  <c r="V124" i="23"/>
  <c r="V122" i="23" s="1"/>
  <c r="U124" i="23"/>
  <c r="T124" i="23"/>
  <c r="T122" i="23" s="1"/>
  <c r="Q124" i="23"/>
  <c r="AA123" i="23"/>
  <c r="V123" i="23"/>
  <c r="Q123" i="23"/>
  <c r="AD122" i="23"/>
  <c r="AC122" i="23"/>
  <c r="AB122" i="23"/>
  <c r="Y122" i="23"/>
  <c r="X122" i="23"/>
  <c r="W122" i="23"/>
  <c r="U122" i="23"/>
  <c r="S122" i="23"/>
  <c r="R122" i="23"/>
  <c r="AO121" i="23"/>
  <c r="AN121" i="23"/>
  <c r="AM121" i="23"/>
  <c r="AL121" i="23"/>
  <c r="AB121" i="23"/>
  <c r="U121" i="23"/>
  <c r="S121" i="23"/>
  <c r="R121" i="23"/>
  <c r="Q121" i="23"/>
  <c r="O121" i="23"/>
  <c r="N121" i="23"/>
  <c r="M121" i="23"/>
  <c r="L121" i="23"/>
  <c r="AH120" i="23"/>
  <c r="R119" i="23"/>
  <c r="Q119" i="23"/>
  <c r="AJ118" i="23"/>
  <c r="AJ117" i="23" s="1"/>
  <c r="AI118" i="23"/>
  <c r="AI117" i="23" s="1"/>
  <c r="AH118" i="23"/>
  <c r="AG118" i="23"/>
  <c r="AF118" i="23"/>
  <c r="AF117" i="23" s="1"/>
  <c r="AE118" i="23"/>
  <c r="AE117" i="23" s="1"/>
  <c r="AD118" i="23"/>
  <c r="AC118" i="23"/>
  <c r="AB118" i="23"/>
  <c r="AB117" i="23" s="1"/>
  <c r="AA118" i="23"/>
  <c r="AA117" i="23" s="1"/>
  <c r="Y118" i="23"/>
  <c r="X118" i="23"/>
  <c r="W118" i="23"/>
  <c r="W117" i="23" s="1"/>
  <c r="V118" i="23"/>
  <c r="V117" i="23" s="1"/>
  <c r="U118" i="23"/>
  <c r="T118" i="23"/>
  <c r="S118" i="23"/>
  <c r="S117" i="23" s="1"/>
  <c r="R118" i="23"/>
  <c r="R117" i="23" s="1"/>
  <c r="AO117" i="23"/>
  <c r="AN117" i="23"/>
  <c r="AL117" i="23"/>
  <c r="AH117" i="23"/>
  <c r="AG117" i="23"/>
  <c r="AD117" i="23"/>
  <c r="AC117" i="23"/>
  <c r="Y117" i="23"/>
  <c r="X117" i="23"/>
  <c r="U117" i="23"/>
  <c r="T117" i="23"/>
  <c r="Q117" i="23"/>
  <c r="P117" i="23"/>
  <c r="AK117" i="23" s="1"/>
  <c r="O117" i="23"/>
  <c r="N117" i="23"/>
  <c r="M117" i="23"/>
  <c r="L117" i="23"/>
  <c r="AA116" i="23"/>
  <c r="R116" i="23"/>
  <c r="R115" i="23" s="1"/>
  <c r="R114" i="23" s="1"/>
  <c r="Q116" i="23"/>
  <c r="Q115" i="23" s="1"/>
  <c r="AJ115" i="23"/>
  <c r="AJ114" i="23" s="1"/>
  <c r="AI115" i="23"/>
  <c r="AH115" i="23"/>
  <c r="AG115" i="23"/>
  <c r="AG114" i="23" s="1"/>
  <c r="AF115" i="23"/>
  <c r="AF114" i="23" s="1"/>
  <c r="AE115" i="23"/>
  <c r="AD115" i="23"/>
  <c r="AC115" i="23"/>
  <c r="AC114" i="23" s="1"/>
  <c r="AB115" i="23"/>
  <c r="AB114" i="23" s="1"/>
  <c r="AA115" i="23"/>
  <c r="Y115" i="23"/>
  <c r="Y114" i="23" s="1"/>
  <c r="X115" i="23"/>
  <c r="W115" i="23"/>
  <c r="W114" i="23" s="1"/>
  <c r="V115" i="23"/>
  <c r="U115" i="23"/>
  <c r="U114" i="23" s="1"/>
  <c r="T115" i="23"/>
  <c r="T114" i="23" s="1"/>
  <c r="S115" i="23"/>
  <c r="S114" i="23" s="1"/>
  <c r="AO114" i="23"/>
  <c r="AN114" i="23"/>
  <c r="AM114" i="23"/>
  <c r="AL114" i="23"/>
  <c r="AK114" i="23"/>
  <c r="AI114" i="23"/>
  <c r="AH114" i="23"/>
  <c r="AE114" i="23"/>
  <c r="AD114" i="23"/>
  <c r="X114" i="23"/>
  <c r="V114" i="23"/>
  <c r="O114" i="23"/>
  <c r="N114" i="23"/>
  <c r="M114" i="23"/>
  <c r="L114" i="23"/>
  <c r="AF112" i="23"/>
  <c r="AA112" i="23"/>
  <c r="T112" i="23"/>
  <c r="L112" i="23"/>
  <c r="AF111" i="23"/>
  <c r="T111" i="23"/>
  <c r="T110" i="23" s="1"/>
  <c r="T109" i="23" s="1"/>
  <c r="Q111" i="23"/>
  <c r="L111" i="23"/>
  <c r="AJ110" i="23"/>
  <c r="AJ109" i="23" s="1"/>
  <c r="AI110" i="23"/>
  <c r="AI109" i="23" s="1"/>
  <c r="AH110" i="23"/>
  <c r="AH109" i="23" s="1"/>
  <c r="AG110" i="23"/>
  <c r="AG109" i="23" s="1"/>
  <c r="AF110" i="23"/>
  <c r="AE110" i="23"/>
  <c r="AE109" i="23" s="1"/>
  <c r="AD110" i="23"/>
  <c r="AC110" i="23"/>
  <c r="AC109" i="23" s="1"/>
  <c r="AB110" i="23"/>
  <c r="AB109" i="23" s="1"/>
  <c r="AA110" i="23"/>
  <c r="AA109" i="23" s="1"/>
  <c r="Y110" i="23"/>
  <c r="Y109" i="23" s="1"/>
  <c r="W110" i="23"/>
  <c r="V110" i="23"/>
  <c r="V109" i="23" s="1"/>
  <c r="U110" i="23"/>
  <c r="U109" i="23" s="1"/>
  <c r="S110" i="23"/>
  <c r="AO109" i="23"/>
  <c r="AN109" i="23"/>
  <c r="AL109" i="23"/>
  <c r="AF109" i="23"/>
  <c r="AD109" i="23"/>
  <c r="X109" i="23"/>
  <c r="W109" i="23"/>
  <c r="S109" i="23"/>
  <c r="R109" i="23"/>
  <c r="Q109" i="23"/>
  <c r="AM109" i="23" s="1"/>
  <c r="P109" i="23"/>
  <c r="O109" i="23"/>
  <c r="N109" i="23"/>
  <c r="M109" i="23"/>
  <c r="L109" i="23"/>
  <c r="AF107" i="23"/>
  <c r="Q107" i="23"/>
  <c r="AF106" i="23"/>
  <c r="AA106" i="23"/>
  <c r="R106" i="23"/>
  <c r="Q106" i="23"/>
  <c r="AF105" i="23"/>
  <c r="Q105" i="23"/>
  <c r="AJ104" i="23"/>
  <c r="AJ103" i="23" s="1"/>
  <c r="AI104" i="23"/>
  <c r="AI103" i="23" s="1"/>
  <c r="AH104" i="23"/>
  <c r="AH103" i="23" s="1"/>
  <c r="AG104" i="23"/>
  <c r="AF104" i="23"/>
  <c r="AF103" i="23" s="1"/>
  <c r="AE104" i="23"/>
  <c r="AE103" i="23" s="1"/>
  <c r="AD104" i="23"/>
  <c r="AD103" i="23" s="1"/>
  <c r="AC104" i="23"/>
  <c r="AB104" i="23"/>
  <c r="AB103" i="23" s="1"/>
  <c r="AA104" i="23"/>
  <c r="AA103" i="23" s="1"/>
  <c r="Y104" i="23"/>
  <c r="Y103" i="23" s="1"/>
  <c r="W104" i="23"/>
  <c r="V104" i="23"/>
  <c r="U104" i="23"/>
  <c r="U103" i="23" s="1"/>
  <c r="T104" i="23"/>
  <c r="T103" i="23" s="1"/>
  <c r="S104" i="23"/>
  <c r="R104" i="23"/>
  <c r="Q104" i="23"/>
  <c r="Q103" i="23" s="1"/>
  <c r="P104" i="23"/>
  <c r="P103" i="23" s="1"/>
  <c r="P10" i="23" s="1"/>
  <c r="P5" i="23" s="1"/>
  <c r="AO103" i="23"/>
  <c r="AN103" i="23"/>
  <c r="AL103" i="23"/>
  <c r="AG103" i="23"/>
  <c r="AC103" i="23"/>
  <c r="X103" i="23"/>
  <c r="W103" i="23"/>
  <c r="V103" i="23"/>
  <c r="S103" i="23"/>
  <c r="R103" i="23"/>
  <c r="O103" i="23"/>
  <c r="N103" i="23"/>
  <c r="M103" i="23"/>
  <c r="L103" i="23"/>
  <c r="AF102" i="23"/>
  <c r="AF101" i="23" s="1"/>
  <c r="Q102" i="23"/>
  <c r="Q101" i="23" s="1"/>
  <c r="Q100" i="23" s="1"/>
  <c r="AJ101" i="23"/>
  <c r="AJ100" i="23" s="1"/>
  <c r="AI101" i="23"/>
  <c r="AI100" i="23" s="1"/>
  <c r="AH101" i="23"/>
  <c r="AG101" i="23"/>
  <c r="AG100" i="23" s="1"/>
  <c r="AE101" i="23"/>
  <c r="AE100" i="23" s="1"/>
  <c r="AD101" i="23"/>
  <c r="AD100" i="23" s="1"/>
  <c r="AC101" i="23"/>
  <c r="AC100" i="23" s="1"/>
  <c r="AB101" i="23"/>
  <c r="AB100" i="23" s="1"/>
  <c r="AA101" i="23"/>
  <c r="AA100" i="23" s="1"/>
  <c r="Y101" i="23"/>
  <c r="X101" i="23"/>
  <c r="X100" i="23" s="1"/>
  <c r="W101" i="23"/>
  <c r="V101" i="23"/>
  <c r="V100" i="23" s="1"/>
  <c r="U101" i="23"/>
  <c r="U100" i="23" s="1"/>
  <c r="T101" i="23"/>
  <c r="T100" i="23" s="1"/>
  <c r="S101" i="23"/>
  <c r="S100" i="23" s="1"/>
  <c r="R101" i="23"/>
  <c r="R100" i="23" s="1"/>
  <c r="AO100" i="23"/>
  <c r="AN100" i="23"/>
  <c r="AL100" i="23"/>
  <c r="AH100" i="23"/>
  <c r="AF100" i="23"/>
  <c r="Y100" i="23"/>
  <c r="W100" i="23"/>
  <c r="P100" i="23"/>
  <c r="O100" i="23"/>
  <c r="N100" i="23"/>
  <c r="M100" i="23"/>
  <c r="L100" i="23"/>
  <c r="AA99" i="23"/>
  <c r="AA98" i="23" s="1"/>
  <c r="U99" i="23"/>
  <c r="Q99" i="23" s="1"/>
  <c r="Q98" i="23" s="1"/>
  <c r="AD98" i="23"/>
  <c r="AD97" i="23" s="1"/>
  <c r="AC98" i="23"/>
  <c r="AC97" i="23" s="1"/>
  <c r="AB98" i="23"/>
  <c r="Y98" i="23"/>
  <c r="Y97" i="23" s="1"/>
  <c r="X98" i="23"/>
  <c r="X97" i="23" s="1"/>
  <c r="W98" i="23"/>
  <c r="W97" i="23" s="1"/>
  <c r="V98" i="23"/>
  <c r="V97" i="23" s="1"/>
  <c r="U98" i="23"/>
  <c r="T98" i="23"/>
  <c r="T97" i="23" s="1"/>
  <c r="S98" i="23"/>
  <c r="R98" i="23"/>
  <c r="R97" i="23" s="1"/>
  <c r="AO97" i="23"/>
  <c r="AN97" i="23"/>
  <c r="AM97" i="23"/>
  <c r="AL97" i="23"/>
  <c r="AK97" i="23"/>
  <c r="AJ97" i="23"/>
  <c r="AI97" i="23"/>
  <c r="AH97" i="23"/>
  <c r="AG97" i="23"/>
  <c r="AF97" i="23"/>
  <c r="AE97" i="23"/>
  <c r="AB97" i="23"/>
  <c r="U97" i="23"/>
  <c r="S97" i="23"/>
  <c r="O97" i="23"/>
  <c r="N97" i="23"/>
  <c r="M97" i="23"/>
  <c r="L97" i="23"/>
  <c r="AA96" i="23"/>
  <c r="AA95" i="23" s="1"/>
  <c r="U96" i="23"/>
  <c r="Q96" i="23"/>
  <c r="AE95" i="23"/>
  <c r="AE94" i="23" s="1"/>
  <c r="AD95" i="23"/>
  <c r="AC95" i="23"/>
  <c r="AB95" i="23"/>
  <c r="AB94" i="23" s="1"/>
  <c r="Y95" i="23"/>
  <c r="Y94" i="23" s="1"/>
  <c r="X95" i="23"/>
  <c r="W95" i="23"/>
  <c r="W94" i="23" s="1"/>
  <c r="V95" i="23"/>
  <c r="U95" i="23"/>
  <c r="U94" i="23" s="1"/>
  <c r="T95" i="23"/>
  <c r="S95" i="23"/>
  <c r="S94" i="23" s="1"/>
  <c r="R95" i="23"/>
  <c r="R94" i="23" s="1"/>
  <c r="Q95" i="23"/>
  <c r="AO94" i="23"/>
  <c r="AN94" i="23"/>
  <c r="AM94" i="23"/>
  <c r="AL94" i="23"/>
  <c r="AK94" i="23"/>
  <c r="AJ94" i="23"/>
  <c r="AI94" i="23"/>
  <c r="AH94" i="23"/>
  <c r="AG94" i="23"/>
  <c r="AF94" i="23"/>
  <c r="AD94" i="23"/>
  <c r="AC94" i="23"/>
  <c r="X94" i="23"/>
  <c r="V94" i="23"/>
  <c r="T94" i="23"/>
  <c r="O94" i="23"/>
  <c r="N94" i="23"/>
  <c r="M94" i="23"/>
  <c r="L94" i="23"/>
  <c r="AA92" i="23"/>
  <c r="Q92" i="23"/>
  <c r="Q87" i="23" s="1"/>
  <c r="AM87" i="23" s="1"/>
  <c r="J92" i="23"/>
  <c r="AF91" i="23"/>
  <c r="AA91" i="23"/>
  <c r="R91" i="23"/>
  <c r="Q91" i="23"/>
  <c r="T90" i="23"/>
  <c r="Q90" i="23"/>
  <c r="AA89" i="23"/>
  <c r="T89" i="23"/>
  <c r="T88" i="23" s="1"/>
  <c r="T87" i="23" s="1"/>
  <c r="Q89" i="23"/>
  <c r="AK88" i="23"/>
  <c r="AJ88" i="23"/>
  <c r="AJ87" i="23" s="1"/>
  <c r="AI88" i="23"/>
  <c r="AH88" i="23"/>
  <c r="AH87" i="23" s="1"/>
  <c r="AG88" i="23"/>
  <c r="AG87" i="23" s="1"/>
  <c r="AF88" i="23"/>
  <c r="AF87" i="23" s="1"/>
  <c r="AE88" i="23"/>
  <c r="AE87" i="23" s="1"/>
  <c r="AD88" i="23"/>
  <c r="AD87" i="23" s="1"/>
  <c r="AC88" i="23"/>
  <c r="AB88" i="23"/>
  <c r="AB87" i="23" s="1"/>
  <c r="Y88" i="23"/>
  <c r="X88" i="23"/>
  <c r="W88" i="23"/>
  <c r="V88" i="23"/>
  <c r="U88" i="23"/>
  <c r="S88" i="23"/>
  <c r="R88" i="23"/>
  <c r="R87" i="23" s="1"/>
  <c r="J88" i="23"/>
  <c r="AO87" i="23"/>
  <c r="AN87" i="23"/>
  <c r="AI87" i="23"/>
  <c r="AC87" i="23"/>
  <c r="AA87" i="23"/>
  <c r="Y87" i="23"/>
  <c r="X87" i="23"/>
  <c r="W87" i="23"/>
  <c r="V87" i="23"/>
  <c r="U87" i="23"/>
  <c r="S87" i="23"/>
  <c r="P87" i="23"/>
  <c r="O87" i="23"/>
  <c r="N87" i="23"/>
  <c r="N80" i="23" s="1"/>
  <c r="M87" i="23"/>
  <c r="L87" i="23"/>
  <c r="J87" i="23" s="1"/>
  <c r="AF85" i="23"/>
  <c r="AF84" i="23" s="1"/>
  <c r="AF83" i="23" s="1"/>
  <c r="AA85" i="23"/>
  <c r="AA84" i="23" s="1"/>
  <c r="AA83" i="23" s="1"/>
  <c r="X85" i="23"/>
  <c r="X84" i="23" s="1"/>
  <c r="X83" i="23" s="1"/>
  <c r="V85" i="23"/>
  <c r="R85" i="23"/>
  <c r="Q85" i="23"/>
  <c r="Q84" i="23" s="1"/>
  <c r="Q83" i="23" s="1"/>
  <c r="AM83" i="23" s="1"/>
  <c r="AM80" i="23" s="1"/>
  <c r="P85" i="23"/>
  <c r="AJ84" i="23"/>
  <c r="AI84" i="23"/>
  <c r="AI83" i="23" s="1"/>
  <c r="AH84" i="23"/>
  <c r="AH83" i="23" s="1"/>
  <c r="AG84" i="23"/>
  <c r="AG83" i="23" s="1"/>
  <c r="AE84" i="23"/>
  <c r="AE83" i="23" s="1"/>
  <c r="AD84" i="23"/>
  <c r="AC84" i="23"/>
  <c r="AC83" i="23" s="1"/>
  <c r="AB84" i="23"/>
  <c r="AB83" i="23" s="1"/>
  <c r="Y84" i="23"/>
  <c r="W84" i="23"/>
  <c r="W83" i="23" s="1"/>
  <c r="V84" i="23"/>
  <c r="V83" i="23" s="1"/>
  <c r="U84" i="23"/>
  <c r="T84" i="23"/>
  <c r="T83" i="23" s="1"/>
  <c r="S84" i="23"/>
  <c r="S83" i="23" s="1"/>
  <c r="R84" i="23"/>
  <c r="R83" i="23" s="1"/>
  <c r="AL83" i="23"/>
  <c r="AJ83" i="23"/>
  <c r="AJ80" i="23" s="1"/>
  <c r="AJ12" i="23" s="1"/>
  <c r="AD83" i="23"/>
  <c r="Y83" i="23"/>
  <c r="U83" i="23"/>
  <c r="O83" i="23"/>
  <c r="N83" i="23"/>
  <c r="M83" i="23"/>
  <c r="L83" i="23"/>
  <c r="L82" i="23"/>
  <c r="J82" i="23" s="1"/>
  <c r="L81" i="23"/>
  <c r="J81" i="23" s="1"/>
  <c r="AO80" i="23"/>
  <c r="AN80" i="23"/>
  <c r="K80" i="23"/>
  <c r="L79" i="23"/>
  <c r="AO77" i="23"/>
  <c r="AN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AM77" i="23" s="1"/>
  <c r="P77" i="23"/>
  <c r="O77" i="23"/>
  <c r="N77" i="23"/>
  <c r="M77" i="23"/>
  <c r="AA73" i="23"/>
  <c r="AA72" i="23" s="1"/>
  <c r="Z73" i="23"/>
  <c r="Y73" i="23"/>
  <c r="Y72" i="23" s="1"/>
  <c r="X73" i="23"/>
  <c r="W73" i="23"/>
  <c r="W72" i="23" s="1"/>
  <c r="V73" i="23"/>
  <c r="U73" i="23"/>
  <c r="U72" i="23" s="1"/>
  <c r="T73" i="23"/>
  <c r="T72" i="23" s="1"/>
  <c r="S73" i="23"/>
  <c r="S72" i="23" s="1"/>
  <c r="R73" i="23"/>
  <c r="Q73" i="23"/>
  <c r="Q72" i="23" s="1"/>
  <c r="AO72" i="23"/>
  <c r="AN72" i="23"/>
  <c r="AJ72" i="23"/>
  <c r="AI72" i="23"/>
  <c r="AH72" i="23"/>
  <c r="AG72" i="23"/>
  <c r="AF72" i="23"/>
  <c r="AE72" i="23"/>
  <c r="AD72" i="23"/>
  <c r="AC72" i="23"/>
  <c r="AB72" i="23"/>
  <c r="Z72" i="23"/>
  <c r="X72" i="23"/>
  <c r="V72" i="23"/>
  <c r="R72" i="23"/>
  <c r="P72" i="23"/>
  <c r="O72" i="23"/>
  <c r="N72" i="23"/>
  <c r="M72" i="23"/>
  <c r="L72" i="23"/>
  <c r="AF70" i="23"/>
  <c r="AA70" i="23"/>
  <c r="AA68" i="23" s="1"/>
  <c r="AA65" i="23" s="1"/>
  <c r="R70" i="23"/>
  <c r="R69" i="23" s="1"/>
  <c r="R68" i="23" s="1"/>
  <c r="R65" i="23" s="1"/>
  <c r="Q70" i="23"/>
  <c r="Q68" i="23" s="1"/>
  <c r="AG69" i="23"/>
  <c r="AF69" i="23"/>
  <c r="AB69" i="23"/>
  <c r="AB68" i="23" s="1"/>
  <c r="AB65" i="23" s="1"/>
  <c r="Y69" i="23"/>
  <c r="Y68" i="23" s="1"/>
  <c r="Y65" i="23" s="1"/>
  <c r="W69" i="23"/>
  <c r="V69" i="23"/>
  <c r="U69" i="23"/>
  <c r="U68" i="23" s="1"/>
  <c r="U65" i="23" s="1"/>
  <c r="T69" i="23"/>
  <c r="T68" i="23" s="1"/>
  <c r="T65" i="23" s="1"/>
  <c r="S69" i="23"/>
  <c r="AO68" i="23"/>
  <c r="AO65" i="23" s="1"/>
  <c r="AN68" i="23"/>
  <c r="AN65" i="23" s="1"/>
  <c r="AN12" i="23" s="1"/>
  <c r="AJ68" i="23"/>
  <c r="AI68" i="23"/>
  <c r="AH68" i="23"/>
  <c r="AH65" i="23" s="1"/>
  <c r="AG68" i="23"/>
  <c r="AG65" i="23" s="1"/>
  <c r="AF68" i="23"/>
  <c r="AE68" i="23"/>
  <c r="AD68" i="23"/>
  <c r="AD65" i="23" s="1"/>
  <c r="AC68" i="23"/>
  <c r="AC65" i="23" s="1"/>
  <c r="Z68" i="23"/>
  <c r="X68" i="23"/>
  <c r="X65" i="23" s="1"/>
  <c r="W68" i="23"/>
  <c r="V68" i="23"/>
  <c r="V65" i="23" s="1"/>
  <c r="S68" i="23"/>
  <c r="S65" i="23" s="1"/>
  <c r="P68" i="23"/>
  <c r="O68" i="23"/>
  <c r="N68" i="23"/>
  <c r="N65" i="23" s="1"/>
  <c r="M68" i="23"/>
  <c r="L68" i="23"/>
  <c r="L65" i="23" s="1"/>
  <c r="L67" i="23"/>
  <c r="L66" i="23"/>
  <c r="AJ65" i="23"/>
  <c r="AI65" i="23"/>
  <c r="AF65" i="23"/>
  <c r="AE65" i="23"/>
  <c r="W65" i="23"/>
  <c r="O65" i="23"/>
  <c r="M65" i="23"/>
  <c r="K65" i="23"/>
  <c r="J65" i="23"/>
  <c r="AA62" i="23"/>
  <c r="Z62" i="23"/>
  <c r="Z10" i="23" s="1"/>
  <c r="Y62" i="23"/>
  <c r="X62" i="23"/>
  <c r="W62" i="23"/>
  <c r="V62" i="23"/>
  <c r="U62" i="23"/>
  <c r="T62" i="23"/>
  <c r="S62" i="23"/>
  <c r="R62" i="23"/>
  <c r="Q62" i="23"/>
  <c r="P62" i="23"/>
  <c r="J61" i="23"/>
  <c r="AA60" i="23"/>
  <c r="V60" i="23"/>
  <c r="Q60" i="23"/>
  <c r="AD59" i="23"/>
  <c r="AC59" i="23"/>
  <c r="AB59" i="23"/>
  <c r="Y59" i="23"/>
  <c r="X59" i="23"/>
  <c r="W59" i="23"/>
  <c r="V59" i="23"/>
  <c r="U59" i="23"/>
  <c r="T59" i="23"/>
  <c r="S59" i="23"/>
  <c r="R59" i="23"/>
  <c r="J59" i="23"/>
  <c r="AO58" i="23"/>
  <c r="AO52" i="23" s="1"/>
  <c r="AO12" i="23" s="1"/>
  <c r="AN58" i="23"/>
  <c r="AJ58" i="23"/>
  <c r="AJ52" i="23" s="1"/>
  <c r="AI58" i="23"/>
  <c r="AH58" i="23"/>
  <c r="AH52" i="23" s="1"/>
  <c r="AG58" i="23"/>
  <c r="AG52" i="23" s="1"/>
  <c r="AF58" i="23"/>
  <c r="AE58" i="23"/>
  <c r="AD58" i="23"/>
  <c r="AD52" i="23" s="1"/>
  <c r="AC58" i="23"/>
  <c r="AC52" i="23" s="1"/>
  <c r="AB58" i="23"/>
  <c r="Y58" i="23"/>
  <c r="X58" i="23"/>
  <c r="X52" i="23" s="1"/>
  <c r="W58" i="23"/>
  <c r="W52" i="23" s="1"/>
  <c r="V58" i="23"/>
  <c r="U58" i="23"/>
  <c r="T58" i="23"/>
  <c r="T52" i="23" s="1"/>
  <c r="S58" i="23"/>
  <c r="S52" i="23" s="1"/>
  <c r="R58" i="23"/>
  <c r="Q58" i="23"/>
  <c r="P58" i="23"/>
  <c r="AK58" i="23" s="1"/>
  <c r="AL58" i="23" s="1"/>
  <c r="O58" i="23"/>
  <c r="O52" i="23" s="1"/>
  <c r="N58" i="23"/>
  <c r="M58" i="23"/>
  <c r="L58" i="23"/>
  <c r="J58" i="23" s="1"/>
  <c r="L57" i="23"/>
  <c r="J57" i="23" s="1"/>
  <c r="L56" i="23"/>
  <c r="J56" i="23" s="1"/>
  <c r="AO55" i="23"/>
  <c r="AN55" i="23"/>
  <c r="AN52" i="23" s="1"/>
  <c r="AI55" i="23"/>
  <c r="AH55" i="23"/>
  <c r="AG55" i="23"/>
  <c r="AF55" i="23"/>
  <c r="AE55" i="23"/>
  <c r="AE52" i="23" s="1"/>
  <c r="AD55" i="23"/>
  <c r="AC55" i="23"/>
  <c r="AB55" i="23"/>
  <c r="AA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 s="1"/>
  <c r="J55" i="23" s="1"/>
  <c r="J54" i="23"/>
  <c r="J53" i="23"/>
  <c r="AM52" i="23"/>
  <c r="AI52" i="23"/>
  <c r="AA52" i="23"/>
  <c r="Y52" i="23"/>
  <c r="V52" i="23"/>
  <c r="U52" i="23"/>
  <c r="R52" i="23"/>
  <c r="Q52" i="23"/>
  <c r="N52" i="23"/>
  <c r="M52" i="23"/>
  <c r="AJ51" i="23"/>
  <c r="AI51" i="23"/>
  <c r="AH51" i="23"/>
  <c r="AG51" i="23"/>
  <c r="AA49" i="23"/>
  <c r="Q49" i="23"/>
  <c r="AC48" i="23"/>
  <c r="AC47" i="23" s="1"/>
  <c r="AC45" i="23" s="1"/>
  <c r="AB48" i="23"/>
  <c r="Z48" i="23"/>
  <c r="Y48" i="23"/>
  <c r="Y47" i="23" s="1"/>
  <c r="Y45" i="23" s="1"/>
  <c r="X48" i="23"/>
  <c r="X47" i="23" s="1"/>
  <c r="X45" i="23" s="1"/>
  <c r="W48" i="23"/>
  <c r="V48" i="23"/>
  <c r="U48" i="23"/>
  <c r="U47" i="23" s="1"/>
  <c r="U44" i="23" s="1"/>
  <c r="T48" i="23"/>
  <c r="T47" i="23" s="1"/>
  <c r="S48" i="23"/>
  <c r="R48" i="23"/>
  <c r="AB47" i="23"/>
  <c r="AB45" i="23" s="1"/>
  <c r="AB13" i="23" s="1"/>
  <c r="AB8" i="23" s="1"/>
  <c r="W47" i="23"/>
  <c r="V47" i="23"/>
  <c r="S47" i="23"/>
  <c r="S45" i="23" s="1"/>
  <c r="R47" i="23"/>
  <c r="Q47" i="23"/>
  <c r="P47" i="23"/>
  <c r="O47" i="23"/>
  <c r="N47" i="23"/>
  <c r="M47" i="23"/>
  <c r="M45" i="23" s="1"/>
  <c r="M13" i="23" s="1"/>
  <c r="L47" i="23"/>
  <c r="AO45" i="23"/>
  <c r="AN45" i="23"/>
  <c r="AN13" i="23" s="1"/>
  <c r="AN8" i="23" s="1"/>
  <c r="AM45" i="23"/>
  <c r="AJ45" i="23"/>
  <c r="AI45" i="23"/>
  <c r="AH45" i="23"/>
  <c r="AG45" i="23"/>
  <c r="AF45" i="23"/>
  <c r="AE45" i="23"/>
  <c r="AD45" i="23"/>
  <c r="AA45" i="23"/>
  <c r="W45" i="23"/>
  <c r="W13" i="23" s="1"/>
  <c r="W8" i="23" s="1"/>
  <c r="O45" i="23"/>
  <c r="K45" i="23"/>
  <c r="J45" i="23"/>
  <c r="J13" i="23" s="1"/>
  <c r="J8" i="23" s="1"/>
  <c r="S44" i="23"/>
  <c r="Q44" i="23"/>
  <c r="P44" i="23"/>
  <c r="O44" i="23"/>
  <c r="M44" i="23"/>
  <c r="L44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AA38" i="23"/>
  <c r="AA37" i="23" s="1"/>
  <c r="AA36" i="23" s="1"/>
  <c r="Q38" i="23"/>
  <c r="Q37" i="23" s="1"/>
  <c r="Q36" i="23" s="1"/>
  <c r="AE37" i="23"/>
  <c r="Y37" i="23"/>
  <c r="Y36" i="23" s="1"/>
  <c r="X37" i="23"/>
  <c r="X36" i="23" s="1"/>
  <c r="L37" i="23"/>
  <c r="L36" i="23" s="1"/>
  <c r="AO36" i="23"/>
  <c r="AN36" i="23"/>
  <c r="AJ36" i="23"/>
  <c r="AI36" i="23"/>
  <c r="AH36" i="23"/>
  <c r="AG36" i="23"/>
  <c r="AG15" i="23" s="1"/>
  <c r="AG11" i="23" s="1"/>
  <c r="AG6" i="23" s="1"/>
  <c r="AF36" i="23"/>
  <c r="AE36" i="23"/>
  <c r="AD36" i="23"/>
  <c r="AC36" i="23"/>
  <c r="AC15" i="23" s="1"/>
  <c r="AB36" i="23"/>
  <c r="W36" i="23"/>
  <c r="V36" i="23"/>
  <c r="U36" i="23"/>
  <c r="T36" i="23"/>
  <c r="S36" i="23"/>
  <c r="R36" i="23"/>
  <c r="P36" i="23"/>
  <c r="AK36" i="23" s="1"/>
  <c r="AL36" i="23" s="1"/>
  <c r="O36" i="23"/>
  <c r="N36" i="23"/>
  <c r="M36" i="23"/>
  <c r="M15" i="23" s="1"/>
  <c r="M11" i="23" s="1"/>
  <c r="AO33" i="23"/>
  <c r="AN33" i="23"/>
  <c r="AM33" i="23"/>
  <c r="AJ33" i="23"/>
  <c r="AI33" i="23"/>
  <c r="AH33" i="23"/>
  <c r="AG33" i="23"/>
  <c r="AF33" i="23"/>
  <c r="AF15" i="23" s="1"/>
  <c r="AF11" i="23" s="1"/>
  <c r="AE33" i="23"/>
  <c r="AD33" i="23"/>
  <c r="AC33" i="23"/>
  <c r="AB33" i="23"/>
  <c r="AA33" i="23"/>
  <c r="Y33" i="23"/>
  <c r="X33" i="23"/>
  <c r="W33" i="23"/>
  <c r="W15" i="23" s="1"/>
  <c r="W11" i="23" s="1"/>
  <c r="V33" i="23"/>
  <c r="U33" i="23"/>
  <c r="T33" i="23"/>
  <c r="S33" i="23"/>
  <c r="R33" i="23"/>
  <c r="Q33" i="23"/>
  <c r="P33" i="23"/>
  <c r="AK33" i="23" s="1"/>
  <c r="AL33" i="23" s="1"/>
  <c r="O33" i="23"/>
  <c r="O15" i="23" s="1"/>
  <c r="O11" i="23" s="1"/>
  <c r="N33" i="23"/>
  <c r="M33" i="23"/>
  <c r="L33" i="23"/>
  <c r="J33" i="23" s="1"/>
  <c r="AG32" i="23"/>
  <c r="Q32" i="23"/>
  <c r="P32" i="23" s="1"/>
  <c r="U31" i="23"/>
  <c r="T31" i="23" s="1"/>
  <c r="T30" i="23" s="1"/>
  <c r="AJ30" i="23"/>
  <c r="AJ17" i="23" s="1"/>
  <c r="AJ13" i="23" s="1"/>
  <c r="AI30" i="23"/>
  <c r="AH30" i="23"/>
  <c r="AE30" i="23"/>
  <c r="AE17" i="23" s="1"/>
  <c r="AE13" i="23" s="1"/>
  <c r="AD30" i="23"/>
  <c r="AD17" i="23" s="1"/>
  <c r="AC30" i="23"/>
  <c r="AB30" i="23"/>
  <c r="AA30" i="23"/>
  <c r="AA17" i="23" s="1"/>
  <c r="AA13" i="23" s="1"/>
  <c r="Y30" i="23"/>
  <c r="Y17" i="23" s="1"/>
  <c r="W30" i="23"/>
  <c r="V30" i="23"/>
  <c r="S30" i="23"/>
  <c r="R30" i="23"/>
  <c r="R17" i="23" s="1"/>
  <c r="N30" i="23"/>
  <c r="N19" i="23" s="1"/>
  <c r="L30" i="23"/>
  <c r="AF29" i="23"/>
  <c r="AA29" i="23"/>
  <c r="R29" i="23"/>
  <c r="P29" i="23"/>
  <c r="AJ28" i="23"/>
  <c r="AI28" i="23"/>
  <c r="AI18" i="23" s="1"/>
  <c r="AH28" i="23"/>
  <c r="AG28" i="23"/>
  <c r="AF28" i="23"/>
  <c r="AE28" i="23"/>
  <c r="AE18" i="23" s="1"/>
  <c r="AD28" i="23"/>
  <c r="AC28" i="23"/>
  <c r="AB28" i="23"/>
  <c r="AA28" i="23"/>
  <c r="AA18" i="23" s="1"/>
  <c r="Y28" i="23"/>
  <c r="W28" i="23"/>
  <c r="V28" i="23"/>
  <c r="U28" i="23"/>
  <c r="U18" i="23" s="1"/>
  <c r="T28" i="23"/>
  <c r="T18" i="23" s="1"/>
  <c r="S28" i="23"/>
  <c r="R28" i="23"/>
  <c r="R18" i="23" s="1"/>
  <c r="Q28" i="23"/>
  <c r="Q18" i="23" s="1"/>
  <c r="J28" i="23"/>
  <c r="J18" i="23" s="1"/>
  <c r="AF27" i="23"/>
  <c r="AA27" i="23"/>
  <c r="R27" i="23"/>
  <c r="P27" i="23" s="1"/>
  <c r="Q27" i="23"/>
  <c r="AF26" i="23"/>
  <c r="AA26" i="23"/>
  <c r="Q26" i="23"/>
  <c r="AF25" i="23"/>
  <c r="AA25" i="23"/>
  <c r="Q25" i="23"/>
  <c r="AF24" i="23"/>
  <c r="AA24" i="23"/>
  <c r="Q24" i="23"/>
  <c r="P24" i="23"/>
  <c r="AF23" i="23"/>
  <c r="AA23" i="23"/>
  <c r="T23" i="23"/>
  <c r="T20" i="23" s="1"/>
  <c r="T19" i="23" s="1"/>
  <c r="R23" i="23"/>
  <c r="AF22" i="23"/>
  <c r="AA22" i="23"/>
  <c r="R22" i="23"/>
  <c r="P22" i="23"/>
  <c r="AF21" i="23"/>
  <c r="R21" i="23"/>
  <c r="AJ20" i="23"/>
  <c r="AJ19" i="23" s="1"/>
  <c r="AI20" i="23"/>
  <c r="AH20" i="23"/>
  <c r="AG20" i="23"/>
  <c r="AF20" i="23"/>
  <c r="AF19" i="23" s="1"/>
  <c r="AE20" i="23"/>
  <c r="AD20" i="23"/>
  <c r="AC20" i="23"/>
  <c r="AB20" i="23"/>
  <c r="AB19" i="23" s="1"/>
  <c r="Y20" i="23"/>
  <c r="X20" i="23"/>
  <c r="W20" i="23"/>
  <c r="V20" i="23"/>
  <c r="U20" i="23"/>
  <c r="U15" i="23" s="1"/>
  <c r="U11" i="23" s="1"/>
  <c r="U6" i="23" s="1"/>
  <c r="S20" i="23"/>
  <c r="K20" i="23"/>
  <c r="K19" i="23" s="1"/>
  <c r="AO19" i="23"/>
  <c r="AN19" i="23"/>
  <c r="AH19" i="23"/>
  <c r="AG19" i="23"/>
  <c r="AD19" i="23"/>
  <c r="AC19" i="23"/>
  <c r="X19" i="23"/>
  <c r="W19" i="23"/>
  <c r="P19" i="23"/>
  <c r="O19" i="23"/>
  <c r="M19" i="23"/>
  <c r="L19" i="23"/>
  <c r="AO18" i="23"/>
  <c r="AO14" i="23" s="1"/>
  <c r="AN18" i="23"/>
  <c r="AN14" i="23" s="1"/>
  <c r="AN9" i="23" s="1"/>
  <c r="AM18" i="23"/>
  <c r="AL18" i="23"/>
  <c r="AK18" i="23"/>
  <c r="AK14" i="23" s="1"/>
  <c r="AK9" i="23" s="1"/>
  <c r="AJ18" i="23"/>
  <c r="AJ14" i="23" s="1"/>
  <c r="AH18" i="23"/>
  <c r="AG18" i="23"/>
  <c r="AG14" i="23" s="1"/>
  <c r="AG9" i="23" s="1"/>
  <c r="AF18" i="23"/>
  <c r="AF14" i="23" s="1"/>
  <c r="AD18" i="23"/>
  <c r="AC18" i="23"/>
  <c r="AC14" i="23" s="1"/>
  <c r="AC9" i="23" s="1"/>
  <c r="AB18" i="23"/>
  <c r="AB14" i="23" s="1"/>
  <c r="AB9" i="23" s="1"/>
  <c r="Y18" i="23"/>
  <c r="X18" i="23"/>
  <c r="X14" i="23" s="1"/>
  <c r="X9" i="23" s="1"/>
  <c r="W18" i="23"/>
  <c r="W14" i="23" s="1"/>
  <c r="S18" i="23"/>
  <c r="P18" i="23"/>
  <c r="P14" i="23" s="1"/>
  <c r="P9" i="23" s="1"/>
  <c r="O18" i="23"/>
  <c r="N18" i="23"/>
  <c r="M18" i="23"/>
  <c r="L18" i="23"/>
  <c r="L14" i="23" s="1"/>
  <c r="L9" i="23" s="1"/>
  <c r="K18" i="23"/>
  <c r="AI17" i="23"/>
  <c r="AH17" i="23"/>
  <c r="AH13" i="23" s="1"/>
  <c r="AH8" i="23" s="1"/>
  <c r="AC17" i="23"/>
  <c r="AC13" i="23" s="1"/>
  <c r="AB17" i="23"/>
  <c r="X17" i="23"/>
  <c r="X13" i="23" s="1"/>
  <c r="W17" i="23"/>
  <c r="V17" i="23"/>
  <c r="T17" i="23"/>
  <c r="S17" i="23"/>
  <c r="P17" i="23"/>
  <c r="O17" i="23"/>
  <c r="N17" i="23"/>
  <c r="M17" i="23"/>
  <c r="AO15" i="23"/>
  <c r="AN15" i="23"/>
  <c r="AL15" i="23"/>
  <c r="AK15" i="23"/>
  <c r="AJ15" i="23"/>
  <c r="AJ11" i="23" s="1"/>
  <c r="AH15" i="23"/>
  <c r="AD15" i="23"/>
  <c r="AB15" i="23"/>
  <c r="AB11" i="23" s="1"/>
  <c r="AB6" i="23" s="1"/>
  <c r="X15" i="23"/>
  <c r="T15" i="23"/>
  <c r="S15" i="23"/>
  <c r="S11" i="23" s="1"/>
  <c r="S6" i="23" s="1"/>
  <c r="P15" i="23"/>
  <c r="N15" i="23"/>
  <c r="L15" i="23"/>
  <c r="K15" i="23"/>
  <c r="J15" i="23"/>
  <c r="AM14" i="23"/>
  <c r="AL14" i="23"/>
  <c r="AI14" i="23"/>
  <c r="AI9" i="23" s="1"/>
  <c r="AH14" i="23"/>
  <c r="AE14" i="23"/>
  <c r="AD14" i="23"/>
  <c r="AA14" i="23"/>
  <c r="AA9" i="23" s="1"/>
  <c r="Y14" i="23"/>
  <c r="U14" i="23"/>
  <c r="T14" i="23"/>
  <c r="S14" i="23"/>
  <c r="R14" i="23"/>
  <c r="Q14" i="23"/>
  <c r="O14" i="23"/>
  <c r="N14" i="23"/>
  <c r="M14" i="23"/>
  <c r="K14" i="23"/>
  <c r="J14" i="23"/>
  <c r="AO13" i="23"/>
  <c r="AO8" i="23" s="1"/>
  <c r="AM13" i="23"/>
  <c r="AI13" i="23"/>
  <c r="AI8" i="23" s="1"/>
  <c r="AD13" i="23"/>
  <c r="AD8" i="23" s="1"/>
  <c r="Y13" i="23"/>
  <c r="Y8" i="23" s="1"/>
  <c r="P13" i="23"/>
  <c r="O13" i="23"/>
  <c r="O8" i="23" s="1"/>
  <c r="K13" i="23"/>
  <c r="K8" i="23" s="1"/>
  <c r="K12" i="23"/>
  <c r="AO11" i="23"/>
  <c r="AO10" i="23" s="1"/>
  <c r="AN11" i="23"/>
  <c r="AL11" i="23"/>
  <c r="AK11" i="23"/>
  <c r="AH11" i="23"/>
  <c r="AD11" i="23"/>
  <c r="AC11" i="23"/>
  <c r="AC6" i="23" s="1"/>
  <c r="X11" i="23"/>
  <c r="T11" i="23"/>
  <c r="T6" i="23" s="1"/>
  <c r="P11" i="23"/>
  <c r="P6" i="23" s="1"/>
  <c r="N11" i="23"/>
  <c r="L11" i="23"/>
  <c r="L6" i="23" s="1"/>
  <c r="K11" i="23"/>
  <c r="K10" i="23" s="1"/>
  <c r="J11" i="23"/>
  <c r="AQ10" i="23"/>
  <c r="AQ9" i="23"/>
  <c r="AO9" i="23"/>
  <c r="AJ9" i="23"/>
  <c r="AF9" i="23"/>
  <c r="AE9" i="23"/>
  <c r="Z9" i="23"/>
  <c r="W9" i="23"/>
  <c r="T9" i="23"/>
  <c r="S9" i="23"/>
  <c r="R9" i="23"/>
  <c r="O9" i="23"/>
  <c r="N9" i="23"/>
  <c r="K9" i="23"/>
  <c r="J9" i="23"/>
  <c r="AQ8" i="23"/>
  <c r="AJ8" i="23"/>
  <c r="AE8" i="23"/>
  <c r="AA8" i="23"/>
  <c r="Z8" i="23"/>
  <c r="X8" i="23"/>
  <c r="M8" i="23"/>
  <c r="AQ7" i="23"/>
  <c r="AO7" i="23"/>
  <c r="Z7" i="23"/>
  <c r="K7" i="23"/>
  <c r="AQ6" i="23"/>
  <c r="AH6" i="23"/>
  <c r="AD6" i="23"/>
  <c r="Z6" i="23"/>
  <c r="J6" i="23"/>
  <c r="AQ5" i="23"/>
  <c r="Z5" i="23"/>
  <c r="Y307" i="6"/>
  <c r="Q307" i="6" s="1"/>
  <c r="Q155" i="6"/>
  <c r="Q148" i="6"/>
  <c r="AO158" i="23" l="1"/>
  <c r="AO6" i="23"/>
  <c r="AO5" i="23" s="1"/>
  <c r="T130" i="23"/>
  <c r="T120" i="23" s="1"/>
  <c r="T125" i="23"/>
  <c r="T121" i="23" s="1"/>
  <c r="AJ10" i="23"/>
  <c r="AJ6" i="23"/>
  <c r="O6" i="23"/>
  <c r="W6" i="23"/>
  <c r="AN7" i="23"/>
  <c r="AN10" i="23"/>
  <c r="AF32" i="23"/>
  <c r="AG31" i="23"/>
  <c r="AF31" i="23" s="1"/>
  <c r="X158" i="24"/>
  <c r="M158" i="24"/>
  <c r="Q9" i="23"/>
  <c r="U9" i="23"/>
  <c r="L17" i="23"/>
  <c r="L13" i="23" s="1"/>
  <c r="L8" i="23" s="1"/>
  <c r="S13" i="23"/>
  <c r="S8" i="23" s="1"/>
  <c r="O12" i="23"/>
  <c r="T45" i="23"/>
  <c r="T13" i="23" s="1"/>
  <c r="T8" i="23" s="1"/>
  <c r="T44" i="23"/>
  <c r="AG12" i="23"/>
  <c r="Y163" i="23"/>
  <c r="Y159" i="23" s="1"/>
  <c r="N13" i="23"/>
  <c r="N8" i="23" s="1"/>
  <c r="Y15" i="23"/>
  <c r="Y11" i="23" s="1"/>
  <c r="Y6" i="23" s="1"/>
  <c r="Y19" i="23"/>
  <c r="AE15" i="23"/>
  <c r="AE11" i="23" s="1"/>
  <c r="AE6" i="23" s="1"/>
  <c r="AE19" i="23"/>
  <c r="AI15" i="23"/>
  <c r="AI11" i="23" s="1"/>
  <c r="AI19" i="23"/>
  <c r="N45" i="23"/>
  <c r="N44" i="23"/>
  <c r="N12" i="23" s="1"/>
  <c r="R44" i="23"/>
  <c r="R45" i="23"/>
  <c r="R13" i="23" s="1"/>
  <c r="R8" i="23" s="1"/>
  <c r="J83" i="23"/>
  <c r="L80" i="23"/>
  <c r="J80" i="23" s="1"/>
  <c r="AM170" i="23"/>
  <c r="AM163" i="23" s="1"/>
  <c r="AM159" i="23" s="1"/>
  <c r="Q163" i="23"/>
  <c r="Q159" i="23" s="1"/>
  <c r="X163" i="23"/>
  <c r="X159" i="23" s="1"/>
  <c r="X6" i="23" s="1"/>
  <c r="X158" i="23"/>
  <c r="AD158" i="23"/>
  <c r="O208" i="23"/>
  <c r="O160" i="23" s="1"/>
  <c r="O158" i="23" s="1"/>
  <c r="AC208" i="23"/>
  <c r="AC160" i="23" s="1"/>
  <c r="AC158" i="23" s="1"/>
  <c r="AG235" i="23"/>
  <c r="AK241" i="23"/>
  <c r="P235" i="23"/>
  <c r="P160" i="23" s="1"/>
  <c r="AI235" i="23"/>
  <c r="AI160" i="23" s="1"/>
  <c r="AI158" i="23" s="1"/>
  <c r="K6" i="23"/>
  <c r="K5" i="23" s="1"/>
  <c r="V45" i="23"/>
  <c r="V13" i="23" s="1"/>
  <c r="V44" i="23"/>
  <c r="AK103" i="23"/>
  <c r="P80" i="23"/>
  <c r="N158" i="23"/>
  <c r="M6" i="24"/>
  <c r="M10" i="24"/>
  <c r="M9" i="23"/>
  <c r="V15" i="23"/>
  <c r="V11" i="23" s="1"/>
  <c r="V6" i="23" s="1"/>
  <c r="Q20" i="23"/>
  <c r="Q15" i="23" s="1"/>
  <c r="Q11" i="23" s="1"/>
  <c r="Q6" i="23" s="1"/>
  <c r="AM6" i="23" s="1"/>
  <c r="AG80" i="23"/>
  <c r="M163" i="23"/>
  <c r="M159" i="23" s="1"/>
  <c r="M158" i="23" s="1"/>
  <c r="S158" i="23"/>
  <c r="AA20" i="23"/>
  <c r="M80" i="23"/>
  <c r="M12" i="23" s="1"/>
  <c r="M7" i="23" s="1"/>
  <c r="AA142" i="23"/>
  <c r="AA141" i="23" s="1"/>
  <c r="AA130" i="23" s="1"/>
  <c r="AN163" i="23"/>
  <c r="AN159" i="23" s="1"/>
  <c r="AN158" i="23" s="1"/>
  <c r="J158" i="23"/>
  <c r="AM241" i="23"/>
  <c r="AM235" i="23" s="1"/>
  <c r="Q235" i="23"/>
  <c r="AH235" i="23"/>
  <c r="AH160" i="23" s="1"/>
  <c r="AH158" i="23" s="1"/>
  <c r="AH249" i="23"/>
  <c r="R263" i="23"/>
  <c r="R20" i="23"/>
  <c r="R15" i="23" s="1"/>
  <c r="R11" i="23" s="1"/>
  <c r="R6" i="23" s="1"/>
  <c r="AK47" i="23"/>
  <c r="L52" i="23"/>
  <c r="P52" i="23"/>
  <c r="AK55" i="23"/>
  <c r="AL55" i="23" s="1"/>
  <c r="AL52" i="23" s="1"/>
  <c r="AK68" i="23"/>
  <c r="U80" i="23"/>
  <c r="U12" i="23" s="1"/>
  <c r="U7" i="23" s="1"/>
  <c r="AI80" i="23"/>
  <c r="AI12" i="23" s="1"/>
  <c r="AI7" i="23" s="1"/>
  <c r="AF80" i="23"/>
  <c r="AK109" i="23"/>
  <c r="AF125" i="23"/>
  <c r="AF121" i="23" s="1"/>
  <c r="AM141" i="23"/>
  <c r="AM130" i="23" s="1"/>
  <c r="Y158" i="23"/>
  <c r="AA208" i="23"/>
  <c r="AA160" i="23" s="1"/>
  <c r="AG208" i="23"/>
  <c r="W208" i="23"/>
  <c r="W160" i="23" s="1"/>
  <c r="AF208" i="23"/>
  <c r="AF160" i="23" s="1"/>
  <c r="AE249" i="23"/>
  <c r="AE160" i="23" s="1"/>
  <c r="AE158" i="23" s="1"/>
  <c r="AI249" i="23"/>
  <c r="AM249" i="23"/>
  <c r="Y249" i="23"/>
  <c r="Y160" i="23" s="1"/>
  <c r="W15" i="24"/>
  <c r="W11" i="24" s="1"/>
  <c r="W19" i="24"/>
  <c r="AC15" i="24"/>
  <c r="AC11" i="24" s="1"/>
  <c r="AC19" i="24"/>
  <c r="I22" i="23"/>
  <c r="AM36" i="23"/>
  <c r="AM15" i="23" s="1"/>
  <c r="AM11" i="23" s="1"/>
  <c r="AB52" i="23"/>
  <c r="AF52" i="23"/>
  <c r="AF12" i="23" s="1"/>
  <c r="AF7" i="23" s="1"/>
  <c r="O80" i="23"/>
  <c r="AK121" i="23"/>
  <c r="S208" i="23"/>
  <c r="S249" i="23"/>
  <c r="P257" i="23"/>
  <c r="Q256" i="23"/>
  <c r="Q255" i="23" s="1"/>
  <c r="AJ235" i="23"/>
  <c r="AJ160" i="23" s="1"/>
  <c r="U263" i="23"/>
  <c r="U158" i="23" s="1"/>
  <c r="U249" i="23"/>
  <c r="U160" i="23" s="1"/>
  <c r="AC250" i="23"/>
  <c r="AC161" i="23" s="1"/>
  <c r="AC8" i="23" s="1"/>
  <c r="AC263" i="23"/>
  <c r="AG250" i="23"/>
  <c r="AG263" i="23"/>
  <c r="R277" i="23"/>
  <c r="R276" i="23" s="1"/>
  <c r="R249" i="23" s="1"/>
  <c r="R160" i="23" s="1"/>
  <c r="S276" i="23"/>
  <c r="L17" i="24"/>
  <c r="L13" i="24" s="1"/>
  <c r="L8" i="24" s="1"/>
  <c r="M13" i="24"/>
  <c r="M8" i="24" s="1"/>
  <c r="AK170" i="23"/>
  <c r="AF175" i="23"/>
  <c r="AF174" i="23" s="1"/>
  <c r="AF163" i="23" s="1"/>
  <c r="AF159" i="23" s="1"/>
  <c r="AF6" i="23" s="1"/>
  <c r="Q208" i="23"/>
  <c r="AK211" i="23"/>
  <c r="Q214" i="23"/>
  <c r="T274" i="23"/>
  <c r="T273" i="23" s="1"/>
  <c r="T272" i="23" s="1"/>
  <c r="AO10" i="24"/>
  <c r="AF19" i="24"/>
  <c r="N45" i="24"/>
  <c r="N13" i="24" s="1"/>
  <c r="N8" i="24" s="1"/>
  <c r="N44" i="24"/>
  <c r="N12" i="24" s="1"/>
  <c r="R45" i="24"/>
  <c r="R13" i="24" s="1"/>
  <c r="R8" i="24" s="1"/>
  <c r="R44" i="24"/>
  <c r="AM160" i="23"/>
  <c r="AA8" i="24"/>
  <c r="AH6" i="24"/>
  <c r="AN10" i="24"/>
  <c r="AN6" i="24"/>
  <c r="O10" i="24"/>
  <c r="O6" i="24"/>
  <c r="O5" i="24" s="1"/>
  <c r="Y8" i="24"/>
  <c r="J83" i="24"/>
  <c r="L80" i="24"/>
  <c r="J80" i="24" s="1"/>
  <c r="J12" i="24" s="1"/>
  <c r="W130" i="24"/>
  <c r="W120" i="24" s="1"/>
  <c r="W125" i="24"/>
  <c r="AM245" i="23"/>
  <c r="L249" i="23"/>
  <c r="L160" i="23" s="1"/>
  <c r="L158" i="23" s="1"/>
  <c r="AK263" i="23"/>
  <c r="AL263" i="23" s="1"/>
  <c r="P265" i="23"/>
  <c r="AD147" i="6"/>
  <c r="Z148" i="6"/>
  <c r="K10" i="24"/>
  <c r="K6" i="24"/>
  <c r="K5" i="24" s="1"/>
  <c r="AG15" i="24"/>
  <c r="AG11" i="24" s="1"/>
  <c r="AG19" i="24"/>
  <c r="S19" i="24"/>
  <c r="S18" i="24"/>
  <c r="S14" i="24" s="1"/>
  <c r="S9" i="24" s="1"/>
  <c r="AH13" i="24"/>
  <c r="AH8" i="24" s="1"/>
  <c r="AG31" i="24"/>
  <c r="AF31" i="24" s="1"/>
  <c r="AF30" i="24" s="1"/>
  <c r="AF17" i="24" s="1"/>
  <c r="AF13" i="24" s="1"/>
  <c r="AF8" i="24" s="1"/>
  <c r="R288" i="23"/>
  <c r="I22" i="24"/>
  <c r="X13" i="24"/>
  <c r="X8" i="24" s="1"/>
  <c r="AC13" i="24"/>
  <c r="S80" i="24"/>
  <c r="S12" i="24" s="1"/>
  <c r="W121" i="24"/>
  <c r="W10" i="24" s="1"/>
  <c r="AK121" i="24"/>
  <c r="T214" i="24"/>
  <c r="T212" i="24" s="1"/>
  <c r="T211" i="24" s="1"/>
  <c r="T208" i="24" s="1"/>
  <c r="T160" i="24" s="1"/>
  <c r="Q214" i="24"/>
  <c r="AA291" i="24"/>
  <c r="AA250" i="24"/>
  <c r="L55" i="24"/>
  <c r="J55" i="24" s="1"/>
  <c r="AB12" i="24"/>
  <c r="AB7" i="24" s="1"/>
  <c r="AJ12" i="24"/>
  <c r="Z10" i="24"/>
  <c r="Z5" i="24" s="1"/>
  <c r="U208" i="24"/>
  <c r="Y249" i="24"/>
  <c r="AA20" i="24"/>
  <c r="AA15" i="24" s="1"/>
  <c r="AA11" i="24" s="1"/>
  <c r="AK33" i="24"/>
  <c r="V13" i="24"/>
  <c r="V8" i="24" s="1"/>
  <c r="R12" i="24"/>
  <c r="Y80" i="24"/>
  <c r="AD163" i="24"/>
  <c r="AD159" i="24" s="1"/>
  <c r="AK47" i="24"/>
  <c r="AK55" i="24"/>
  <c r="AL55" i="24" s="1"/>
  <c r="AL52" i="24" s="1"/>
  <c r="L12" i="24"/>
  <c r="L10" i="24" s="1"/>
  <c r="AK68" i="24"/>
  <c r="AM72" i="24"/>
  <c r="AM77" i="24"/>
  <c r="AD80" i="24"/>
  <c r="AI80" i="24"/>
  <c r="AI12" i="24" s="1"/>
  <c r="AF80" i="24"/>
  <c r="AF12" i="24" s="1"/>
  <c r="AK100" i="24"/>
  <c r="AK146" i="24"/>
  <c r="AL146" i="24" s="1"/>
  <c r="AJ163" i="24"/>
  <c r="AJ159" i="24" s="1"/>
  <c r="AJ6" i="24" s="1"/>
  <c r="Y208" i="24"/>
  <c r="Y160" i="24" s="1"/>
  <c r="AF235" i="24"/>
  <c r="AN160" i="24"/>
  <c r="AN158" i="24" s="1"/>
  <c r="T249" i="24"/>
  <c r="AG80" i="24"/>
  <c r="AG12" i="24" s="1"/>
  <c r="AG7" i="24" s="1"/>
  <c r="AM87" i="24"/>
  <c r="AK103" i="24"/>
  <c r="AA147" i="24"/>
  <c r="AA146" i="24" s="1"/>
  <c r="AC163" i="24"/>
  <c r="AC159" i="24" s="1"/>
  <c r="AA161" i="24"/>
  <c r="AA249" i="24"/>
  <c r="AE249" i="24"/>
  <c r="V249" i="24"/>
  <c r="AF250" i="24"/>
  <c r="AF263" i="24"/>
  <c r="AD52" i="24"/>
  <c r="AH52" i="24"/>
  <c r="AH12" i="24" s="1"/>
  <c r="AH10" i="24" s="1"/>
  <c r="L163" i="24"/>
  <c r="L159" i="24" s="1"/>
  <c r="AK170" i="24"/>
  <c r="P163" i="24"/>
  <c r="P159" i="24" s="1"/>
  <c r="P6" i="24" s="1"/>
  <c r="P158" i="24"/>
  <c r="P5" i="24" s="1"/>
  <c r="Q208" i="24"/>
  <c r="R263" i="24"/>
  <c r="AJ235" i="24"/>
  <c r="AJ160" i="24" s="1"/>
  <c r="AJ158" i="24" s="1"/>
  <c r="AM249" i="24"/>
  <c r="AM263" i="24"/>
  <c r="AB249" i="24"/>
  <c r="AK281" i="24"/>
  <c r="AL281" i="24" s="1"/>
  <c r="AM170" i="24"/>
  <c r="AM163" i="24" s="1"/>
  <c r="AM159" i="24" s="1"/>
  <c r="AE163" i="24"/>
  <c r="AE159" i="24" s="1"/>
  <c r="AE6" i="24" s="1"/>
  <c r="N160" i="24"/>
  <c r="N158" i="24" s="1"/>
  <c r="W208" i="24"/>
  <c r="W160" i="24" s="1"/>
  <c r="AH235" i="24"/>
  <c r="AH160" i="24" s="1"/>
  <c r="AH158" i="24" s="1"/>
  <c r="AM245" i="24"/>
  <c r="AG249" i="24"/>
  <c r="AD249" i="24"/>
  <c r="AD160" i="24" s="1"/>
  <c r="AM141" i="24"/>
  <c r="AM130" i="24" s="1"/>
  <c r="AM151" i="24"/>
  <c r="R158" i="24"/>
  <c r="AF175" i="24"/>
  <c r="AF174" i="24" s="1"/>
  <c r="AF163" i="24" s="1"/>
  <c r="AF159" i="24" s="1"/>
  <c r="AF158" i="24" s="1"/>
  <c r="AB163" i="24"/>
  <c r="AB159" i="24" s="1"/>
  <c r="AB6" i="24" s="1"/>
  <c r="AA191" i="24"/>
  <c r="AA190" i="24" s="1"/>
  <c r="X208" i="24"/>
  <c r="X160" i="24" s="1"/>
  <c r="AI208" i="24"/>
  <c r="AF208" i="24"/>
  <c r="AF160" i="24" s="1"/>
  <c r="AB160" i="24"/>
  <c r="J160" i="24"/>
  <c r="J158" i="24" s="1"/>
  <c r="AG235" i="24"/>
  <c r="AG160" i="24" s="1"/>
  <c r="AC250" i="24"/>
  <c r="AC161" i="24" s="1"/>
  <c r="S249" i="24"/>
  <c r="S160" i="24" s="1"/>
  <c r="W249" i="24"/>
  <c r="AC249" i="24"/>
  <c r="AF249" i="24"/>
  <c r="R249" i="24"/>
  <c r="R160" i="24" s="1"/>
  <c r="R7" i="24" s="1"/>
  <c r="AK272" i="24"/>
  <c r="AL272" i="24" s="1"/>
  <c r="AL249" i="24" s="1"/>
  <c r="L160" i="24"/>
  <c r="L7" i="24" s="1"/>
  <c r="AA80" i="24"/>
  <c r="AA12" i="24" s="1"/>
  <c r="AK141" i="24"/>
  <c r="AL141" i="24" s="1"/>
  <c r="AL130" i="24" s="1"/>
  <c r="T19" i="24"/>
  <c r="T15" i="24"/>
  <c r="T11" i="24" s="1"/>
  <c r="AA19" i="24"/>
  <c r="AA10" i="24" s="1"/>
  <c r="J6" i="24"/>
  <c r="AL33" i="24"/>
  <c r="AL15" i="24" s="1"/>
  <c r="AL11" i="24" s="1"/>
  <c r="AK15" i="24"/>
  <c r="AK11" i="24" s="1"/>
  <c r="X15" i="24"/>
  <c r="X11" i="24" s="1"/>
  <c r="AM36" i="24"/>
  <c r="AM15" i="24" s="1"/>
  <c r="AM11" i="24" s="1"/>
  <c r="Q15" i="24"/>
  <c r="Q11" i="24" s="1"/>
  <c r="Q6" i="24" s="1"/>
  <c r="AB10" i="24"/>
  <c r="AH7" i="24"/>
  <c r="AH5" i="24" s="1"/>
  <c r="AJ10" i="24"/>
  <c r="AI10" i="24"/>
  <c r="S10" i="24"/>
  <c r="I21" i="24"/>
  <c r="R19" i="24"/>
  <c r="R10" i="24" s="1"/>
  <c r="R5" i="24" s="1"/>
  <c r="R15" i="24"/>
  <c r="R11" i="24" s="1"/>
  <c r="L6" i="24"/>
  <c r="AL47" i="24"/>
  <c r="AL45" i="24" s="1"/>
  <c r="AL13" i="24" s="1"/>
  <c r="AL8" i="24" s="1"/>
  <c r="AK45" i="24"/>
  <c r="AK13" i="24" s="1"/>
  <c r="AK8" i="24" s="1"/>
  <c r="AK65" i="24"/>
  <c r="AL68" i="24"/>
  <c r="AL65" i="24" s="1"/>
  <c r="Y65" i="24"/>
  <c r="Y12" i="24" s="1"/>
  <c r="Y7" i="24" s="1"/>
  <c r="Y10" i="24"/>
  <c r="AM68" i="24"/>
  <c r="AM65" i="24" s="1"/>
  <c r="Q65" i="24"/>
  <c r="Q12" i="24" s="1"/>
  <c r="AK72" i="24"/>
  <c r="AL72" i="24" s="1"/>
  <c r="AK87" i="24"/>
  <c r="S163" i="24"/>
  <c r="S159" i="24" s="1"/>
  <c r="S6" i="24" s="1"/>
  <c r="S158" i="24"/>
  <c r="AL170" i="24"/>
  <c r="AL163" i="24" s="1"/>
  <c r="AL159" i="24" s="1"/>
  <c r="AK163" i="24"/>
  <c r="AK159" i="24" s="1"/>
  <c r="AM241" i="24"/>
  <c r="AM235" i="24" s="1"/>
  <c r="AM160" i="24" s="1"/>
  <c r="AM158" i="24" s="1"/>
  <c r="Q235" i="24"/>
  <c r="AK77" i="24"/>
  <c r="AL77" i="24" s="1"/>
  <c r="AM83" i="24"/>
  <c r="AM80" i="24" s="1"/>
  <c r="T130" i="24"/>
  <c r="T120" i="24" s="1"/>
  <c r="T125" i="24"/>
  <c r="T121" i="24" s="1"/>
  <c r="T80" i="24" s="1"/>
  <c r="V130" i="24"/>
  <c r="V120" i="24" s="1"/>
  <c r="V125" i="24"/>
  <c r="V121" i="24" s="1"/>
  <c r="V10" i="24" s="1"/>
  <c r="X130" i="24"/>
  <c r="X120" i="24" s="1"/>
  <c r="X125" i="24"/>
  <c r="X121" i="24" s="1"/>
  <c r="X80" i="24" s="1"/>
  <c r="AC130" i="24"/>
  <c r="AC120" i="24" s="1"/>
  <c r="AC125" i="24"/>
  <c r="AC121" i="24" s="1"/>
  <c r="AC80" i="24" s="1"/>
  <c r="AC12" i="24" s="1"/>
  <c r="AE130" i="24"/>
  <c r="AE120" i="24" s="1"/>
  <c r="AE125" i="24"/>
  <c r="AE121" i="24" s="1"/>
  <c r="AE80" i="24" s="1"/>
  <c r="U163" i="24"/>
  <c r="U159" i="24" s="1"/>
  <c r="U6" i="24" s="1"/>
  <c r="W163" i="24"/>
  <c r="W159" i="24" s="1"/>
  <c r="W6" i="24" s="1"/>
  <c r="W158" i="24"/>
  <c r="Y163" i="24"/>
  <c r="Y159" i="24" s="1"/>
  <c r="Y6" i="24" s="1"/>
  <c r="Y158" i="24"/>
  <c r="T163" i="24"/>
  <c r="T159" i="24" s="1"/>
  <c r="T158" i="24"/>
  <c r="AA158" i="24"/>
  <c r="AA163" i="24"/>
  <c r="AA159" i="24" s="1"/>
  <c r="AI235" i="24"/>
  <c r="AI249" i="24"/>
  <c r="AO235" i="24"/>
  <c r="AO249" i="24"/>
  <c r="Q30" i="24"/>
  <c r="U30" i="24"/>
  <c r="AG30" i="24"/>
  <c r="AG17" i="24" s="1"/>
  <c r="AG13" i="24" s="1"/>
  <c r="AG8" i="24" s="1"/>
  <c r="P65" i="24"/>
  <c r="P12" i="24" s="1"/>
  <c r="R163" i="24"/>
  <c r="R159" i="24" s="1"/>
  <c r="X163" i="24"/>
  <c r="X159" i="24" s="1"/>
  <c r="AA208" i="24"/>
  <c r="AA160" i="24" s="1"/>
  <c r="AC208" i="24"/>
  <c r="AE208" i="24"/>
  <c r="AE160" i="24" s="1"/>
  <c r="AE158" i="24" s="1"/>
  <c r="AO160" i="24"/>
  <c r="AK241" i="24"/>
  <c r="L245" i="24"/>
  <c r="U122" i="24"/>
  <c r="U121" i="24" s="1"/>
  <c r="U80" i="24" s="1"/>
  <c r="U12" i="24" s="1"/>
  <c r="AG174" i="24"/>
  <c r="AG163" i="24" s="1"/>
  <c r="AG159" i="24" s="1"/>
  <c r="P208" i="24"/>
  <c r="P160" i="24" s="1"/>
  <c r="V212" i="24"/>
  <c r="V211" i="24" s="1"/>
  <c r="V208" i="24" s="1"/>
  <c r="Q256" i="24"/>
  <c r="Q255" i="24" s="1"/>
  <c r="Q249" i="24" s="1"/>
  <c r="U273" i="24"/>
  <c r="U272" i="24" s="1"/>
  <c r="U249" i="24" s="1"/>
  <c r="U160" i="24" s="1"/>
  <c r="AK109" i="24"/>
  <c r="AK211" i="24"/>
  <c r="AK245" i="24"/>
  <c r="AL245" i="24" s="1"/>
  <c r="AK263" i="24"/>
  <c r="AL263" i="24" s="1"/>
  <c r="AK72" i="23"/>
  <c r="AL72" i="23" s="1"/>
  <c r="AM72" i="23"/>
  <c r="Q249" i="23"/>
  <c r="Q160" i="23" s="1"/>
  <c r="Q158" i="23"/>
  <c r="J249" i="23"/>
  <c r="AK272" i="23"/>
  <c r="AL272" i="23" s="1"/>
  <c r="AL249" i="23" s="1"/>
  <c r="AL47" i="23"/>
  <c r="AL45" i="23" s="1"/>
  <c r="AL13" i="23" s="1"/>
  <c r="AL8" i="23" s="1"/>
  <c r="AK45" i="23"/>
  <c r="AK13" i="23" s="1"/>
  <c r="AK8" i="23" s="1"/>
  <c r="AK52" i="23"/>
  <c r="AL68" i="23"/>
  <c r="AL65" i="23" s="1"/>
  <c r="AK65" i="23"/>
  <c r="Q65" i="23"/>
  <c r="AM68" i="23"/>
  <c r="AM65" i="23" s="1"/>
  <c r="AM12" i="23" s="1"/>
  <c r="AM10" i="23" s="1"/>
  <c r="W130" i="23"/>
  <c r="W120" i="23" s="1"/>
  <c r="W125" i="23"/>
  <c r="W121" i="23" s="1"/>
  <c r="W10" i="23" s="1"/>
  <c r="W5" i="23" s="1"/>
  <c r="Y130" i="23"/>
  <c r="Y120" i="23" s="1"/>
  <c r="Y125" i="23"/>
  <c r="Y121" i="23" s="1"/>
  <c r="Y10" i="23" s="1"/>
  <c r="Y5" i="23" s="1"/>
  <c r="AK163" i="23"/>
  <c r="AK159" i="23" s="1"/>
  <c r="AL170" i="23"/>
  <c r="AL211" i="23"/>
  <c r="AL208" i="23" s="1"/>
  <c r="AK208" i="23"/>
  <c r="AL241" i="23"/>
  <c r="V263" i="23"/>
  <c r="V158" i="23" s="1"/>
  <c r="V250" i="23"/>
  <c r="V161" i="23" s="1"/>
  <c r="V8" i="23" s="1"/>
  <c r="I21" i="23"/>
  <c r="R19" i="23"/>
  <c r="R10" i="23" s="1"/>
  <c r="V19" i="23"/>
  <c r="V18" i="23"/>
  <c r="V14" i="23" s="1"/>
  <c r="V9" i="23" s="1"/>
  <c r="AD130" i="23"/>
  <c r="AD120" i="23" s="1"/>
  <c r="AD125" i="23"/>
  <c r="AD121" i="23" s="1"/>
  <c r="AD80" i="23" s="1"/>
  <c r="T208" i="23"/>
  <c r="S19" i="23"/>
  <c r="S10" i="23" s="1"/>
  <c r="S5" i="23" s="1"/>
  <c r="S80" i="23"/>
  <c r="S12" i="23" s="1"/>
  <c r="W80" i="23"/>
  <c r="W12" i="23" s="1"/>
  <c r="W7" i="23" s="1"/>
  <c r="AB80" i="23"/>
  <c r="AB12" i="23" s="1"/>
  <c r="AH80" i="23"/>
  <c r="AH12" i="23" s="1"/>
  <c r="R80" i="23"/>
  <c r="R12" i="23" s="1"/>
  <c r="AA80" i="23"/>
  <c r="AA12" i="23" s="1"/>
  <c r="AA7" i="23" s="1"/>
  <c r="AK87" i="23"/>
  <c r="AK100" i="23"/>
  <c r="AL163" i="23"/>
  <c r="AL159" i="23" s="1"/>
  <c r="Q30" i="23"/>
  <c r="U30" i="23"/>
  <c r="AG30" i="23"/>
  <c r="AG17" i="23" s="1"/>
  <c r="AG13" i="23" s="1"/>
  <c r="P65" i="23"/>
  <c r="P12" i="23" s="1"/>
  <c r="P7" i="23" s="1"/>
  <c r="L77" i="23"/>
  <c r="Q80" i="23"/>
  <c r="V125" i="23"/>
  <c r="V121" i="23" s="1"/>
  <c r="V80" i="23" s="1"/>
  <c r="V12" i="23" s="1"/>
  <c r="V7" i="23" s="1"/>
  <c r="X125" i="23"/>
  <c r="X121" i="23" s="1"/>
  <c r="X10" i="23" s="1"/>
  <c r="X5" i="23" s="1"/>
  <c r="AC125" i="23"/>
  <c r="AC121" i="23" s="1"/>
  <c r="AC80" i="23" s="1"/>
  <c r="AC12" i="23" s="1"/>
  <c r="AE125" i="23"/>
  <c r="AE121" i="23" s="1"/>
  <c r="AE80" i="23" s="1"/>
  <c r="AE12" i="23" s="1"/>
  <c r="AG125" i="23"/>
  <c r="AG121" i="23" s="1"/>
  <c r="AI125" i="23"/>
  <c r="AI121" i="23" s="1"/>
  <c r="P130" i="23"/>
  <c r="T264" i="23"/>
  <c r="AK77" i="23"/>
  <c r="AL77" i="23" s="1"/>
  <c r="AK141" i="23"/>
  <c r="AK146" i="23"/>
  <c r="AL146" i="23" s="1"/>
  <c r="AK151" i="23"/>
  <c r="AL151" i="23" s="1"/>
  <c r="N7" i="24" l="1"/>
  <c r="N5" i="24" s="1"/>
  <c r="N10" i="24"/>
  <c r="AJ158" i="23"/>
  <c r="AJ7" i="23"/>
  <c r="AB5" i="24"/>
  <c r="T80" i="23"/>
  <c r="T12" i="23" s="1"/>
  <c r="T10" i="23"/>
  <c r="AF10" i="24"/>
  <c r="AF7" i="24"/>
  <c r="J7" i="24"/>
  <c r="J5" i="24" s="1"/>
  <c r="J10" i="24"/>
  <c r="N10" i="23"/>
  <c r="N7" i="23"/>
  <c r="N5" i="23" s="1"/>
  <c r="AN6" i="23"/>
  <c r="AN5" i="23" s="1"/>
  <c r="AF158" i="23"/>
  <c r="V160" i="24"/>
  <c r="AC160" i="24"/>
  <c r="AC158" i="24" s="1"/>
  <c r="AI160" i="24"/>
  <c r="AK130" i="24"/>
  <c r="AK52" i="24"/>
  <c r="AD12" i="24"/>
  <c r="S7" i="24"/>
  <c r="S160" i="23"/>
  <c r="AC6" i="24"/>
  <c r="AN7" i="24"/>
  <c r="AN5" i="24" s="1"/>
  <c r="M5" i="24"/>
  <c r="S7" i="23"/>
  <c r="W80" i="24"/>
  <c r="W12" i="24" s="1"/>
  <c r="W7" i="24" s="1"/>
  <c r="AA19" i="23"/>
  <c r="AA10" i="23" s="1"/>
  <c r="AA5" i="23" s="1"/>
  <c r="AA15" i="23"/>
  <c r="AA11" i="23" s="1"/>
  <c r="AA6" i="23" s="1"/>
  <c r="O7" i="23"/>
  <c r="O5" i="23" s="1"/>
  <c r="M6" i="23"/>
  <c r="M5" i="23" s="1"/>
  <c r="O10" i="23"/>
  <c r="AK249" i="23"/>
  <c r="AK235" i="23"/>
  <c r="AJ7" i="24"/>
  <c r="AJ5" i="24" s="1"/>
  <c r="AB158" i="24"/>
  <c r="AC8" i="24"/>
  <c r="AF6" i="24"/>
  <c r="AG160" i="23"/>
  <c r="AG158" i="23" s="1"/>
  <c r="J52" i="23"/>
  <c r="J12" i="23" s="1"/>
  <c r="L12" i="23"/>
  <c r="R158" i="23"/>
  <c r="AJ5" i="23"/>
  <c r="R7" i="23"/>
  <c r="AM6" i="24"/>
  <c r="R5" i="23"/>
  <c r="AE12" i="24"/>
  <c r="AE7" i="24" s="1"/>
  <c r="AE5" i="24" s="1"/>
  <c r="X12" i="24"/>
  <c r="X7" i="24" s="1"/>
  <c r="T12" i="24"/>
  <c r="T7" i="24" s="1"/>
  <c r="AD158" i="24"/>
  <c r="AD6" i="24"/>
  <c r="M10" i="23"/>
  <c r="AM158" i="23"/>
  <c r="AI10" i="23"/>
  <c r="AI6" i="23"/>
  <c r="AI5" i="23" s="1"/>
  <c r="AF30" i="23"/>
  <c r="AF17" i="23" s="1"/>
  <c r="AF13" i="23" s="1"/>
  <c r="AF8" i="23" s="1"/>
  <c r="AF5" i="23" s="1"/>
  <c r="AK249" i="24"/>
  <c r="L5" i="24"/>
  <c r="L158" i="24"/>
  <c r="P7" i="24"/>
  <c r="AA7" i="24"/>
  <c r="U7" i="24"/>
  <c r="AI158" i="24"/>
  <c r="AI7" i="24"/>
  <c r="AI5" i="24" s="1"/>
  <c r="AC7" i="24"/>
  <c r="AC5" i="24" s="1"/>
  <c r="AC10" i="24"/>
  <c r="AL211" i="24"/>
  <c r="AL208" i="24" s="1"/>
  <c r="AK208" i="24"/>
  <c r="AG158" i="24"/>
  <c r="AG6" i="24"/>
  <c r="AG5" i="24" s="1"/>
  <c r="AO158" i="24"/>
  <c r="AO7" i="24"/>
  <c r="AO5" i="24" s="1"/>
  <c r="U19" i="24"/>
  <c r="U10" i="24" s="1"/>
  <c r="U17" i="24"/>
  <c r="U13" i="24" s="1"/>
  <c r="U8" i="24" s="1"/>
  <c r="AL87" i="24"/>
  <c r="AL80" i="24" s="1"/>
  <c r="AK80" i="24"/>
  <c r="AL6" i="24"/>
  <c r="U158" i="24"/>
  <c r="V80" i="24"/>
  <c r="V12" i="24" s="1"/>
  <c r="V7" i="24" s="1"/>
  <c r="Y5" i="24"/>
  <c r="AK12" i="24"/>
  <c r="AK10" i="24" s="1"/>
  <c r="R6" i="24"/>
  <c r="S5" i="24"/>
  <c r="X10" i="24"/>
  <c r="X5" i="24" s="1"/>
  <c r="AA5" i="24"/>
  <c r="T10" i="24"/>
  <c r="T5" i="24" s="1"/>
  <c r="AL241" i="24"/>
  <c r="AL235" i="24" s="1"/>
  <c r="AK235" i="24"/>
  <c r="Q19" i="24"/>
  <c r="Q17" i="24"/>
  <c r="Q13" i="24" s="1"/>
  <c r="Q8" i="24" s="1"/>
  <c r="AK6" i="24"/>
  <c r="V158" i="24"/>
  <c r="V5" i="24" s="1"/>
  <c r="Q160" i="24"/>
  <c r="Q7" i="24" s="1"/>
  <c r="AM7" i="24" s="1"/>
  <c r="Q158" i="24"/>
  <c r="AM12" i="24"/>
  <c r="AM10" i="24" s="1"/>
  <c r="AL12" i="24"/>
  <c r="AL10" i="24" s="1"/>
  <c r="W5" i="24"/>
  <c r="AG10" i="24"/>
  <c r="X6" i="24"/>
  <c r="AA6" i="24"/>
  <c r="T6" i="24"/>
  <c r="AC10" i="23"/>
  <c r="AC7" i="23"/>
  <c r="AC5" i="23" s="1"/>
  <c r="AE10" i="23"/>
  <c r="AE7" i="23"/>
  <c r="AE5" i="23" s="1"/>
  <c r="U17" i="23"/>
  <c r="U13" i="23" s="1"/>
  <c r="U8" i="23" s="1"/>
  <c r="U19" i="23"/>
  <c r="U10" i="23" s="1"/>
  <c r="U5" i="23" s="1"/>
  <c r="AL6" i="23"/>
  <c r="AB7" i="23"/>
  <c r="AB5" i="23" s="1"/>
  <c r="AB10" i="23"/>
  <c r="V10" i="23"/>
  <c r="V5" i="23" s="1"/>
  <c r="AD12" i="23"/>
  <c r="AK160" i="23"/>
  <c r="AK158" i="23" s="1"/>
  <c r="AL141" i="23"/>
  <c r="AL130" i="23" s="1"/>
  <c r="AK130" i="23"/>
  <c r="T249" i="23"/>
  <c r="T160" i="23" s="1"/>
  <c r="T7" i="23" s="1"/>
  <c r="T263" i="23"/>
  <c r="T158" i="23" s="1"/>
  <c r="AG10" i="23"/>
  <c r="AG8" i="23"/>
  <c r="Q17" i="23"/>
  <c r="Q13" i="23" s="1"/>
  <c r="Q8" i="23" s="1"/>
  <c r="Q19" i="23"/>
  <c r="AK80" i="23"/>
  <c r="AL87" i="23"/>
  <c r="AL80" i="23" s="1"/>
  <c r="AH7" i="23"/>
  <c r="AH5" i="23" s="1"/>
  <c r="AH10" i="23"/>
  <c r="AK6" i="23"/>
  <c r="X80" i="23"/>
  <c r="X12" i="23" s="1"/>
  <c r="X7" i="23" s="1"/>
  <c r="Y80" i="23"/>
  <c r="Y12" i="23" s="1"/>
  <c r="Y7" i="23" s="1"/>
  <c r="AL235" i="23"/>
  <c r="AL160" i="23" s="1"/>
  <c r="AL158" i="23" s="1"/>
  <c r="Q12" i="23"/>
  <c r="Q7" i="23" s="1"/>
  <c r="AM7" i="23" s="1"/>
  <c r="AL12" i="23"/>
  <c r="T5" i="23" l="1"/>
  <c r="J10" i="23"/>
  <c r="J7" i="23"/>
  <c r="J5" i="23" s="1"/>
  <c r="AF10" i="23"/>
  <c r="AE10" i="24"/>
  <c r="AD7" i="24"/>
  <c r="AD5" i="24" s="1"/>
  <c r="AD10" i="24"/>
  <c r="AK12" i="23"/>
  <c r="L10" i="23"/>
  <c r="L7" i="23"/>
  <c r="L5" i="23" s="1"/>
  <c r="AG7" i="23"/>
  <c r="AG5" i="23" s="1"/>
  <c r="AF5" i="24"/>
  <c r="Q10" i="24"/>
  <c r="Q5" i="24" s="1"/>
  <c r="AM5" i="24" s="1"/>
  <c r="AK19" i="24"/>
  <c r="AL19" i="24" s="1"/>
  <c r="U5" i="24"/>
  <c r="AL160" i="24"/>
  <c r="AL158" i="24" s="1"/>
  <c r="AL7" i="24"/>
  <c r="AL5" i="24" s="1"/>
  <c r="AK160" i="24"/>
  <c r="AK158" i="24" s="1"/>
  <c r="AK10" i="23"/>
  <c r="AK7" i="23"/>
  <c r="Q10" i="23"/>
  <c r="Q5" i="23" s="1"/>
  <c r="AM5" i="23" s="1"/>
  <c r="AK19" i="23"/>
  <c r="AL19" i="23" s="1"/>
  <c r="AD7" i="23"/>
  <c r="AD5" i="23" s="1"/>
  <c r="AD10" i="23"/>
  <c r="AK5" i="23"/>
  <c r="AL7" i="23"/>
  <c r="AL5" i="23" s="1"/>
  <c r="AL10" i="23"/>
  <c r="AK7" i="24" l="1"/>
  <c r="AK5" i="24" s="1"/>
  <c r="L143" i="6"/>
  <c r="P143" i="6"/>
  <c r="AK114" i="14"/>
  <c r="AK11" i="14" s="1"/>
  <c r="AE178" i="6"/>
  <c r="AF178" i="6"/>
  <c r="AF12" i="6" s="1"/>
  <c r="AG178" i="6"/>
  <c r="AG12" i="6" s="1"/>
  <c r="AE12" i="6"/>
  <c r="AH178" i="6"/>
  <c r="AH12" i="6" s="1"/>
  <c r="V150" i="6"/>
  <c r="V143" i="6"/>
  <c r="R147" i="6"/>
  <c r="S147" i="6"/>
  <c r="T147" i="6"/>
  <c r="U147" i="6"/>
  <c r="W147" i="6"/>
  <c r="W143" i="6" s="1"/>
  <c r="Y147" i="6"/>
  <c r="X147" i="6" s="1"/>
  <c r="D31" i="11" l="1"/>
  <c r="I20" i="11"/>
  <c r="I20" i="8"/>
  <c r="D20" i="8"/>
  <c r="Q298" i="22"/>
  <c r="AA298" i="22" l="1"/>
  <c r="Q297" i="22"/>
  <c r="AA297" i="22"/>
  <c r="AA138" i="22"/>
  <c r="AA136" i="22" s="1"/>
  <c r="Q138" i="22"/>
  <c r="AA134" i="22"/>
  <c r="AA132" i="22" s="1"/>
  <c r="Q134" i="22"/>
  <c r="Q132" i="22" s="1"/>
  <c r="AA91" i="22"/>
  <c r="AA86" i="22" s="1"/>
  <c r="Q91" i="22"/>
  <c r="J315" i="22"/>
  <c r="R314" i="22"/>
  <c r="Q314" i="22"/>
  <c r="AO313" i="22"/>
  <c r="AN313" i="22"/>
  <c r="AM313" i="22"/>
  <c r="AL313" i="22"/>
  <c r="AK313" i="22"/>
  <c r="AJ313" i="22"/>
  <c r="AI313" i="22"/>
  <c r="AH313" i="22"/>
  <c r="AG313" i="22"/>
  <c r="AF313" i="22"/>
  <c r="AE313" i="22"/>
  <c r="AD313" i="22"/>
  <c r="AC313" i="22"/>
  <c r="AB313" i="22"/>
  <c r="AA313" i="22"/>
  <c r="Y313" i="22"/>
  <c r="X313" i="22"/>
  <c r="W313" i="22"/>
  <c r="V313" i="22"/>
  <c r="U313" i="22"/>
  <c r="T313" i="22"/>
  <c r="S313" i="22"/>
  <c r="R313" i="22"/>
  <c r="Q313" i="22"/>
  <c r="P313" i="22"/>
  <c r="O313" i="22"/>
  <c r="N313" i="22"/>
  <c r="M313" i="22"/>
  <c r="L313" i="22"/>
  <c r="J313" i="22" s="1"/>
  <c r="J312" i="22"/>
  <c r="R311" i="22"/>
  <c r="Q311" i="22"/>
  <c r="AO310" i="22"/>
  <c r="AN310" i="22"/>
  <c r="AM310" i="22"/>
  <c r="AL310" i="22"/>
  <c r="AK310" i="22"/>
  <c r="AJ310" i="22"/>
  <c r="AI310" i="22"/>
  <c r="AH310" i="22"/>
  <c r="AG310" i="22"/>
  <c r="AF310" i="22"/>
  <c r="AE310" i="22"/>
  <c r="AD310" i="22"/>
  <c r="AC310" i="22"/>
  <c r="AB310" i="22"/>
  <c r="AA310" i="22"/>
  <c r="Y310" i="22"/>
  <c r="X310" i="22"/>
  <c r="W310" i="22"/>
  <c r="V310" i="22"/>
  <c r="U310" i="22"/>
  <c r="T310" i="22"/>
  <c r="S310" i="22"/>
  <c r="R310" i="22"/>
  <c r="Q310" i="22"/>
  <c r="P310" i="22"/>
  <c r="O310" i="22"/>
  <c r="N310" i="22"/>
  <c r="M310" i="22"/>
  <c r="L310" i="22"/>
  <c r="J310" i="22" s="1"/>
  <c r="J302" i="22"/>
  <c r="R301" i="22"/>
  <c r="Q301" i="22"/>
  <c r="AO300" i="22"/>
  <c r="AN300" i="22"/>
  <c r="AM300" i="22"/>
  <c r="AL300" i="22"/>
  <c r="AK300" i="22"/>
  <c r="AJ300" i="22"/>
  <c r="AI300" i="22"/>
  <c r="AH300" i="22"/>
  <c r="AG300" i="22"/>
  <c r="AF300" i="22"/>
  <c r="AE300" i="22"/>
  <c r="AD300" i="22"/>
  <c r="AC300" i="22"/>
  <c r="AB300" i="22"/>
  <c r="AA300" i="22"/>
  <c r="Y300" i="22"/>
  <c r="X300" i="22"/>
  <c r="W300" i="22"/>
  <c r="V300" i="22"/>
  <c r="U300" i="22"/>
  <c r="T300" i="22"/>
  <c r="S300" i="22"/>
  <c r="R300" i="22"/>
  <c r="Q300" i="22"/>
  <c r="P300" i="22"/>
  <c r="O300" i="22"/>
  <c r="N300" i="22"/>
  <c r="M300" i="22"/>
  <c r="L300" i="22"/>
  <c r="J300" i="22" s="1"/>
  <c r="W297" i="22"/>
  <c r="AA296" i="22"/>
  <c r="Q296" i="22"/>
  <c r="AK295" i="22"/>
  <c r="AJ295" i="22"/>
  <c r="AJ249" i="22" s="1"/>
  <c r="AI295" i="22"/>
  <c r="AH295" i="22"/>
  <c r="AG295" i="22"/>
  <c r="AF295" i="22"/>
  <c r="AE295" i="22"/>
  <c r="AD295" i="22"/>
  <c r="AC295" i="22"/>
  <c r="AB295" i="22"/>
  <c r="AB290" i="22" s="1"/>
  <c r="AA295" i="22"/>
  <c r="AA249" i="22" s="1"/>
  <c r="V294" i="22"/>
  <c r="P294" i="22"/>
  <c r="R292" i="22"/>
  <c r="P292" i="22" s="1"/>
  <c r="AA291" i="22"/>
  <c r="Z291" i="22"/>
  <c r="Z290" i="22" s="1"/>
  <c r="Y291" i="22"/>
  <c r="Y290" i="22" s="1"/>
  <c r="X291" i="22"/>
  <c r="W291" i="22"/>
  <c r="W290" i="22" s="1"/>
  <c r="V291" i="22"/>
  <c r="V290" i="22" s="1"/>
  <c r="U291" i="22"/>
  <c r="U290" i="22" s="1"/>
  <c r="T291" i="22"/>
  <c r="S291" i="22"/>
  <c r="S290" i="22" s="1"/>
  <c r="R291" i="22"/>
  <c r="R290" i="22" s="1"/>
  <c r="Q291" i="22"/>
  <c r="J291" i="22"/>
  <c r="AQ290" i="22"/>
  <c r="AO290" i="22"/>
  <c r="AN290" i="22"/>
  <c r="AL290" i="22"/>
  <c r="AK290" i="22"/>
  <c r="AJ290" i="22"/>
  <c r="AI290" i="22"/>
  <c r="AH290" i="22"/>
  <c r="AG290" i="22"/>
  <c r="AF290" i="22"/>
  <c r="AC290" i="22"/>
  <c r="X290" i="22"/>
  <c r="T290" i="22"/>
  <c r="P290" i="22"/>
  <c r="O290" i="22"/>
  <c r="N290" i="22"/>
  <c r="M290" i="22"/>
  <c r="L290" i="22"/>
  <c r="J290" i="22" s="1"/>
  <c r="J289" i="22"/>
  <c r="R288" i="22"/>
  <c r="Q288" i="22"/>
  <c r="AO287" i="22"/>
  <c r="AN287" i="22"/>
  <c r="AM287" i="22"/>
  <c r="AL287" i="22"/>
  <c r="AK287" i="22"/>
  <c r="AJ287" i="22"/>
  <c r="AI287" i="22"/>
  <c r="AH287" i="22"/>
  <c r="AG287" i="22"/>
  <c r="AF287" i="22"/>
  <c r="AE287" i="22"/>
  <c r="AD287" i="22"/>
  <c r="AC287" i="22"/>
  <c r="AB287" i="22"/>
  <c r="AA287" i="22"/>
  <c r="Z287" i="22"/>
  <c r="Y287" i="22"/>
  <c r="X287" i="22"/>
  <c r="W287" i="22"/>
  <c r="V287" i="22"/>
  <c r="U287" i="22"/>
  <c r="T287" i="22"/>
  <c r="S287" i="22"/>
  <c r="Q287" i="22"/>
  <c r="P287" i="22"/>
  <c r="O287" i="22"/>
  <c r="N287" i="22"/>
  <c r="M287" i="22"/>
  <c r="L287" i="22"/>
  <c r="J287" i="22" s="1"/>
  <c r="J286" i="22"/>
  <c r="Q285" i="22"/>
  <c r="AA284" i="22"/>
  <c r="AA281" i="22" s="1"/>
  <c r="AA280" i="22" s="1"/>
  <c r="R284" i="22"/>
  <c r="Q284" i="22"/>
  <c r="Q283" i="22"/>
  <c r="R282" i="22"/>
  <c r="P282" i="22" s="1"/>
  <c r="Q282" i="22"/>
  <c r="AJ281" i="22"/>
  <c r="AJ280" i="22" s="1"/>
  <c r="AI281" i="22"/>
  <c r="AH281" i="22"/>
  <c r="AH280" i="22" s="1"/>
  <c r="AG281" i="22"/>
  <c r="AG280" i="22" s="1"/>
  <c r="AF281" i="22"/>
  <c r="AE281" i="22"/>
  <c r="AD281" i="22"/>
  <c r="AD280" i="22" s="1"/>
  <c r="AC281" i="22"/>
  <c r="AC280" i="22" s="1"/>
  <c r="AB281" i="22"/>
  <c r="AB280" i="22" s="1"/>
  <c r="Y281" i="22"/>
  <c r="Y280" i="22" s="1"/>
  <c r="W281" i="22"/>
  <c r="W280" i="22" s="1"/>
  <c r="V281" i="22"/>
  <c r="V280" i="22" s="1"/>
  <c r="U281" i="22"/>
  <c r="U280" i="22" s="1"/>
  <c r="T281" i="22"/>
  <c r="S281" i="22"/>
  <c r="S280" i="22" s="1"/>
  <c r="R281" i="22"/>
  <c r="R280" i="22" s="1"/>
  <c r="Q281" i="22"/>
  <c r="Q280" i="22" s="1"/>
  <c r="J281" i="22"/>
  <c r="AO280" i="22"/>
  <c r="AN280" i="22"/>
  <c r="AI280" i="22"/>
  <c r="AF280" i="22"/>
  <c r="AE280" i="22"/>
  <c r="X280" i="22"/>
  <c r="T280" i="22"/>
  <c r="P280" i="22"/>
  <c r="AK280" i="22" s="1"/>
  <c r="AL280" i="22" s="1"/>
  <c r="O280" i="22"/>
  <c r="N280" i="22"/>
  <c r="M280" i="22"/>
  <c r="L280" i="22"/>
  <c r="J280" i="22" s="1"/>
  <c r="J279" i="22"/>
  <c r="AA278" i="22"/>
  <c r="T278" i="22"/>
  <c r="P278" i="22" s="1"/>
  <c r="Q278" i="22"/>
  <c r="AF277" i="22"/>
  <c r="AF276" i="22" s="1"/>
  <c r="AF275" i="22" s="1"/>
  <c r="T277" i="22"/>
  <c r="T276" i="22" s="1"/>
  <c r="T275" i="22" s="1"/>
  <c r="Q277" i="22"/>
  <c r="Q276" i="22" s="1"/>
  <c r="AJ276" i="22"/>
  <c r="AJ275" i="22" s="1"/>
  <c r="AI276" i="22"/>
  <c r="AH276" i="22"/>
  <c r="AG276" i="22"/>
  <c r="AG275" i="22" s="1"/>
  <c r="AE276" i="22"/>
  <c r="AD276" i="22"/>
  <c r="AC276" i="22"/>
  <c r="AC275" i="22" s="1"/>
  <c r="AB276" i="22"/>
  <c r="AB275" i="22" s="1"/>
  <c r="AA276" i="22"/>
  <c r="Y276" i="22"/>
  <c r="W276" i="22"/>
  <c r="W275" i="22" s="1"/>
  <c r="V276" i="22"/>
  <c r="V275" i="22" s="1"/>
  <c r="U276" i="22"/>
  <c r="S276" i="22"/>
  <c r="S275" i="22" s="1"/>
  <c r="AO275" i="22"/>
  <c r="AN275" i="22"/>
  <c r="AM275" i="22"/>
  <c r="AK275" i="22"/>
  <c r="AL275" i="22" s="1"/>
  <c r="AI275" i="22"/>
  <c r="AH275" i="22"/>
  <c r="AE275" i="22"/>
  <c r="AD275" i="22"/>
  <c r="AA275" i="22"/>
  <c r="Y275" i="22"/>
  <c r="X275" i="22"/>
  <c r="U275" i="22"/>
  <c r="O275" i="22"/>
  <c r="N275" i="22"/>
  <c r="M275" i="22"/>
  <c r="L275" i="22"/>
  <c r="J275" i="22" s="1"/>
  <c r="J274" i="22"/>
  <c r="AF273" i="22"/>
  <c r="AF272" i="22" s="1"/>
  <c r="AF271" i="22" s="1"/>
  <c r="AA273" i="22"/>
  <c r="U273" i="22"/>
  <c r="Q273" i="22" s="1"/>
  <c r="T273" i="22"/>
  <c r="T272" i="22" s="1"/>
  <c r="T271" i="22" s="1"/>
  <c r="P273" i="22"/>
  <c r="AJ272" i="22"/>
  <c r="AJ271" i="22" s="1"/>
  <c r="AI272" i="22"/>
  <c r="AI271" i="22" s="1"/>
  <c r="AH272" i="22"/>
  <c r="AH271" i="22" s="1"/>
  <c r="AG272" i="22"/>
  <c r="AG271" i="22" s="1"/>
  <c r="AD272" i="22"/>
  <c r="AD271" i="22" s="1"/>
  <c r="AC272" i="22"/>
  <c r="AC271" i="22" s="1"/>
  <c r="AB272" i="22"/>
  <c r="Y272" i="22"/>
  <c r="Y271" i="22" s="1"/>
  <c r="X272" i="22"/>
  <c r="X271" i="22" s="1"/>
  <c r="W272" i="22"/>
  <c r="W271" i="22" s="1"/>
  <c r="V272" i="22"/>
  <c r="V271" i="22" s="1"/>
  <c r="S272" i="22"/>
  <c r="S271" i="22" s="1"/>
  <c r="R272" i="22"/>
  <c r="R271" i="22" s="1"/>
  <c r="J272" i="22"/>
  <c r="AO271" i="22"/>
  <c r="AN271" i="22"/>
  <c r="AE271" i="22"/>
  <c r="AB271" i="22"/>
  <c r="AA271" i="22"/>
  <c r="Q271" i="22"/>
  <c r="P271" i="22"/>
  <c r="O271" i="22"/>
  <c r="N271" i="22"/>
  <c r="M271" i="22"/>
  <c r="L271" i="22"/>
  <c r="J271" i="22" s="1"/>
  <c r="AK269" i="22"/>
  <c r="AL269" i="22" s="1"/>
  <c r="O269" i="22"/>
  <c r="N269" i="22"/>
  <c r="M269" i="22"/>
  <c r="L269" i="22"/>
  <c r="AA268" i="22"/>
  <c r="V268" i="22"/>
  <c r="V267" i="22" s="1"/>
  <c r="Q268" i="22"/>
  <c r="AI267" i="22"/>
  <c r="AH267" i="22"/>
  <c r="AG267" i="22"/>
  <c r="AF267" i="22"/>
  <c r="AE267" i="22"/>
  <c r="AD267" i="22"/>
  <c r="AC267" i="22"/>
  <c r="AB267" i="22"/>
  <c r="AB249" i="22" s="1"/>
  <c r="AB160" i="22" s="1"/>
  <c r="Y267" i="22"/>
  <c r="Y249" i="22" s="1"/>
  <c r="X267" i="22"/>
  <c r="W267" i="22"/>
  <c r="U267" i="22"/>
  <c r="U249" i="22" s="1"/>
  <c r="T267" i="22"/>
  <c r="T249" i="22" s="1"/>
  <c r="S267" i="22"/>
  <c r="R267" i="22"/>
  <c r="R249" i="22" s="1"/>
  <c r="AA265" i="22"/>
  <c r="T265" i="22"/>
  <c r="Q265" i="22"/>
  <c r="AA264" i="22"/>
  <c r="T264" i="22"/>
  <c r="R264" i="22"/>
  <c r="Q264" i="22"/>
  <c r="AE263" i="22"/>
  <c r="AE262" i="22" s="1"/>
  <c r="AD263" i="22"/>
  <c r="AD262" i="22" s="1"/>
  <c r="AC263" i="22"/>
  <c r="AB263" i="22"/>
  <c r="Y263" i="22"/>
  <c r="Y262" i="22" s="1"/>
  <c r="X263" i="22"/>
  <c r="X262" i="22" s="1"/>
  <c r="W263" i="22"/>
  <c r="V263" i="22"/>
  <c r="U263" i="22"/>
  <c r="S263" i="22"/>
  <c r="S262" i="22" s="1"/>
  <c r="R263" i="22"/>
  <c r="AQ262" i="22"/>
  <c r="AI262" i="22"/>
  <c r="AH262" i="22"/>
  <c r="AA262" i="22"/>
  <c r="Z262" i="22"/>
  <c r="Q262" i="22"/>
  <c r="P262" i="22"/>
  <c r="O262" i="22"/>
  <c r="N262" i="22"/>
  <c r="M262" i="22"/>
  <c r="L262" i="22"/>
  <c r="J262" i="22" s="1"/>
  <c r="AF261" i="22"/>
  <c r="AF260" i="22" s="1"/>
  <c r="AF259" i="22" s="1"/>
  <c r="AA261" i="22"/>
  <c r="AA260" i="22" s="1"/>
  <c r="AA259" i="22" s="1"/>
  <c r="V261" i="22"/>
  <c r="V260" i="22" s="1"/>
  <c r="V259" i="22" s="1"/>
  <c r="R261" i="22"/>
  <c r="R260" i="22" s="1"/>
  <c r="R259" i="22" s="1"/>
  <c r="Q261" i="22"/>
  <c r="P261" i="22" s="1"/>
  <c r="AO260" i="22"/>
  <c r="AO259" i="22" s="1"/>
  <c r="AN260" i="22"/>
  <c r="AN259" i="22" s="1"/>
  <c r="AM260" i="22"/>
  <c r="AM259" i="22" s="1"/>
  <c r="AL260" i="22"/>
  <c r="AL259" i="22" s="1"/>
  <c r="AK260" i="22"/>
  <c r="AK259" i="22" s="1"/>
  <c r="AJ260" i="22"/>
  <c r="AJ259" i="22" s="1"/>
  <c r="AI260" i="22"/>
  <c r="AI259" i="22" s="1"/>
  <c r="AH260" i="22"/>
  <c r="AH259" i="22" s="1"/>
  <c r="AG260" i="22"/>
  <c r="AG259" i="22" s="1"/>
  <c r="AE260" i="22"/>
  <c r="AD260" i="22"/>
  <c r="AD259" i="22" s="1"/>
  <c r="AC260" i="22"/>
  <c r="AC259" i="22" s="1"/>
  <c r="AB260" i="22"/>
  <c r="AB259" i="22" s="1"/>
  <c r="Y260" i="22"/>
  <c r="Y259" i="22" s="1"/>
  <c r="W260" i="22"/>
  <c r="W259" i="22" s="1"/>
  <c r="U260" i="22"/>
  <c r="T260" i="22"/>
  <c r="T259" i="22" s="1"/>
  <c r="S260" i="22"/>
  <c r="S259" i="22" s="1"/>
  <c r="AE259" i="22"/>
  <c r="X259" i="22"/>
  <c r="U259" i="22"/>
  <c r="P259" i="22"/>
  <c r="M259" i="22"/>
  <c r="L259" i="22"/>
  <c r="J259" i="22" s="1"/>
  <c r="AA257" i="22"/>
  <c r="X257" i="22"/>
  <c r="V257" i="22"/>
  <c r="V255" i="22" s="1"/>
  <c r="V254" i="22" s="1"/>
  <c r="Q257" i="22"/>
  <c r="AA256" i="22"/>
  <c r="AA255" i="22" s="1"/>
  <c r="AA254" i="22" s="1"/>
  <c r="Q256" i="22"/>
  <c r="AE255" i="22"/>
  <c r="AE254" i="22" s="1"/>
  <c r="AD255" i="22"/>
  <c r="AD254" i="22" s="1"/>
  <c r="AC255" i="22"/>
  <c r="AB255" i="22"/>
  <c r="Y255" i="22"/>
  <c r="Y254" i="22" s="1"/>
  <c r="X255" i="22"/>
  <c r="X254" i="22" s="1"/>
  <c r="W255" i="22"/>
  <c r="W254" i="22" s="1"/>
  <c r="U255" i="22"/>
  <c r="T255" i="22"/>
  <c r="T254" i="22" s="1"/>
  <c r="S255" i="22"/>
  <c r="S254" i="22" s="1"/>
  <c r="R255" i="22"/>
  <c r="R254" i="22" s="1"/>
  <c r="AO254" i="22"/>
  <c r="AN254" i="22"/>
  <c r="AM254" i="22"/>
  <c r="AL254" i="22"/>
  <c r="AK254" i="22"/>
  <c r="AJ254" i="22"/>
  <c r="AI254" i="22"/>
  <c r="AH254" i="22"/>
  <c r="AG254" i="22"/>
  <c r="AF254" i="22"/>
  <c r="AC254" i="22"/>
  <c r="AB254" i="22"/>
  <c r="U254" i="22"/>
  <c r="P254" i="22"/>
  <c r="P248" i="22" s="1"/>
  <c r="O254" i="22"/>
  <c r="N254" i="22"/>
  <c r="M254" i="22"/>
  <c r="L254" i="22"/>
  <c r="AA253" i="22"/>
  <c r="Q253" i="22"/>
  <c r="AI252" i="22"/>
  <c r="AH252" i="22"/>
  <c r="AG252" i="22"/>
  <c r="AF252" i="22"/>
  <c r="AE252" i="22"/>
  <c r="AD252" i="22"/>
  <c r="AC252" i="22"/>
  <c r="AB252" i="22"/>
  <c r="AA252" i="22"/>
  <c r="Y252" i="22"/>
  <c r="Y251" i="22" s="1"/>
  <c r="X252" i="22"/>
  <c r="X251" i="22" s="1"/>
  <c r="W252" i="22"/>
  <c r="V252" i="22"/>
  <c r="V251" i="22" s="1"/>
  <c r="U252" i="22"/>
  <c r="U251" i="22" s="1"/>
  <c r="T252" i="22"/>
  <c r="T251" i="22" s="1"/>
  <c r="S252" i="22"/>
  <c r="S251" i="22" s="1"/>
  <c r="R252" i="22"/>
  <c r="R251" i="22" s="1"/>
  <c r="Q252" i="22"/>
  <c r="AO251" i="22"/>
  <c r="AN251" i="22"/>
  <c r="AM251" i="22"/>
  <c r="AL251" i="22"/>
  <c r="AK251" i="22"/>
  <c r="AJ251" i="22"/>
  <c r="AI251" i="22"/>
  <c r="AH251" i="22"/>
  <c r="AG251" i="22"/>
  <c r="AF251" i="22"/>
  <c r="AE251" i="22"/>
  <c r="AD251" i="22"/>
  <c r="AC251" i="22"/>
  <c r="AB251" i="22"/>
  <c r="W251" i="22"/>
  <c r="O251" i="22"/>
  <c r="N251" i="22"/>
  <c r="M251" i="22"/>
  <c r="L251" i="22"/>
  <c r="L250" i="22"/>
  <c r="AM249" i="22"/>
  <c r="AL249" i="22"/>
  <c r="AK249" i="22"/>
  <c r="AC249" i="22"/>
  <c r="X249" i="22"/>
  <c r="S249" i="22"/>
  <c r="P249" i="22"/>
  <c r="O249" i="22"/>
  <c r="N249" i="22"/>
  <c r="M249" i="22"/>
  <c r="L249" i="22"/>
  <c r="K248" i="22"/>
  <c r="L247" i="22"/>
  <c r="AO245" i="22"/>
  <c r="AN245" i="22"/>
  <c r="AM245" i="22"/>
  <c r="AL245" i="22"/>
  <c r="AK245" i="22"/>
  <c r="AG245" i="22"/>
  <c r="AF245" i="22"/>
  <c r="AE245" i="22"/>
  <c r="AD245" i="22"/>
  <c r="AC245" i="22"/>
  <c r="AB245" i="22"/>
  <c r="Y245" i="22"/>
  <c r="Y244" i="22" s="1"/>
  <c r="X245" i="22"/>
  <c r="X244" i="22" s="1"/>
  <c r="W245" i="22"/>
  <c r="W244" i="22" s="1"/>
  <c r="V245" i="22"/>
  <c r="V244" i="22" s="1"/>
  <c r="U245" i="22"/>
  <c r="U244" i="22" s="1"/>
  <c r="T245" i="22"/>
  <c r="T244" i="22" s="1"/>
  <c r="S245" i="22"/>
  <c r="S244" i="22" s="1"/>
  <c r="R245" i="22"/>
  <c r="R244" i="22" s="1"/>
  <c r="O245" i="22"/>
  <c r="AO244" i="22"/>
  <c r="AN244" i="22"/>
  <c r="AJ244" i="22"/>
  <c r="AI244" i="22"/>
  <c r="AH244" i="22"/>
  <c r="AG244" i="22"/>
  <c r="AF244" i="22"/>
  <c r="AE244" i="22"/>
  <c r="AD244" i="22"/>
  <c r="AC244" i="22"/>
  <c r="AB244" i="22"/>
  <c r="AA244" i="22"/>
  <c r="Z244" i="22"/>
  <c r="Q244" i="22"/>
  <c r="P244" i="22"/>
  <c r="N244" i="22"/>
  <c r="M244" i="22"/>
  <c r="AA242" i="22"/>
  <c r="R242" i="22"/>
  <c r="R241" i="22" s="1"/>
  <c r="R240" i="22" s="1"/>
  <c r="R234" i="22" s="1"/>
  <c r="Q242" i="22"/>
  <c r="Q241" i="22" s="1"/>
  <c r="Q240" i="22" s="1"/>
  <c r="L242" i="22"/>
  <c r="AO241" i="22"/>
  <c r="AN241" i="22"/>
  <c r="AM241" i="22"/>
  <c r="AL241" i="22"/>
  <c r="AK241" i="22"/>
  <c r="AG241" i="22"/>
  <c r="AG240" i="22" s="1"/>
  <c r="AF241" i="22"/>
  <c r="AF240" i="22" s="1"/>
  <c r="AE241" i="22"/>
  <c r="AE240" i="22" s="1"/>
  <c r="AE234" i="22" s="1"/>
  <c r="AD241" i="22"/>
  <c r="AD240" i="22" s="1"/>
  <c r="AD234" i="22" s="1"/>
  <c r="AC241" i="22"/>
  <c r="AC240" i="22" s="1"/>
  <c r="AC234" i="22" s="1"/>
  <c r="AB241" i="22"/>
  <c r="AA241" i="22"/>
  <c r="AA240" i="22" s="1"/>
  <c r="AA234" i="22" s="1"/>
  <c r="Y241" i="22"/>
  <c r="Y240" i="22" s="1"/>
  <c r="Y234" i="22" s="1"/>
  <c r="X241" i="22"/>
  <c r="X240" i="22" s="1"/>
  <c r="X234" i="22" s="1"/>
  <c r="W241" i="22"/>
  <c r="V241" i="22"/>
  <c r="V240" i="22" s="1"/>
  <c r="V234" i="22" s="1"/>
  <c r="U241" i="22"/>
  <c r="U240" i="22" s="1"/>
  <c r="U234" i="22" s="1"/>
  <c r="T241" i="22"/>
  <c r="T240" i="22" s="1"/>
  <c r="T234" i="22" s="1"/>
  <c r="S241" i="22"/>
  <c r="O241" i="22"/>
  <c r="L241" i="22" s="1"/>
  <c r="L240" i="22" s="1"/>
  <c r="L234" i="22" s="1"/>
  <c r="AO240" i="22"/>
  <c r="AN240" i="22"/>
  <c r="AJ240" i="22"/>
  <c r="AI240" i="22"/>
  <c r="AH240" i="22"/>
  <c r="AB240" i="22"/>
  <c r="AB234" i="22" s="1"/>
  <c r="Z240" i="22"/>
  <c r="W240" i="22"/>
  <c r="W234" i="22" s="1"/>
  <c r="S240" i="22"/>
  <c r="S234" i="22" s="1"/>
  <c r="N240" i="22"/>
  <c r="N234" i="22" s="1"/>
  <c r="M240" i="22"/>
  <c r="AO237" i="22"/>
  <c r="AN237" i="22"/>
  <c r="AM237" i="22"/>
  <c r="AL237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L236" i="22"/>
  <c r="L235" i="22"/>
  <c r="M234" i="22"/>
  <c r="K234" i="22"/>
  <c r="L233" i="22"/>
  <c r="AO231" i="22"/>
  <c r="AN231" i="22"/>
  <c r="AM231" i="22"/>
  <c r="AL231" i="22"/>
  <c r="AK231" i="22"/>
  <c r="AJ231" i="22"/>
  <c r="AI231" i="22"/>
  <c r="AH231" i="22"/>
  <c r="AG231" i="22"/>
  <c r="AF231" i="22"/>
  <c r="AE231" i="22"/>
  <c r="AD231" i="22"/>
  <c r="AC231" i="22"/>
  <c r="AB231" i="22"/>
  <c r="AA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AO229" i="22"/>
  <c r="AN229" i="22"/>
  <c r="AM229" i="22"/>
  <c r="AL229" i="22"/>
  <c r="AK229" i="22"/>
  <c r="AJ229" i="22"/>
  <c r="AI229" i="22"/>
  <c r="AH229" i="22"/>
  <c r="AG229" i="22"/>
  <c r="AG208" i="22" s="1"/>
  <c r="AG160" i="22" s="1"/>
  <c r="AF229" i="22"/>
  <c r="AE229" i="22"/>
  <c r="AD229" i="22"/>
  <c r="AC229" i="22"/>
  <c r="AB229" i="22"/>
  <c r="AA229" i="22"/>
  <c r="Y229" i="22"/>
  <c r="X229" i="22"/>
  <c r="X208" i="22" s="1"/>
  <c r="X160" i="22" s="1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L208" i="22" s="1"/>
  <c r="AO227" i="22"/>
  <c r="AN227" i="22"/>
  <c r="AM227" i="22"/>
  <c r="AL227" i="22"/>
  <c r="AK227" i="22"/>
  <c r="AJ227" i="22"/>
  <c r="AI227" i="22"/>
  <c r="AH227" i="22"/>
  <c r="AH208" i="22" s="1"/>
  <c r="AH160" i="22" s="1"/>
  <c r="AG227" i="22"/>
  <c r="AF227" i="22"/>
  <c r="AE227" i="22"/>
  <c r="AD227" i="22"/>
  <c r="AC227" i="22"/>
  <c r="AB227" i="22"/>
  <c r="AA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Q226" i="22"/>
  <c r="Q225" i="22"/>
  <c r="Q224" i="22"/>
  <c r="Q223" i="22"/>
  <c r="AJ222" i="22"/>
  <c r="AJ221" i="22" s="1"/>
  <c r="AI222" i="22"/>
  <c r="AI221" i="22" s="1"/>
  <c r="AH222" i="22"/>
  <c r="AH221" i="22" s="1"/>
  <c r="AG222" i="22"/>
  <c r="AG221" i="22" s="1"/>
  <c r="AF222" i="22"/>
  <c r="AF221" i="22" s="1"/>
  <c r="AE222" i="22"/>
  <c r="AE221" i="22" s="1"/>
  <c r="AD222" i="22"/>
  <c r="AC222" i="22"/>
  <c r="AC221" i="22" s="1"/>
  <c r="AB222" i="22"/>
  <c r="AB221" i="22" s="1"/>
  <c r="AA222" i="22"/>
  <c r="AA221" i="22" s="1"/>
  <c r="Y222" i="22"/>
  <c r="Y221" i="22" s="1"/>
  <c r="W222" i="22"/>
  <c r="W221" i="22" s="1"/>
  <c r="V222" i="22"/>
  <c r="V221" i="22" s="1"/>
  <c r="U222" i="22"/>
  <c r="U221" i="22" s="1"/>
  <c r="T222" i="22"/>
  <c r="T221" i="22" s="1"/>
  <c r="S222" i="22"/>
  <c r="S221" i="22" s="1"/>
  <c r="R222" i="22"/>
  <c r="R221" i="22" s="1"/>
  <c r="AO221" i="22"/>
  <c r="AN221" i="22"/>
  <c r="AM221" i="22"/>
  <c r="AL221" i="22"/>
  <c r="AK221" i="22"/>
  <c r="AD221" i="22"/>
  <c r="X221" i="22"/>
  <c r="P221" i="22"/>
  <c r="O221" i="22"/>
  <c r="N221" i="22"/>
  <c r="M221" i="22"/>
  <c r="L221" i="22"/>
  <c r="Q220" i="22"/>
  <c r="Q219" i="22"/>
  <c r="Q218" i="22"/>
  <c r="Q217" i="22"/>
  <c r="AO216" i="22"/>
  <c r="AO215" i="22" s="1"/>
  <c r="AN216" i="22"/>
  <c r="AM216" i="22"/>
  <c r="AM215" i="22" s="1"/>
  <c r="AL216" i="22"/>
  <c r="AK216" i="22"/>
  <c r="AK215" i="22" s="1"/>
  <c r="AJ216" i="22"/>
  <c r="AI216" i="22"/>
  <c r="AI215" i="22" s="1"/>
  <c r="AH216" i="22"/>
  <c r="AH215" i="22" s="1"/>
  <c r="AG216" i="22"/>
  <c r="AG215" i="22" s="1"/>
  <c r="AF216" i="22"/>
  <c r="AE216" i="22"/>
  <c r="AE215" i="22" s="1"/>
  <c r="AD216" i="22"/>
  <c r="AC216" i="22"/>
  <c r="AC215" i="22" s="1"/>
  <c r="AB216" i="22"/>
  <c r="AA216" i="22"/>
  <c r="AA215" i="22" s="1"/>
  <c r="Y216" i="22"/>
  <c r="Y215" i="22" s="1"/>
  <c r="W216" i="22"/>
  <c r="W215" i="22" s="1"/>
  <c r="V216" i="22"/>
  <c r="U216" i="22"/>
  <c r="T216" i="22"/>
  <c r="T215" i="22" s="1"/>
  <c r="S216" i="22"/>
  <c r="S215" i="22" s="1"/>
  <c r="R216" i="22"/>
  <c r="AN215" i="22"/>
  <c r="AL215" i="22"/>
  <c r="AJ215" i="22"/>
  <c r="AF215" i="22"/>
  <c r="AD215" i="22"/>
  <c r="AB215" i="22"/>
  <c r="X215" i="22"/>
  <c r="V215" i="22"/>
  <c r="U215" i="22"/>
  <c r="R215" i="22"/>
  <c r="P215" i="22"/>
  <c r="O215" i="22"/>
  <c r="N215" i="22"/>
  <c r="M215" i="22"/>
  <c r="L215" i="22"/>
  <c r="AF213" i="22"/>
  <c r="AF211" i="22" s="1"/>
  <c r="AF210" i="22" s="1"/>
  <c r="AA213" i="22"/>
  <c r="U213" i="22"/>
  <c r="T213" i="22" s="1"/>
  <c r="T211" i="22" s="1"/>
  <c r="T210" i="22" s="1"/>
  <c r="AA212" i="22"/>
  <c r="V212" i="22"/>
  <c r="Q212" i="22" s="1"/>
  <c r="AO211" i="22"/>
  <c r="AO210" i="22" s="1"/>
  <c r="AN211" i="22"/>
  <c r="AN210" i="22" s="1"/>
  <c r="AN207" i="22" s="1"/>
  <c r="AM211" i="22"/>
  <c r="AL211" i="22"/>
  <c r="AK211" i="22"/>
  <c r="AJ211" i="22"/>
  <c r="AJ210" i="22" s="1"/>
  <c r="AI211" i="22"/>
  <c r="AI210" i="22" s="1"/>
  <c r="AH211" i="22"/>
  <c r="AH210" i="22" s="1"/>
  <c r="AG211" i="22"/>
  <c r="AG210" i="22" s="1"/>
  <c r="AE211" i="22"/>
  <c r="AD211" i="22"/>
  <c r="AC211" i="22"/>
  <c r="AC210" i="22" s="1"/>
  <c r="AB211" i="22"/>
  <c r="AB210" i="22" s="1"/>
  <c r="Y211" i="22"/>
  <c r="Y210" i="22" s="1"/>
  <c r="X211" i="22"/>
  <c r="X210" i="22" s="1"/>
  <c r="W211" i="22"/>
  <c r="W210" i="22" s="1"/>
  <c r="S211" i="22"/>
  <c r="S210" i="22" s="1"/>
  <c r="R211" i="22"/>
  <c r="R210" i="22" s="1"/>
  <c r="AE210" i="22"/>
  <c r="AD210" i="22"/>
  <c r="AD207" i="22" s="1"/>
  <c r="AA210" i="22"/>
  <c r="Q210" i="22"/>
  <c r="P210" i="22"/>
  <c r="O210" i="22"/>
  <c r="N210" i="22"/>
  <c r="M210" i="22"/>
  <c r="M207" i="22" s="1"/>
  <c r="L210" i="22"/>
  <c r="AJ208" i="22"/>
  <c r="AB208" i="22"/>
  <c r="W208" i="22"/>
  <c r="S208" i="22"/>
  <c r="P208" i="22"/>
  <c r="P160" i="22" s="1"/>
  <c r="AO207" i="22"/>
  <c r="N207" i="22"/>
  <c r="K207" i="22"/>
  <c r="K159" i="22" s="1"/>
  <c r="J207" i="22"/>
  <c r="P203" i="22"/>
  <c r="P200" i="22"/>
  <c r="P197" i="22"/>
  <c r="AA195" i="22"/>
  <c r="X195" i="22"/>
  <c r="Q195" i="22"/>
  <c r="AA194" i="22"/>
  <c r="X194" i="22"/>
  <c r="Q194" i="22"/>
  <c r="AA193" i="22"/>
  <c r="AA192" i="22"/>
  <c r="T192" i="22"/>
  <c r="R192" i="22"/>
  <c r="Q192" i="22"/>
  <c r="X191" i="22"/>
  <c r="Q191" i="22"/>
  <c r="AJ190" i="22"/>
  <c r="AJ189" i="22" s="1"/>
  <c r="AI190" i="22"/>
  <c r="AI189" i="22" s="1"/>
  <c r="AH190" i="22"/>
  <c r="AH189" i="22" s="1"/>
  <c r="AG190" i="22"/>
  <c r="AG189" i="22" s="1"/>
  <c r="AF190" i="22"/>
  <c r="AF189" i="22" s="1"/>
  <c r="AE190" i="22"/>
  <c r="AD190" i="22"/>
  <c r="AD189" i="22" s="1"/>
  <c r="AC190" i="22"/>
  <c r="AC189" i="22" s="1"/>
  <c r="AB190" i="22"/>
  <c r="AB189" i="22" s="1"/>
  <c r="S190" i="22"/>
  <c r="S189" i="22" s="1"/>
  <c r="R190" i="22"/>
  <c r="R189" i="22" s="1"/>
  <c r="AO189" i="22"/>
  <c r="AN189" i="22"/>
  <c r="AM189" i="22"/>
  <c r="AL189" i="22"/>
  <c r="AK189" i="22"/>
  <c r="AE189" i="22"/>
  <c r="Y189" i="22"/>
  <c r="X189" i="22"/>
  <c r="W189" i="22"/>
  <c r="V189" i="22"/>
  <c r="U189" i="22"/>
  <c r="T189" i="22"/>
  <c r="Q189" i="22"/>
  <c r="P189" i="22"/>
  <c r="O189" i="22"/>
  <c r="N189" i="22"/>
  <c r="M189" i="22"/>
  <c r="L189" i="22"/>
  <c r="AA188" i="22"/>
  <c r="Q188" i="22"/>
  <c r="AG187" i="22"/>
  <c r="AF187" i="22"/>
  <c r="AE187" i="22"/>
  <c r="AD187" i="22"/>
  <c r="AC187" i="22"/>
  <c r="AB187" i="22"/>
  <c r="AA187" i="22"/>
  <c r="Y187" i="22"/>
  <c r="Y186" i="22" s="1"/>
  <c r="X187" i="22"/>
  <c r="X186" i="22" s="1"/>
  <c r="W187" i="22"/>
  <c r="W186" i="22" s="1"/>
  <c r="V187" i="22"/>
  <c r="U187" i="22"/>
  <c r="U186" i="22" s="1"/>
  <c r="T187" i="22"/>
  <c r="T186" i="22" s="1"/>
  <c r="S187" i="22"/>
  <c r="S186" i="22" s="1"/>
  <c r="R187" i="22"/>
  <c r="R186" i="22" s="1"/>
  <c r="Q187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V186" i="22"/>
  <c r="O186" i="22"/>
  <c r="N186" i="22"/>
  <c r="M186" i="22"/>
  <c r="L186" i="22"/>
  <c r="AA185" i="22"/>
  <c r="Q185" i="22"/>
  <c r="Q182" i="22" s="1"/>
  <c r="AE183" i="22"/>
  <c r="AD183" i="22"/>
  <c r="AD182" i="22" s="1"/>
  <c r="AC183" i="22"/>
  <c r="AB183" i="22"/>
  <c r="AB182" i="22" s="1"/>
  <c r="AA183" i="22"/>
  <c r="AA182" i="22" s="1"/>
  <c r="Y183" i="22"/>
  <c r="X183" i="22"/>
  <c r="W183" i="22"/>
  <c r="V183" i="22"/>
  <c r="U183" i="22"/>
  <c r="T183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C182" i="22"/>
  <c r="Z182" i="22"/>
  <c r="Y182" i="22"/>
  <c r="X182" i="22"/>
  <c r="W182" i="22"/>
  <c r="V182" i="22"/>
  <c r="U182" i="22"/>
  <c r="T182" i="22"/>
  <c r="S182" i="22"/>
  <c r="R182" i="22"/>
  <c r="P182" i="22"/>
  <c r="O182" i="22"/>
  <c r="N182" i="22"/>
  <c r="M182" i="22"/>
  <c r="L182" i="22"/>
  <c r="AF181" i="22"/>
  <c r="R181" i="22"/>
  <c r="Q181" i="22"/>
  <c r="AA180" i="22"/>
  <c r="AF179" i="22"/>
  <c r="AA179" i="22"/>
  <c r="Q179" i="22"/>
  <c r="AF178" i="22"/>
  <c r="AA178" i="22"/>
  <c r="R178" i="22"/>
  <c r="Q178" i="22"/>
  <c r="AF177" i="22"/>
  <c r="Q177" i="22"/>
  <c r="AF176" i="22"/>
  <c r="Q176" i="22"/>
  <c r="AF175" i="22"/>
  <c r="R175" i="22"/>
  <c r="Q175" i="22"/>
  <c r="AO174" i="22"/>
  <c r="AO173" i="22" s="1"/>
  <c r="AN174" i="22"/>
  <c r="AM174" i="22"/>
  <c r="AL174" i="22"/>
  <c r="AK174" i="22"/>
  <c r="AH174" i="22"/>
  <c r="AG174" i="22"/>
  <c r="AE174" i="22"/>
  <c r="AE173" i="22" s="1"/>
  <c r="AD174" i="22"/>
  <c r="AD173" i="22" s="1"/>
  <c r="AC174" i="22"/>
  <c r="AC173" i="22" s="1"/>
  <c r="AB174" i="22"/>
  <c r="AB173" i="22" s="1"/>
  <c r="Y174" i="22"/>
  <c r="Y173" i="22" s="1"/>
  <c r="W174" i="22"/>
  <c r="V174" i="22"/>
  <c r="V173" i="22" s="1"/>
  <c r="U174" i="22"/>
  <c r="T174" i="22"/>
  <c r="T173" i="22" s="1"/>
  <c r="S174" i="22"/>
  <c r="S173" i="22" s="1"/>
  <c r="AN173" i="22"/>
  <c r="AL173" i="22"/>
  <c r="AJ173" i="22"/>
  <c r="AI173" i="22"/>
  <c r="AH173" i="22"/>
  <c r="X173" i="22"/>
  <c r="W173" i="22"/>
  <c r="U173" i="22"/>
  <c r="Q173" i="22"/>
  <c r="AM173" i="22" s="1"/>
  <c r="O173" i="22"/>
  <c r="N173" i="22"/>
  <c r="M173" i="22"/>
  <c r="L173" i="22"/>
  <c r="J173" i="22" s="1"/>
  <c r="J162" i="22" s="1"/>
  <c r="J158" i="22" s="1"/>
  <c r="AA171" i="22"/>
  <c r="R171" i="22"/>
  <c r="R170" i="22" s="1"/>
  <c r="R169" i="22" s="1"/>
  <c r="Q171" i="22"/>
  <c r="AG170" i="22"/>
  <c r="AG169" i="22" s="1"/>
  <c r="AF170" i="22"/>
  <c r="AF169" i="22" s="1"/>
  <c r="AE170" i="22"/>
  <c r="AE169" i="22" s="1"/>
  <c r="AD170" i="22"/>
  <c r="AC170" i="22"/>
  <c r="AC169" i="22" s="1"/>
  <c r="AB170" i="22"/>
  <c r="AB169" i="22" s="1"/>
  <c r="Y170" i="22"/>
  <c r="Y169" i="22" s="1"/>
  <c r="X170" i="22"/>
  <c r="X169" i="22" s="1"/>
  <c r="W170" i="22"/>
  <c r="W169" i="22" s="1"/>
  <c r="V170" i="22"/>
  <c r="V169" i="22" s="1"/>
  <c r="U170" i="22"/>
  <c r="U169" i="22" s="1"/>
  <c r="T170" i="22"/>
  <c r="T169" i="22" s="1"/>
  <c r="S170" i="22"/>
  <c r="AO169" i="22"/>
  <c r="AN169" i="22"/>
  <c r="AJ169" i="22"/>
  <c r="AI169" i="22"/>
  <c r="AH169" i="22"/>
  <c r="AD169" i="22"/>
  <c r="AA169" i="22"/>
  <c r="S169" i="22"/>
  <c r="Q169" i="22"/>
  <c r="P169" i="22"/>
  <c r="P162" i="22" s="1"/>
  <c r="P158" i="22" s="1"/>
  <c r="O169" i="22"/>
  <c r="N169" i="22"/>
  <c r="M169" i="22"/>
  <c r="L169" i="22"/>
  <c r="K169" i="22"/>
  <c r="AA168" i="22"/>
  <c r="AA167" i="22" s="1"/>
  <c r="T168" i="22"/>
  <c r="T167" i="22" s="1"/>
  <c r="T166" i="22" s="1"/>
  <c r="R168" i="22"/>
  <c r="R167" i="22" s="1"/>
  <c r="R166" i="22" s="1"/>
  <c r="Q168" i="22"/>
  <c r="AK167" i="22"/>
  <c r="AJ167" i="22"/>
  <c r="AJ166" i="22" s="1"/>
  <c r="AI167" i="22"/>
  <c r="AI166" i="22" s="1"/>
  <c r="AI162" i="22" s="1"/>
  <c r="AI158" i="22" s="1"/>
  <c r="AH167" i="22"/>
  <c r="AG167" i="22"/>
  <c r="AG166" i="22" s="1"/>
  <c r="AF167" i="22"/>
  <c r="AF166" i="22" s="1"/>
  <c r="AE167" i="22"/>
  <c r="AE166" i="22" s="1"/>
  <c r="AD167" i="22"/>
  <c r="AC167" i="22"/>
  <c r="AC166" i="22" s="1"/>
  <c r="AB167" i="22"/>
  <c r="AB166" i="22" s="1"/>
  <c r="Y167" i="22"/>
  <c r="Y166" i="22" s="1"/>
  <c r="X167" i="22"/>
  <c r="W167" i="22"/>
  <c r="W166" i="22" s="1"/>
  <c r="V167" i="22"/>
  <c r="U167" i="22"/>
  <c r="U166" i="22" s="1"/>
  <c r="S167" i="22"/>
  <c r="S166" i="22" s="1"/>
  <c r="Q167" i="22"/>
  <c r="AO166" i="22"/>
  <c r="AO162" i="22" s="1"/>
  <c r="AO158" i="22" s="1"/>
  <c r="AN166" i="22"/>
  <c r="AM166" i="22"/>
  <c r="AK166" i="22"/>
  <c r="AL166" i="22" s="1"/>
  <c r="AH166" i="22"/>
  <c r="AD166" i="22"/>
  <c r="X166" i="22"/>
  <c r="V166" i="22"/>
  <c r="O166" i="22"/>
  <c r="N166" i="22"/>
  <c r="M166" i="22"/>
  <c r="M162" i="22" s="1"/>
  <c r="L166" i="22"/>
  <c r="L165" i="22"/>
  <c r="P164" i="22"/>
  <c r="N164" i="22"/>
  <c r="M164" i="22"/>
  <c r="L164" i="22"/>
  <c r="L163" i="22"/>
  <c r="K162" i="22"/>
  <c r="AO161" i="22"/>
  <c r="AN161" i="22"/>
  <c r="AM161" i="22"/>
  <c r="AL161" i="22"/>
  <c r="AK161" i="22"/>
  <c r="AK9" i="22" s="1"/>
  <c r="AJ161" i="22"/>
  <c r="AI161" i="22"/>
  <c r="AH161" i="22"/>
  <c r="AG161" i="22"/>
  <c r="AF161" i="22"/>
  <c r="AE161" i="22"/>
  <c r="AD161" i="22"/>
  <c r="AC161" i="22"/>
  <c r="AB161" i="22"/>
  <c r="AA161" i="22"/>
  <c r="Y161" i="22"/>
  <c r="X161" i="22"/>
  <c r="W161" i="22"/>
  <c r="V161" i="22"/>
  <c r="U161" i="22"/>
  <c r="T161" i="22"/>
  <c r="T9" i="22" s="1"/>
  <c r="S161" i="22"/>
  <c r="R161" i="22"/>
  <c r="Q161" i="22"/>
  <c r="P161" i="22"/>
  <c r="O161" i="22"/>
  <c r="N161" i="22"/>
  <c r="M161" i="22"/>
  <c r="K161" i="22"/>
  <c r="J161" i="22"/>
  <c r="AO160" i="22"/>
  <c r="AN160" i="22"/>
  <c r="AM160" i="22"/>
  <c r="AL160" i="22"/>
  <c r="AK160" i="22"/>
  <c r="AJ160" i="22"/>
  <c r="K160" i="22"/>
  <c r="J160" i="22"/>
  <c r="M158" i="22"/>
  <c r="K158" i="22"/>
  <c r="AQ157" i="22"/>
  <c r="AA153" i="22"/>
  <c r="R153" i="22"/>
  <c r="R151" i="22" s="1"/>
  <c r="R150" i="22" s="1"/>
  <c r="Q153" i="22"/>
  <c r="AA152" i="22"/>
  <c r="T152" i="22"/>
  <c r="T151" i="22" s="1"/>
  <c r="T150" i="22" s="1"/>
  <c r="Q152" i="22"/>
  <c r="AE151" i="22"/>
  <c r="AE150" i="22" s="1"/>
  <c r="AD151" i="22"/>
  <c r="AD150" i="22" s="1"/>
  <c r="AC151" i="22"/>
  <c r="AC150" i="22" s="1"/>
  <c r="AB151" i="22"/>
  <c r="AB150" i="22" s="1"/>
  <c r="Y151" i="22"/>
  <c r="Y150" i="22" s="1"/>
  <c r="X151" i="22"/>
  <c r="X150" i="22" s="1"/>
  <c r="W151" i="22"/>
  <c r="W150" i="22" s="1"/>
  <c r="V151" i="22"/>
  <c r="V150" i="22" s="1"/>
  <c r="U151" i="22"/>
  <c r="U150" i="22" s="1"/>
  <c r="S151" i="22"/>
  <c r="S150" i="22" s="1"/>
  <c r="AO150" i="22"/>
  <c r="AN150" i="22"/>
  <c r="AJ150" i="22"/>
  <c r="AI150" i="22"/>
  <c r="AH150" i="22"/>
  <c r="AG150" i="22"/>
  <c r="AF150" i="22"/>
  <c r="Q150" i="22"/>
  <c r="P150" i="22"/>
  <c r="AM150" i="22" s="1"/>
  <c r="O150" i="22"/>
  <c r="N150" i="22"/>
  <c r="M150" i="22"/>
  <c r="L150" i="22"/>
  <c r="AA148" i="22"/>
  <c r="R148" i="22"/>
  <c r="R146" i="22" s="1"/>
  <c r="R145" i="22" s="1"/>
  <c r="Q148" i="22"/>
  <c r="AA147" i="22"/>
  <c r="AA146" i="22" s="1"/>
  <c r="AA145" i="22" s="1"/>
  <c r="T147" i="22"/>
  <c r="Q147" i="22"/>
  <c r="AE146" i="22"/>
  <c r="AE145" i="22" s="1"/>
  <c r="AD146" i="22"/>
  <c r="AD145" i="22" s="1"/>
  <c r="AC146" i="22"/>
  <c r="AB146" i="22"/>
  <c r="AB145" i="22" s="1"/>
  <c r="Y146" i="22"/>
  <c r="Y145" i="22" s="1"/>
  <c r="X146" i="22"/>
  <c r="X145" i="22" s="1"/>
  <c r="W146" i="22"/>
  <c r="W145" i="22" s="1"/>
  <c r="V146" i="22"/>
  <c r="V145" i="22" s="1"/>
  <c r="U146" i="22"/>
  <c r="U145" i="22" s="1"/>
  <c r="T146" i="22"/>
  <c r="T145" i="22" s="1"/>
  <c r="S146" i="22"/>
  <c r="S145" i="22" s="1"/>
  <c r="AO145" i="22"/>
  <c r="AN145" i="22"/>
  <c r="AJ145" i="22"/>
  <c r="AI145" i="22"/>
  <c r="AH145" i="22"/>
  <c r="AG145" i="22"/>
  <c r="AF145" i="22"/>
  <c r="AC145" i="22"/>
  <c r="Q145" i="22"/>
  <c r="P145" i="22"/>
  <c r="O145" i="22"/>
  <c r="N145" i="22"/>
  <c r="M145" i="22"/>
  <c r="L145" i="22"/>
  <c r="AA143" i="22"/>
  <c r="R143" i="22"/>
  <c r="R141" i="22" s="1"/>
  <c r="R140" i="22" s="1"/>
  <c r="R129" i="22" s="1"/>
  <c r="Q143" i="22"/>
  <c r="AA142" i="22"/>
  <c r="T142" i="22"/>
  <c r="T141" i="22" s="1"/>
  <c r="T140" i="22" s="1"/>
  <c r="Q142" i="22"/>
  <c r="AE141" i="22"/>
  <c r="AE140" i="22" s="1"/>
  <c r="AD141" i="22"/>
  <c r="AD140" i="22" s="1"/>
  <c r="AC141" i="22"/>
  <c r="AB141" i="22"/>
  <c r="AB140" i="22" s="1"/>
  <c r="AB129" i="22" s="1"/>
  <c r="Y141" i="22"/>
  <c r="Y140" i="22" s="1"/>
  <c r="X141" i="22"/>
  <c r="X140" i="22" s="1"/>
  <c r="W141" i="22"/>
  <c r="W140" i="22" s="1"/>
  <c r="V141" i="22"/>
  <c r="V140" i="22" s="1"/>
  <c r="V129" i="22" s="1"/>
  <c r="V119" i="22" s="1"/>
  <c r="U141" i="22"/>
  <c r="U140" i="22" s="1"/>
  <c r="U129" i="22" s="1"/>
  <c r="S141" i="22"/>
  <c r="S140" i="22" s="1"/>
  <c r="S129" i="22" s="1"/>
  <c r="AO140" i="22"/>
  <c r="AO129" i="22" s="1"/>
  <c r="AN140" i="22"/>
  <c r="AN129" i="22" s="1"/>
  <c r="AJ140" i="22"/>
  <c r="AJ124" i="22" s="1"/>
  <c r="AJ120" i="22" s="1"/>
  <c r="AI140" i="22"/>
  <c r="AH140" i="22"/>
  <c r="AG140" i="22"/>
  <c r="AG129" i="22" s="1"/>
  <c r="AG119" i="22" s="1"/>
  <c r="AF140" i="22"/>
  <c r="AF129" i="22" s="1"/>
  <c r="AF119" i="22" s="1"/>
  <c r="AC140" i="22"/>
  <c r="Q140" i="22"/>
  <c r="Q129" i="22" s="1"/>
  <c r="P140" i="22"/>
  <c r="O140" i="22"/>
  <c r="N140" i="22"/>
  <c r="N129" i="22" s="1"/>
  <c r="M140" i="22"/>
  <c r="M129" i="22" s="1"/>
  <c r="L140" i="22"/>
  <c r="L129" i="22" s="1"/>
  <c r="Z136" i="22"/>
  <c r="Y136" i="22"/>
  <c r="X136" i="22"/>
  <c r="W136" i="22"/>
  <c r="V136" i="22"/>
  <c r="U136" i="22"/>
  <c r="T136" i="22"/>
  <c r="S136" i="22"/>
  <c r="R136" i="22"/>
  <c r="Q136" i="22"/>
  <c r="P136" i="22"/>
  <c r="Z132" i="22"/>
  <c r="Y132" i="22"/>
  <c r="X132" i="22"/>
  <c r="W132" i="22"/>
  <c r="V132" i="22"/>
  <c r="U132" i="22"/>
  <c r="T132" i="22"/>
  <c r="S132" i="22"/>
  <c r="R132" i="22"/>
  <c r="P132" i="22"/>
  <c r="L131" i="22"/>
  <c r="L130" i="22"/>
  <c r="AJ129" i="22"/>
  <c r="AJ119" i="22" s="1"/>
  <c r="O129" i="22"/>
  <c r="J129" i="22"/>
  <c r="L128" i="22"/>
  <c r="K128" i="22"/>
  <c r="AA127" i="22"/>
  <c r="T127" i="22"/>
  <c r="T126" i="22" s="1"/>
  <c r="T125" i="22" s="1"/>
  <c r="R127" i="22"/>
  <c r="R126" i="22" s="1"/>
  <c r="Q127" i="22"/>
  <c r="Q126" i="22" s="1"/>
  <c r="AI126" i="22"/>
  <c r="AI125" i="22" s="1"/>
  <c r="AH126" i="22"/>
  <c r="AH125" i="22" s="1"/>
  <c r="AG126" i="22"/>
  <c r="AG125" i="22" s="1"/>
  <c r="AF126" i="22"/>
  <c r="AF125" i="22" s="1"/>
  <c r="AE126" i="22"/>
  <c r="AE125" i="22" s="1"/>
  <c r="AD126" i="22"/>
  <c r="AD125" i="22" s="1"/>
  <c r="AC126" i="22"/>
  <c r="AC125" i="22" s="1"/>
  <c r="AB126" i="22"/>
  <c r="AB125" i="22" s="1"/>
  <c r="AA126" i="22"/>
  <c r="AA125" i="22" s="1"/>
  <c r="Y126" i="22"/>
  <c r="Y125" i="22" s="1"/>
  <c r="X126" i="22"/>
  <c r="X125" i="22" s="1"/>
  <c r="W126" i="22"/>
  <c r="W125" i="22" s="1"/>
  <c r="V126" i="22"/>
  <c r="V125" i="22" s="1"/>
  <c r="U126" i="22"/>
  <c r="U125" i="22" s="1"/>
  <c r="S126" i="22"/>
  <c r="S125" i="22" s="1"/>
  <c r="AO125" i="22"/>
  <c r="AN125" i="22"/>
  <c r="AM125" i="22"/>
  <c r="AL125" i="22"/>
  <c r="AK125" i="22"/>
  <c r="AJ125" i="22"/>
  <c r="R125" i="22"/>
  <c r="O125" i="22"/>
  <c r="N125" i="22"/>
  <c r="M125" i="22"/>
  <c r="L125" i="22"/>
  <c r="AF124" i="22"/>
  <c r="AF120" i="22" s="1"/>
  <c r="P124" i="22"/>
  <c r="P120" i="22" s="1"/>
  <c r="V123" i="22"/>
  <c r="U123" i="22"/>
  <c r="T123" i="22" s="1"/>
  <c r="T121" i="22" s="1"/>
  <c r="AA122" i="22"/>
  <c r="V122" i="22"/>
  <c r="Q122" i="22"/>
  <c r="AD121" i="22"/>
  <c r="AC121" i="22"/>
  <c r="AB121" i="22"/>
  <c r="Y121" i="22"/>
  <c r="X121" i="22"/>
  <c r="W121" i="22"/>
  <c r="S121" i="22"/>
  <c r="S120" i="22" s="1"/>
  <c r="R121" i="22"/>
  <c r="AO120" i="22"/>
  <c r="AN120" i="22"/>
  <c r="AM120" i="22"/>
  <c r="AL120" i="22"/>
  <c r="AB120" i="22"/>
  <c r="R120" i="22"/>
  <c r="Q120" i="22"/>
  <c r="O120" i="22"/>
  <c r="N120" i="22"/>
  <c r="M120" i="22"/>
  <c r="L120" i="22"/>
  <c r="R118" i="22"/>
  <c r="R117" i="22" s="1"/>
  <c r="R116" i="22" s="1"/>
  <c r="Q118" i="22"/>
  <c r="AJ117" i="22"/>
  <c r="AJ116" i="22" s="1"/>
  <c r="AI117" i="22"/>
  <c r="AI116" i="22" s="1"/>
  <c r="AH117" i="22"/>
  <c r="AH116" i="22" s="1"/>
  <c r="AG117" i="22"/>
  <c r="AF117" i="22"/>
  <c r="AF116" i="22" s="1"/>
  <c r="AE117" i="22"/>
  <c r="AE116" i="22" s="1"/>
  <c r="AD117" i="22"/>
  <c r="AD116" i="22" s="1"/>
  <c r="AC117" i="22"/>
  <c r="AC116" i="22" s="1"/>
  <c r="AB117" i="22"/>
  <c r="AB116" i="22" s="1"/>
  <c r="AA117" i="22"/>
  <c r="AA116" i="22" s="1"/>
  <c r="Y117" i="22"/>
  <c r="Y116" i="22" s="1"/>
  <c r="X117" i="22"/>
  <c r="X116" i="22" s="1"/>
  <c r="W117" i="22"/>
  <c r="W116" i="22" s="1"/>
  <c r="V117" i="22"/>
  <c r="V116" i="22" s="1"/>
  <c r="U117" i="22"/>
  <c r="U116" i="22" s="1"/>
  <c r="T117" i="22"/>
  <c r="T116" i="22" s="1"/>
  <c r="S117" i="22"/>
  <c r="S116" i="22" s="1"/>
  <c r="AO116" i="22"/>
  <c r="AN116" i="22"/>
  <c r="AL116" i="22"/>
  <c r="AG116" i="22"/>
  <c r="Q116" i="22"/>
  <c r="P116" i="22"/>
  <c r="O116" i="22"/>
  <c r="N116" i="22"/>
  <c r="M116" i="22"/>
  <c r="L116" i="22"/>
  <c r="AA115" i="22"/>
  <c r="R115" i="22"/>
  <c r="R114" i="22" s="1"/>
  <c r="R113" i="22" s="1"/>
  <c r="Q115" i="22"/>
  <c r="Q114" i="22" s="1"/>
  <c r="AJ114" i="22"/>
  <c r="AJ113" i="22" s="1"/>
  <c r="AI114" i="22"/>
  <c r="AI113" i="22" s="1"/>
  <c r="AH114" i="22"/>
  <c r="AH113" i="22" s="1"/>
  <c r="AG114" i="22"/>
  <c r="AG113" i="22" s="1"/>
  <c r="AF114" i="22"/>
  <c r="AF113" i="22" s="1"/>
  <c r="AE114" i="22"/>
  <c r="AE113" i="22" s="1"/>
  <c r="AD114" i="22"/>
  <c r="AD113" i="22" s="1"/>
  <c r="AC114" i="22"/>
  <c r="AC113" i="22" s="1"/>
  <c r="AB114" i="22"/>
  <c r="AB113" i="22" s="1"/>
  <c r="AA114" i="22"/>
  <c r="Y114" i="22"/>
  <c r="Y113" i="22" s="1"/>
  <c r="X114" i="22"/>
  <c r="X113" i="22" s="1"/>
  <c r="W114" i="22"/>
  <c r="W113" i="22" s="1"/>
  <c r="V114" i="22"/>
  <c r="V113" i="22" s="1"/>
  <c r="U114" i="22"/>
  <c r="U113" i="22" s="1"/>
  <c r="T114" i="22"/>
  <c r="T113" i="22" s="1"/>
  <c r="S114" i="22"/>
  <c r="S113" i="22" s="1"/>
  <c r="AO113" i="22"/>
  <c r="AN113" i="22"/>
  <c r="AM113" i="22"/>
  <c r="AL113" i="22"/>
  <c r="AK113" i="22"/>
  <c r="O113" i="22"/>
  <c r="N113" i="22"/>
  <c r="M113" i="22"/>
  <c r="L113" i="22"/>
  <c r="AF111" i="22"/>
  <c r="AA111" i="22"/>
  <c r="T111" i="22"/>
  <c r="L111" i="22"/>
  <c r="AF110" i="22"/>
  <c r="T110" i="22"/>
  <c r="T109" i="22" s="1"/>
  <c r="T108" i="22" s="1"/>
  <c r="Q110" i="22"/>
  <c r="L110" i="22"/>
  <c r="AJ109" i="22"/>
  <c r="AJ108" i="22" s="1"/>
  <c r="AI109" i="22"/>
  <c r="AI108" i="22" s="1"/>
  <c r="AH109" i="22"/>
  <c r="AH108" i="22" s="1"/>
  <c r="AG109" i="22"/>
  <c r="AG108" i="22" s="1"/>
  <c r="AF109" i="22"/>
  <c r="AF108" i="22" s="1"/>
  <c r="AE109" i="22"/>
  <c r="AE108" i="22" s="1"/>
  <c r="AD109" i="22"/>
  <c r="AC109" i="22"/>
  <c r="AC108" i="22" s="1"/>
  <c r="AB109" i="22"/>
  <c r="AB108" i="22" s="1"/>
  <c r="AA109" i="22"/>
  <c r="AA108" i="22" s="1"/>
  <c r="Y109" i="22"/>
  <c r="Y108" i="22" s="1"/>
  <c r="W109" i="22"/>
  <c r="W108" i="22" s="1"/>
  <c r="V109" i="22"/>
  <c r="V108" i="22" s="1"/>
  <c r="U109" i="22"/>
  <c r="U108" i="22" s="1"/>
  <c r="S109" i="22"/>
  <c r="AO108" i="22"/>
  <c r="AN108" i="22"/>
  <c r="AL108" i="22"/>
  <c r="AD108" i="22"/>
  <c r="X108" i="22"/>
  <c r="S108" i="22"/>
  <c r="R108" i="22"/>
  <c r="Q108" i="22"/>
  <c r="P108" i="22"/>
  <c r="O108" i="22"/>
  <c r="N108" i="22"/>
  <c r="M108" i="22"/>
  <c r="L108" i="22"/>
  <c r="AF106" i="22"/>
  <c r="Q106" i="22"/>
  <c r="AF105" i="22"/>
  <c r="AA105" i="22"/>
  <c r="AA103" i="22" s="1"/>
  <c r="AA102" i="22" s="1"/>
  <c r="R105" i="22"/>
  <c r="Q105" i="22"/>
  <c r="AF104" i="22"/>
  <c r="Q104" i="22"/>
  <c r="Q103" i="22" s="1"/>
  <c r="Q102" i="22" s="1"/>
  <c r="AJ103" i="22"/>
  <c r="AJ102" i="22" s="1"/>
  <c r="AI103" i="22"/>
  <c r="AI102" i="22" s="1"/>
  <c r="AH103" i="22"/>
  <c r="AH102" i="22" s="1"/>
  <c r="AG103" i="22"/>
  <c r="AG102" i="22" s="1"/>
  <c r="AF103" i="22"/>
  <c r="AF102" i="22" s="1"/>
  <c r="AE103" i="22"/>
  <c r="AD103" i="22"/>
  <c r="AD102" i="22" s="1"/>
  <c r="AC103" i="22"/>
  <c r="AB103" i="22"/>
  <c r="AB102" i="22" s="1"/>
  <c r="Y103" i="22"/>
  <c r="Y102" i="22" s="1"/>
  <c r="W103" i="22"/>
  <c r="W102" i="22" s="1"/>
  <c r="V103" i="22"/>
  <c r="V102" i="22" s="1"/>
  <c r="U103" i="22"/>
  <c r="U102" i="22" s="1"/>
  <c r="T103" i="22"/>
  <c r="T102" i="22" s="1"/>
  <c r="S103" i="22"/>
  <c r="R103" i="22"/>
  <c r="R102" i="22" s="1"/>
  <c r="P103" i="22"/>
  <c r="P102" i="22" s="1"/>
  <c r="AO102" i="22"/>
  <c r="AN102" i="22"/>
  <c r="AL102" i="22"/>
  <c r="AE102" i="22"/>
  <c r="AC102" i="22"/>
  <c r="X102" i="22"/>
  <c r="S102" i="22"/>
  <c r="O102" i="22"/>
  <c r="N102" i="22"/>
  <c r="M102" i="22"/>
  <c r="L102" i="22"/>
  <c r="AF101" i="22"/>
  <c r="AF100" i="22" s="1"/>
  <c r="AF99" i="22" s="1"/>
  <c r="Q101" i="22"/>
  <c r="Q100" i="22" s="1"/>
  <c r="Q99" i="22" s="1"/>
  <c r="AJ100" i="22"/>
  <c r="AJ99" i="22" s="1"/>
  <c r="AI100" i="22"/>
  <c r="AI99" i="22" s="1"/>
  <c r="AH100" i="22"/>
  <c r="AH99" i="22" s="1"/>
  <c r="AG100" i="22"/>
  <c r="AG99" i="22" s="1"/>
  <c r="AE100" i="22"/>
  <c r="AE99" i="22" s="1"/>
  <c r="AD100" i="22"/>
  <c r="AD99" i="22" s="1"/>
  <c r="AC100" i="22"/>
  <c r="AC99" i="22" s="1"/>
  <c r="AB100" i="22"/>
  <c r="AB99" i="22" s="1"/>
  <c r="AA100" i="22"/>
  <c r="AA99" i="22" s="1"/>
  <c r="Y100" i="22"/>
  <c r="Y99" i="22" s="1"/>
  <c r="X100" i="22"/>
  <c r="X99" i="22" s="1"/>
  <c r="W100" i="22"/>
  <c r="W99" i="22" s="1"/>
  <c r="V100" i="22"/>
  <c r="V99" i="22" s="1"/>
  <c r="U100" i="22"/>
  <c r="U99" i="22" s="1"/>
  <c r="T100" i="22"/>
  <c r="T99" i="22" s="1"/>
  <c r="S100" i="22"/>
  <c r="S99" i="22" s="1"/>
  <c r="R100" i="22"/>
  <c r="R99" i="22" s="1"/>
  <c r="AO99" i="22"/>
  <c r="AN99" i="22"/>
  <c r="AL99" i="22"/>
  <c r="P99" i="22"/>
  <c r="O99" i="22"/>
  <c r="N99" i="22"/>
  <c r="M99" i="22"/>
  <c r="L99" i="22"/>
  <c r="AA98" i="22"/>
  <c r="AA97" i="22" s="1"/>
  <c r="U98" i="22"/>
  <c r="Q98" i="22" s="1"/>
  <c r="Q97" i="22" s="1"/>
  <c r="AD97" i="22"/>
  <c r="AD96" i="22" s="1"/>
  <c r="AC97" i="22"/>
  <c r="AC96" i="22" s="1"/>
  <c r="AB97" i="22"/>
  <c r="Y97" i="22"/>
  <c r="Y96" i="22" s="1"/>
  <c r="X97" i="22"/>
  <c r="X96" i="22" s="1"/>
  <c r="W97" i="22"/>
  <c r="W96" i="22" s="1"/>
  <c r="V97" i="22"/>
  <c r="V96" i="22" s="1"/>
  <c r="T97" i="22"/>
  <c r="T96" i="22" s="1"/>
  <c r="S97" i="22"/>
  <c r="S96" i="22" s="1"/>
  <c r="R97" i="22"/>
  <c r="R96" i="22" s="1"/>
  <c r="AO96" i="22"/>
  <c r="AN96" i="22"/>
  <c r="AM96" i="22"/>
  <c r="AL96" i="22"/>
  <c r="AK96" i="22"/>
  <c r="AJ96" i="22"/>
  <c r="AI96" i="22"/>
  <c r="AH96" i="22"/>
  <c r="AG96" i="22"/>
  <c r="AF96" i="22"/>
  <c r="AE96" i="22"/>
  <c r="AB96" i="22"/>
  <c r="O96" i="22"/>
  <c r="N96" i="22"/>
  <c r="M96" i="22"/>
  <c r="L96" i="22"/>
  <c r="AA95" i="22"/>
  <c r="AA94" i="22" s="1"/>
  <c r="U95" i="22"/>
  <c r="Q95" i="22" s="1"/>
  <c r="Q94" i="22" s="1"/>
  <c r="AE94" i="22"/>
  <c r="AD94" i="22"/>
  <c r="AD93" i="22" s="1"/>
  <c r="AC94" i="22"/>
  <c r="AB94" i="22"/>
  <c r="AB93" i="22" s="1"/>
  <c r="Y94" i="22"/>
  <c r="Y93" i="22" s="1"/>
  <c r="X94" i="22"/>
  <c r="W94" i="22"/>
  <c r="W93" i="22" s="1"/>
  <c r="V94" i="22"/>
  <c r="V93" i="22" s="1"/>
  <c r="U94" i="22"/>
  <c r="U93" i="22" s="1"/>
  <c r="T94" i="22"/>
  <c r="T93" i="22" s="1"/>
  <c r="S94" i="22"/>
  <c r="S93" i="22" s="1"/>
  <c r="R94" i="22"/>
  <c r="R93" i="22" s="1"/>
  <c r="AO93" i="22"/>
  <c r="AN93" i="22"/>
  <c r="AM93" i="22"/>
  <c r="AL93" i="22"/>
  <c r="AK93" i="22"/>
  <c r="AJ93" i="22"/>
  <c r="AI93" i="22"/>
  <c r="AH93" i="22"/>
  <c r="AG93" i="22"/>
  <c r="AF93" i="22"/>
  <c r="AE93" i="22"/>
  <c r="AC93" i="22"/>
  <c r="X93" i="22"/>
  <c r="O93" i="22"/>
  <c r="N93" i="22"/>
  <c r="M93" i="22"/>
  <c r="L93" i="22"/>
  <c r="J91" i="22"/>
  <c r="AF90" i="22"/>
  <c r="AF87" i="22" s="1"/>
  <c r="AF86" i="22" s="1"/>
  <c r="AA90" i="22"/>
  <c r="R90" i="22"/>
  <c r="Q90" i="22"/>
  <c r="T89" i="22"/>
  <c r="Q89" i="22"/>
  <c r="AA88" i="22"/>
  <c r="T88" i="22"/>
  <c r="Q88" i="22"/>
  <c r="AK87" i="22"/>
  <c r="AJ87" i="22"/>
  <c r="AI87" i="22"/>
  <c r="AI86" i="22" s="1"/>
  <c r="AH87" i="22"/>
  <c r="AH86" i="22" s="1"/>
  <c r="AG87" i="22"/>
  <c r="AG86" i="22" s="1"/>
  <c r="AE87" i="22"/>
  <c r="AE86" i="22" s="1"/>
  <c r="AD87" i="22"/>
  <c r="AC87" i="22"/>
  <c r="AC86" i="22" s="1"/>
  <c r="AB87" i="22"/>
  <c r="AB86" i="22" s="1"/>
  <c r="Y87" i="22"/>
  <c r="X87" i="22"/>
  <c r="W87" i="22"/>
  <c r="W86" i="22" s="1"/>
  <c r="V87" i="22"/>
  <c r="V86" i="22" s="1"/>
  <c r="U87" i="22"/>
  <c r="S87" i="22"/>
  <c r="R87" i="22"/>
  <c r="R86" i="22" s="1"/>
  <c r="J87" i="22"/>
  <c r="AO86" i="22"/>
  <c r="AO79" i="22" s="1"/>
  <c r="AN86" i="22"/>
  <c r="AN79" i="22" s="1"/>
  <c r="AJ86" i="22"/>
  <c r="AD86" i="22"/>
  <c r="Y86" i="22"/>
  <c r="X86" i="22"/>
  <c r="U86" i="22"/>
  <c r="S86" i="22"/>
  <c r="Q86" i="22"/>
  <c r="P86" i="22"/>
  <c r="O86" i="22"/>
  <c r="N86" i="22"/>
  <c r="M86" i="22"/>
  <c r="L86" i="22"/>
  <c r="AF84" i="22"/>
  <c r="AF83" i="22" s="1"/>
  <c r="AF82" i="22" s="1"/>
  <c r="AA84" i="22"/>
  <c r="AA83" i="22" s="1"/>
  <c r="AA82" i="22" s="1"/>
  <c r="X84" i="22"/>
  <c r="V84" i="22"/>
  <c r="V83" i="22" s="1"/>
  <c r="V82" i="22" s="1"/>
  <c r="R84" i="22"/>
  <c r="R83" i="22" s="1"/>
  <c r="R82" i="22" s="1"/>
  <c r="Q84" i="22"/>
  <c r="P84" i="22" s="1"/>
  <c r="AJ83" i="22"/>
  <c r="AJ82" i="22" s="1"/>
  <c r="AI83" i="22"/>
  <c r="AI82" i="22" s="1"/>
  <c r="AI79" i="22" s="1"/>
  <c r="AH83" i="22"/>
  <c r="AH82" i="22" s="1"/>
  <c r="AG83" i="22"/>
  <c r="AE83" i="22"/>
  <c r="AE82" i="22" s="1"/>
  <c r="AD83" i="22"/>
  <c r="AD82" i="22" s="1"/>
  <c r="AC83" i="22"/>
  <c r="AC82" i="22" s="1"/>
  <c r="AB83" i="22"/>
  <c r="AB82" i="22" s="1"/>
  <c r="Y83" i="22"/>
  <c r="Y82" i="22" s="1"/>
  <c r="X83" i="22"/>
  <c r="X82" i="22" s="1"/>
  <c r="W83" i="22"/>
  <c r="W82" i="22" s="1"/>
  <c r="U83" i="22"/>
  <c r="U82" i="22" s="1"/>
  <c r="T83" i="22"/>
  <c r="T82" i="22" s="1"/>
  <c r="S83" i="22"/>
  <c r="S82" i="22" s="1"/>
  <c r="AL82" i="22"/>
  <c r="AG82" i="22"/>
  <c r="O82" i="22"/>
  <c r="N82" i="22"/>
  <c r="N79" i="22" s="1"/>
  <c r="M82" i="22"/>
  <c r="L82" i="22"/>
  <c r="J82" i="22"/>
  <c r="L81" i="22"/>
  <c r="J81" i="22" s="1"/>
  <c r="L80" i="22"/>
  <c r="J80" i="22" s="1"/>
  <c r="K79" i="22"/>
  <c r="L78" i="22"/>
  <c r="L72" i="22" s="1"/>
  <c r="AO76" i="22"/>
  <c r="AN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AA73" i="22"/>
  <c r="AA72" i="22" s="1"/>
  <c r="Z73" i="22"/>
  <c r="Z72" i="22" s="1"/>
  <c r="Y73" i="22"/>
  <c r="Y72" i="22" s="1"/>
  <c r="X73" i="22"/>
  <c r="X72" i="22" s="1"/>
  <c r="W73" i="22"/>
  <c r="V73" i="22"/>
  <c r="U73" i="22"/>
  <c r="U72" i="22" s="1"/>
  <c r="T73" i="22"/>
  <c r="T72" i="22" s="1"/>
  <c r="S73" i="22"/>
  <c r="S72" i="22" s="1"/>
  <c r="R73" i="22"/>
  <c r="R72" i="22" s="1"/>
  <c r="Q73" i="22"/>
  <c r="Q72" i="22" s="1"/>
  <c r="AO72" i="22"/>
  <c r="AN72" i="22"/>
  <c r="AJ72" i="22"/>
  <c r="AI72" i="22"/>
  <c r="AH72" i="22"/>
  <c r="AG72" i="22"/>
  <c r="AF72" i="22"/>
  <c r="AE72" i="22"/>
  <c r="AD72" i="22"/>
  <c r="AC72" i="22"/>
  <c r="AB72" i="22"/>
  <c r="W72" i="22"/>
  <c r="V72" i="22"/>
  <c r="P72" i="22"/>
  <c r="O72" i="22"/>
  <c r="N72" i="22"/>
  <c r="M72" i="22"/>
  <c r="AF70" i="22"/>
  <c r="AF69" i="22" s="1"/>
  <c r="AF68" i="22" s="1"/>
  <c r="AF65" i="22" s="1"/>
  <c r="AA70" i="22"/>
  <c r="AA68" i="22" s="1"/>
  <c r="AA65" i="22" s="1"/>
  <c r="R70" i="22"/>
  <c r="R69" i="22" s="1"/>
  <c r="R68" i="22" s="1"/>
  <c r="Q70" i="22"/>
  <c r="AG69" i="22"/>
  <c r="AG68" i="22" s="1"/>
  <c r="AB69" i="22"/>
  <c r="AB68" i="22" s="1"/>
  <c r="AB65" i="22" s="1"/>
  <c r="Y69" i="22"/>
  <c r="W69" i="22"/>
  <c r="V69" i="22"/>
  <c r="V68" i="22" s="1"/>
  <c r="V65" i="22" s="1"/>
  <c r="U69" i="22"/>
  <c r="U68" i="22" s="1"/>
  <c r="U65" i="22" s="1"/>
  <c r="T69" i="22"/>
  <c r="T68" i="22" s="1"/>
  <c r="T65" i="22" s="1"/>
  <c r="S69" i="22"/>
  <c r="AO68" i="22"/>
  <c r="AO65" i="22" s="1"/>
  <c r="AN68" i="22"/>
  <c r="AN65" i="22" s="1"/>
  <c r="AJ68" i="22"/>
  <c r="AI68" i="22"/>
  <c r="AH68" i="22"/>
  <c r="AH65" i="22" s="1"/>
  <c r="AE68" i="22"/>
  <c r="AE65" i="22" s="1"/>
  <c r="AD68" i="22"/>
  <c r="AC68" i="22"/>
  <c r="AC65" i="22" s="1"/>
  <c r="Z68" i="22"/>
  <c r="Y68" i="22"/>
  <c r="Y65" i="22" s="1"/>
  <c r="X68" i="22"/>
  <c r="X65" i="22" s="1"/>
  <c r="W68" i="22"/>
  <c r="W65" i="22" s="1"/>
  <c r="S68" i="22"/>
  <c r="S65" i="22" s="1"/>
  <c r="Q68" i="22"/>
  <c r="P68" i="22"/>
  <c r="P65" i="22" s="1"/>
  <c r="O68" i="22"/>
  <c r="O65" i="22" s="1"/>
  <c r="N68" i="22"/>
  <c r="M68" i="22"/>
  <c r="M65" i="22" s="1"/>
  <c r="L68" i="22"/>
  <c r="L65" i="22" s="1"/>
  <c r="L67" i="22"/>
  <c r="L66" i="22"/>
  <c r="AJ65" i="22"/>
  <c r="AI65" i="22"/>
  <c r="AG65" i="22"/>
  <c r="AD65" i="22"/>
  <c r="N65" i="22"/>
  <c r="K65" i="22"/>
  <c r="K12" i="22" s="1"/>
  <c r="J65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J61" i="22"/>
  <c r="AA60" i="22"/>
  <c r="V60" i="22"/>
  <c r="Q60" i="22"/>
  <c r="AD59" i="22"/>
  <c r="AC59" i="22"/>
  <c r="AB59" i="22"/>
  <c r="Y59" i="22"/>
  <c r="X59" i="22"/>
  <c r="W59" i="22"/>
  <c r="V59" i="22"/>
  <c r="U59" i="22"/>
  <c r="T59" i="22"/>
  <c r="S59" i="22"/>
  <c r="R59" i="22"/>
  <c r="J59" i="22"/>
  <c r="AO58" i="22"/>
  <c r="AN58" i="22"/>
  <c r="AJ58" i="22"/>
  <c r="AJ52" i="22" s="1"/>
  <c r="AI58" i="22"/>
  <c r="AH58" i="22"/>
  <c r="AG58" i="22"/>
  <c r="AF58" i="22"/>
  <c r="AE58" i="22"/>
  <c r="AD58" i="22"/>
  <c r="AC58" i="22"/>
  <c r="AB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J58" i="22" s="1"/>
  <c r="L57" i="22"/>
  <c r="J57" i="22" s="1"/>
  <c r="L56" i="22"/>
  <c r="J56" i="22" s="1"/>
  <c r="AO55" i="22"/>
  <c r="AN55" i="22"/>
  <c r="AI55" i="22"/>
  <c r="AH55" i="22"/>
  <c r="AG55" i="22"/>
  <c r="AF55" i="22"/>
  <c r="AE55" i="22"/>
  <c r="AD55" i="22"/>
  <c r="AC55" i="22"/>
  <c r="AB55" i="22"/>
  <c r="AB52" i="22" s="1"/>
  <c r="AA55" i="22"/>
  <c r="AA52" i="22" s="1"/>
  <c r="Y55" i="22"/>
  <c r="X55" i="22"/>
  <c r="W55" i="22"/>
  <c r="V55" i="22"/>
  <c r="U55" i="22"/>
  <c r="T55" i="22"/>
  <c r="S55" i="22"/>
  <c r="S52" i="22" s="1"/>
  <c r="R55" i="22"/>
  <c r="Q55" i="22"/>
  <c r="P55" i="22"/>
  <c r="O55" i="22"/>
  <c r="N55" i="22"/>
  <c r="N52" i="22" s="1"/>
  <c r="M55" i="22"/>
  <c r="J54" i="22"/>
  <c r="J53" i="22"/>
  <c r="AO52" i="22"/>
  <c r="AO12" i="22" s="1"/>
  <c r="AM52" i="22"/>
  <c r="X52" i="22"/>
  <c r="V52" i="22"/>
  <c r="T52" i="22"/>
  <c r="P52" i="22"/>
  <c r="O52" i="22"/>
  <c r="AJ51" i="22"/>
  <c r="AI51" i="22"/>
  <c r="AH51" i="22"/>
  <c r="AG51" i="22"/>
  <c r="AA49" i="22"/>
  <c r="Q49" i="22"/>
  <c r="AC48" i="22"/>
  <c r="AC47" i="22" s="1"/>
  <c r="AB48" i="22"/>
  <c r="AB47" i="22" s="1"/>
  <c r="AB45" i="22" s="1"/>
  <c r="Z48" i="22"/>
  <c r="Y48" i="22"/>
  <c r="X48" i="22"/>
  <c r="W48" i="22"/>
  <c r="V48" i="22"/>
  <c r="V47" i="22" s="1"/>
  <c r="U48" i="22"/>
  <c r="U47" i="22" s="1"/>
  <c r="U44" i="22" s="1"/>
  <c r="T48" i="22"/>
  <c r="T47" i="22" s="1"/>
  <c r="S48" i="22"/>
  <c r="S47" i="22" s="1"/>
  <c r="R48" i="22"/>
  <c r="R47" i="22" s="1"/>
  <c r="Y47" i="22"/>
  <c r="Y45" i="22" s="1"/>
  <c r="X47" i="22"/>
  <c r="W47" i="22"/>
  <c r="W45" i="22" s="1"/>
  <c r="Q47" i="22"/>
  <c r="Q44" i="22" s="1"/>
  <c r="P47" i="22"/>
  <c r="O47" i="22"/>
  <c r="N47" i="22"/>
  <c r="N45" i="22" s="1"/>
  <c r="M47" i="22"/>
  <c r="L47" i="22"/>
  <c r="L44" i="22" s="1"/>
  <c r="AO45" i="22"/>
  <c r="AO13" i="22" s="1"/>
  <c r="AO8" i="22" s="1"/>
  <c r="AN45" i="22"/>
  <c r="AM45" i="22"/>
  <c r="AM13" i="22" s="1"/>
  <c r="AJ45" i="22"/>
  <c r="AI45" i="22"/>
  <c r="AH45" i="22"/>
  <c r="AG45" i="22"/>
  <c r="AF45" i="22"/>
  <c r="AE45" i="22"/>
  <c r="AD45" i="22"/>
  <c r="AC45" i="22"/>
  <c r="AA45" i="22"/>
  <c r="X45" i="22"/>
  <c r="R45" i="22"/>
  <c r="K45" i="22"/>
  <c r="K13" i="22" s="1"/>
  <c r="K8" i="22" s="1"/>
  <c r="J45" i="22"/>
  <c r="R44" i="22"/>
  <c r="N44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AA38" i="22"/>
  <c r="AA37" i="22" s="1"/>
  <c r="AA36" i="22" s="1"/>
  <c r="Q38" i="22"/>
  <c r="AE37" i="22"/>
  <c r="Y37" i="22"/>
  <c r="Y36" i="22" s="1"/>
  <c r="X37" i="22"/>
  <c r="X36" i="22" s="1"/>
  <c r="Q37" i="22"/>
  <c r="Q36" i="22" s="1"/>
  <c r="L37" i="22"/>
  <c r="AO36" i="22"/>
  <c r="AN36" i="22"/>
  <c r="AJ36" i="22"/>
  <c r="AI36" i="22"/>
  <c r="AH36" i="22"/>
  <c r="AG36" i="22"/>
  <c r="AF36" i="22"/>
  <c r="AE36" i="22"/>
  <c r="AD36" i="22"/>
  <c r="AC36" i="22"/>
  <c r="AB36" i="22"/>
  <c r="W36" i="22"/>
  <c r="V36" i="22"/>
  <c r="U36" i="22"/>
  <c r="T36" i="22"/>
  <c r="S36" i="22"/>
  <c r="R36" i="22"/>
  <c r="P36" i="22"/>
  <c r="O36" i="22"/>
  <c r="N36" i="22"/>
  <c r="M36" i="22"/>
  <c r="L36" i="22"/>
  <c r="L15" i="22" s="1"/>
  <c r="L11" i="22" s="1"/>
  <c r="AO33" i="22"/>
  <c r="AN33" i="22"/>
  <c r="AM33" i="22"/>
  <c r="AJ33" i="22"/>
  <c r="AI33" i="22"/>
  <c r="AH33" i="22"/>
  <c r="AG33" i="22"/>
  <c r="AG32" i="22" s="1"/>
  <c r="AF33" i="22"/>
  <c r="AE33" i="22"/>
  <c r="AD33" i="22"/>
  <c r="AC33" i="22"/>
  <c r="AB33" i="22"/>
  <c r="AA33" i="22"/>
  <c r="Y33" i="22"/>
  <c r="X33" i="22"/>
  <c r="W33" i="22"/>
  <c r="V33" i="22"/>
  <c r="U33" i="22"/>
  <c r="T33" i="22"/>
  <c r="S33" i="22"/>
  <c r="R33" i="22"/>
  <c r="Q33" i="22"/>
  <c r="P33" i="22"/>
  <c r="O33" i="22"/>
  <c r="O15" i="22" s="1"/>
  <c r="O11" i="22" s="1"/>
  <c r="N33" i="22"/>
  <c r="M33" i="22"/>
  <c r="M15" i="22" s="1"/>
  <c r="L33" i="22"/>
  <c r="J33" i="22"/>
  <c r="J15" i="22" s="1"/>
  <c r="J11" i="22" s="1"/>
  <c r="Q32" i="22"/>
  <c r="P32" i="22" s="1"/>
  <c r="U31" i="22"/>
  <c r="T31" i="22" s="1"/>
  <c r="T30" i="22" s="1"/>
  <c r="AJ30" i="22"/>
  <c r="AJ17" i="22" s="1"/>
  <c r="AJ13" i="22" s="1"/>
  <c r="AJ8" i="22" s="1"/>
  <c r="AI30" i="22"/>
  <c r="AH30" i="22"/>
  <c r="AE30" i="22"/>
  <c r="AE17" i="22" s="1"/>
  <c r="AE13" i="22" s="1"/>
  <c r="AD30" i="22"/>
  <c r="AC30" i="22"/>
  <c r="AB30" i="22"/>
  <c r="AB17" i="22" s="1"/>
  <c r="AA30" i="22"/>
  <c r="AA17" i="22" s="1"/>
  <c r="AA13" i="22" s="1"/>
  <c r="Y30" i="22"/>
  <c r="W30" i="22"/>
  <c r="V30" i="22"/>
  <c r="V17" i="22" s="1"/>
  <c r="S30" i="22"/>
  <c r="S17" i="22" s="1"/>
  <c r="R30" i="22"/>
  <c r="N30" i="22"/>
  <c r="L30" i="22"/>
  <c r="AF29" i="22"/>
  <c r="AA29" i="22"/>
  <c r="R29" i="22"/>
  <c r="R28" i="22" s="1"/>
  <c r="R18" i="22" s="1"/>
  <c r="R14" i="22" s="1"/>
  <c r="R9" i="22" s="1"/>
  <c r="P29" i="22"/>
  <c r="AJ28" i="22"/>
  <c r="AI28" i="22"/>
  <c r="AH28" i="22"/>
  <c r="AH18" i="22" s="1"/>
  <c r="AH14" i="22" s="1"/>
  <c r="AH9" i="22" s="1"/>
  <c r="AG28" i="22"/>
  <c r="AF28" i="22"/>
  <c r="AF18" i="22" s="1"/>
  <c r="AF14" i="22" s="1"/>
  <c r="AF9" i="22" s="1"/>
  <c r="AE28" i="22"/>
  <c r="AD28" i="22"/>
  <c r="AC28" i="22"/>
  <c r="AB28" i="22"/>
  <c r="AA28" i="22"/>
  <c r="Y28" i="22"/>
  <c r="W28" i="22"/>
  <c r="W18" i="22" s="1"/>
  <c r="V28" i="22"/>
  <c r="V18" i="22" s="1"/>
  <c r="V14" i="22" s="1"/>
  <c r="V9" i="22" s="1"/>
  <c r="U28" i="22"/>
  <c r="T28" i="22"/>
  <c r="T18" i="22" s="1"/>
  <c r="T14" i="22" s="1"/>
  <c r="S28" i="22"/>
  <c r="S18" i="22" s="1"/>
  <c r="Q28" i="22"/>
  <c r="Q18" i="22" s="1"/>
  <c r="Q14" i="22" s="1"/>
  <c r="Q9" i="22" s="1"/>
  <c r="J28" i="22"/>
  <c r="J18" i="22" s="1"/>
  <c r="AF27" i="22"/>
  <c r="AA27" i="22"/>
  <c r="R27" i="22"/>
  <c r="P27" i="22" s="1"/>
  <c r="Q27" i="22"/>
  <c r="AF26" i="22"/>
  <c r="AA26" i="22"/>
  <c r="Q26" i="22"/>
  <c r="AF25" i="22"/>
  <c r="AA25" i="22"/>
  <c r="Q25" i="22"/>
  <c r="Q20" i="22" s="1"/>
  <c r="AF24" i="22"/>
  <c r="AA24" i="22"/>
  <c r="Q24" i="22"/>
  <c r="P24" i="22"/>
  <c r="AF23" i="22"/>
  <c r="AA23" i="22"/>
  <c r="T23" i="22"/>
  <c r="R23" i="22"/>
  <c r="AF22" i="22"/>
  <c r="AA22" i="22"/>
  <c r="R22" i="22"/>
  <c r="P22" i="22"/>
  <c r="AF21" i="22"/>
  <c r="R21" i="22"/>
  <c r="AJ20" i="22"/>
  <c r="AI20" i="22"/>
  <c r="AH20" i="22"/>
  <c r="AG20" i="22"/>
  <c r="AE20" i="22"/>
  <c r="AD20" i="22"/>
  <c r="AD15" i="22" s="1"/>
  <c r="AD11" i="22" s="1"/>
  <c r="AC20" i="22"/>
  <c r="AB20" i="22"/>
  <c r="Y20" i="22"/>
  <c r="X20" i="22"/>
  <c r="W20" i="22"/>
  <c r="W19" i="22" s="1"/>
  <c r="V20" i="22"/>
  <c r="U20" i="22"/>
  <c r="T20" i="22"/>
  <c r="S20" i="22"/>
  <c r="K20" i="22"/>
  <c r="K19" i="22" s="1"/>
  <c r="AO19" i="22"/>
  <c r="AN19" i="22"/>
  <c r="AE19" i="22"/>
  <c r="X19" i="22"/>
  <c r="S19" i="22"/>
  <c r="P19" i="22"/>
  <c r="O19" i="22"/>
  <c r="M19" i="22"/>
  <c r="L19" i="22"/>
  <c r="AO18" i="22"/>
  <c r="AO14" i="22" s="1"/>
  <c r="AN18" i="22"/>
  <c r="AN14" i="22" s="1"/>
  <c r="AN9" i="22" s="1"/>
  <c r="AM18" i="22"/>
  <c r="AM14" i="22" s="1"/>
  <c r="AL18" i="22"/>
  <c r="AK18" i="22"/>
  <c r="AK14" i="22" s="1"/>
  <c r="AI18" i="22"/>
  <c r="AI14" i="22" s="1"/>
  <c r="AI9" i="22" s="1"/>
  <c r="AG18" i="22"/>
  <c r="AG14" i="22" s="1"/>
  <c r="AE18" i="22"/>
  <c r="AE14" i="22" s="1"/>
  <c r="AE9" i="22" s="1"/>
  <c r="AC18" i="22"/>
  <c r="AC14" i="22" s="1"/>
  <c r="AB18" i="22"/>
  <c r="AB14" i="22" s="1"/>
  <c r="AB9" i="22" s="1"/>
  <c r="AA18" i="22"/>
  <c r="X18" i="22"/>
  <c r="X14" i="22" s="1"/>
  <c r="U18" i="22"/>
  <c r="P18" i="22"/>
  <c r="P14" i="22" s="1"/>
  <c r="P9" i="22" s="1"/>
  <c r="O18" i="22"/>
  <c r="N18" i="22"/>
  <c r="N14" i="22" s="1"/>
  <c r="N9" i="22" s="1"/>
  <c r="M18" i="22"/>
  <c r="L18" i="22"/>
  <c r="L14" i="22" s="1"/>
  <c r="L9" i="22" s="1"/>
  <c r="K18" i="22"/>
  <c r="AI17" i="22"/>
  <c r="AH17" i="22"/>
  <c r="AD17" i="22"/>
  <c r="AD13" i="22" s="1"/>
  <c r="AC17" i="22"/>
  <c r="Y17" i="22"/>
  <c r="X17" i="22"/>
  <c r="W17" i="22"/>
  <c r="R17" i="22"/>
  <c r="P17" i="22"/>
  <c r="P13" i="22" s="1"/>
  <c r="O17" i="22"/>
  <c r="M17" i="22"/>
  <c r="AN15" i="22"/>
  <c r="AN11" i="22" s="1"/>
  <c r="AE15" i="22"/>
  <c r="AE11" i="22" s="1"/>
  <c r="K15" i="22"/>
  <c r="K11" i="22" s="1"/>
  <c r="AL14" i="22"/>
  <c r="AL9" i="22" s="1"/>
  <c r="AA14" i="22"/>
  <c r="AA9" i="22" s="1"/>
  <c r="W14" i="22"/>
  <c r="W9" i="22" s="1"/>
  <c r="U14" i="22"/>
  <c r="U9" i="22" s="1"/>
  <c r="S14" i="22"/>
  <c r="S9" i="22" s="1"/>
  <c r="O14" i="22"/>
  <c r="O9" i="22" s="1"/>
  <c r="M14" i="22"/>
  <c r="K14" i="22"/>
  <c r="J14" i="22"/>
  <c r="J9" i="22" s="1"/>
  <c r="AN13" i="22"/>
  <c r="AN8" i="22" s="1"/>
  <c r="AH13" i="22"/>
  <c r="J13" i="22"/>
  <c r="J8" i="22" s="1"/>
  <c r="M11" i="22"/>
  <c r="M6" i="22" s="1"/>
  <c r="AQ10" i="22"/>
  <c r="AQ9" i="22"/>
  <c r="Z9" i="22"/>
  <c r="M9" i="22"/>
  <c r="AQ8" i="22"/>
  <c r="Z8" i="22"/>
  <c r="AQ7" i="22"/>
  <c r="Z7" i="22"/>
  <c r="AQ6" i="22"/>
  <c r="Z6" i="22"/>
  <c r="AQ5" i="22"/>
  <c r="Z330" i="6"/>
  <c r="Q337" i="6"/>
  <c r="Z337" i="6"/>
  <c r="Z332" i="6"/>
  <c r="Q332" i="6"/>
  <c r="W336" i="6"/>
  <c r="W335" i="6"/>
  <c r="AC336" i="6"/>
  <c r="Z147" i="6"/>
  <c r="Q147" i="6"/>
  <c r="Z154" i="6"/>
  <c r="Q154" i="6"/>
  <c r="R154" i="6"/>
  <c r="S154" i="6"/>
  <c r="T154" i="6"/>
  <c r="U154" i="6"/>
  <c r="W154" i="6"/>
  <c r="Y154" i="6"/>
  <c r="X154" i="6" s="1"/>
  <c r="S289" i="21"/>
  <c r="S288" i="21" s="1"/>
  <c r="T289" i="21"/>
  <c r="T288" i="21" s="1"/>
  <c r="U289" i="21"/>
  <c r="U288" i="21" s="1"/>
  <c r="W289" i="21"/>
  <c r="X289" i="21"/>
  <c r="X288" i="21" s="1"/>
  <c r="Y289" i="21"/>
  <c r="Y288" i="21" s="1"/>
  <c r="Z289" i="21"/>
  <c r="Z288" i="21" s="1"/>
  <c r="AA289" i="21"/>
  <c r="Q289" i="21"/>
  <c r="AA294" i="21"/>
  <c r="Q294" i="21"/>
  <c r="Q331" i="6"/>
  <c r="Z331" i="6"/>
  <c r="AC335" i="6"/>
  <c r="J313" i="21"/>
  <c r="R312" i="21"/>
  <c r="Q312" i="21"/>
  <c r="AO311" i="21"/>
  <c r="AN311" i="21"/>
  <c r="AM311" i="21"/>
  <c r="AL311" i="21"/>
  <c r="AK311" i="21"/>
  <c r="AJ311" i="21"/>
  <c r="AI311" i="21"/>
  <c r="AH311" i="21"/>
  <c r="AG311" i="21"/>
  <c r="AF311" i="21"/>
  <c r="AE311" i="21"/>
  <c r="AD311" i="21"/>
  <c r="AC311" i="21"/>
  <c r="AB311" i="21"/>
  <c r="AA311" i="21"/>
  <c r="Y311" i="21"/>
  <c r="X311" i="21"/>
  <c r="W311" i="21"/>
  <c r="V311" i="21"/>
  <c r="U311" i="21"/>
  <c r="T311" i="21"/>
  <c r="S311" i="21"/>
  <c r="R311" i="21"/>
  <c r="Q311" i="21"/>
  <c r="P311" i="21"/>
  <c r="O311" i="21"/>
  <c r="N311" i="21"/>
  <c r="M311" i="21"/>
  <c r="L311" i="21"/>
  <c r="J311" i="21" s="1"/>
  <c r="J310" i="21"/>
  <c r="R309" i="21"/>
  <c r="Q309" i="21"/>
  <c r="AO308" i="21"/>
  <c r="AN308" i="21"/>
  <c r="AM308" i="21"/>
  <c r="AL308" i="21"/>
  <c r="AK308" i="21"/>
  <c r="AJ308" i="21"/>
  <c r="AI308" i="21"/>
  <c r="AH308" i="21"/>
  <c r="AG308" i="21"/>
  <c r="AF308" i="21"/>
  <c r="AE308" i="21"/>
  <c r="AD308" i="21"/>
  <c r="AC308" i="21"/>
  <c r="AB308" i="21"/>
  <c r="AA308" i="21"/>
  <c r="Y308" i="21"/>
  <c r="X308" i="21"/>
  <c r="W308" i="21"/>
  <c r="V308" i="21"/>
  <c r="U308" i="21"/>
  <c r="T308" i="21"/>
  <c r="S308" i="21"/>
  <c r="R308" i="21"/>
  <c r="Q308" i="21"/>
  <c r="P308" i="21"/>
  <c r="O308" i="21"/>
  <c r="N308" i="21"/>
  <c r="M308" i="21"/>
  <c r="L308" i="21"/>
  <c r="J308" i="21" s="1"/>
  <c r="J300" i="21"/>
  <c r="R299" i="21"/>
  <c r="Q299" i="21"/>
  <c r="AO298" i="21"/>
  <c r="AN298" i="21"/>
  <c r="AM298" i="21"/>
  <c r="AL298" i="21"/>
  <c r="AK298" i="21"/>
  <c r="AJ298" i="21"/>
  <c r="AI298" i="21"/>
  <c r="AH298" i="21"/>
  <c r="AG298" i="21"/>
  <c r="AF298" i="21"/>
  <c r="AE298" i="21"/>
  <c r="AD298" i="21"/>
  <c r="AC298" i="21"/>
  <c r="AB298" i="21"/>
  <c r="AA298" i="21"/>
  <c r="Y298" i="21"/>
  <c r="X298" i="21"/>
  <c r="W298" i="21"/>
  <c r="V298" i="21"/>
  <c r="U298" i="21"/>
  <c r="T298" i="21"/>
  <c r="S298" i="21"/>
  <c r="R298" i="21"/>
  <c r="Q298" i="21"/>
  <c r="P298" i="21"/>
  <c r="O298" i="21"/>
  <c r="N298" i="21"/>
  <c r="M298" i="21"/>
  <c r="L298" i="21"/>
  <c r="J298" i="21" s="1"/>
  <c r="AA295" i="21"/>
  <c r="AA293" i="21" s="1"/>
  <c r="W295" i="21"/>
  <c r="Q295" i="21"/>
  <c r="Q293" i="21" s="1"/>
  <c r="AK293" i="21"/>
  <c r="AJ293" i="21"/>
  <c r="AI293" i="21"/>
  <c r="AH293" i="21"/>
  <c r="AH247" i="21" s="1"/>
  <c r="AG293" i="21"/>
  <c r="AF293" i="21"/>
  <c r="AE293" i="21"/>
  <c r="AE289" i="21" s="1"/>
  <c r="AE288" i="21" s="1"/>
  <c r="AD293" i="21"/>
  <c r="AC293" i="21"/>
  <c r="AC288" i="21" s="1"/>
  <c r="AB293" i="21"/>
  <c r="V292" i="21"/>
  <c r="V289" i="21" s="1"/>
  <c r="P292" i="21"/>
  <c r="R290" i="21"/>
  <c r="P290" i="21" s="1"/>
  <c r="J289" i="21"/>
  <c r="AQ288" i="21"/>
  <c r="AQ155" i="21" s="1"/>
  <c r="AO288" i="21"/>
  <c r="AN288" i="21"/>
  <c r="AL288" i="21"/>
  <c r="AK288" i="21"/>
  <c r="AJ288" i="21"/>
  <c r="AI288" i="21"/>
  <c r="AH288" i="21"/>
  <c r="AG288" i="21"/>
  <c r="AF288" i="21"/>
  <c r="AB288" i="21"/>
  <c r="W288" i="21"/>
  <c r="P288" i="21"/>
  <c r="O288" i="21"/>
  <c r="N288" i="21"/>
  <c r="M288" i="21"/>
  <c r="L288" i="21"/>
  <c r="J288" i="21" s="1"/>
  <c r="J287" i="21"/>
  <c r="R286" i="21"/>
  <c r="Q286" i="21"/>
  <c r="AO285" i="21"/>
  <c r="AN285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AB285" i="21"/>
  <c r="AA285" i="21"/>
  <c r="Z285" i="21"/>
  <c r="Y285" i="21"/>
  <c r="X285" i="21"/>
  <c r="W285" i="21"/>
  <c r="V285" i="21"/>
  <c r="U285" i="21"/>
  <c r="T285" i="21"/>
  <c r="S285" i="21"/>
  <c r="Q285" i="21"/>
  <c r="P285" i="21"/>
  <c r="O285" i="21"/>
  <c r="N285" i="21"/>
  <c r="M285" i="21"/>
  <c r="L285" i="21"/>
  <c r="J285" i="21" s="1"/>
  <c r="J284" i="21"/>
  <c r="Q283" i="21"/>
  <c r="AA282" i="21"/>
  <c r="R282" i="21"/>
  <c r="R279" i="21" s="1"/>
  <c r="R278" i="21" s="1"/>
  <c r="Q282" i="21"/>
  <c r="Q281" i="21"/>
  <c r="Q279" i="21" s="1"/>
  <c r="Q278" i="21" s="1"/>
  <c r="R280" i="21"/>
  <c r="P280" i="21" s="1"/>
  <c r="Q280" i="21"/>
  <c r="AJ279" i="21"/>
  <c r="AI279" i="21"/>
  <c r="AI278" i="21" s="1"/>
  <c r="AH279" i="21"/>
  <c r="AH278" i="21" s="1"/>
  <c r="AG279" i="21"/>
  <c r="AG278" i="21" s="1"/>
  <c r="AF279" i="21"/>
  <c r="AE279" i="21"/>
  <c r="AE278" i="21" s="1"/>
  <c r="AD279" i="21"/>
  <c r="AD278" i="21" s="1"/>
  <c r="AC279" i="21"/>
  <c r="AC278" i="21" s="1"/>
  <c r="AB279" i="21"/>
  <c r="AA279" i="21"/>
  <c r="AA278" i="21" s="1"/>
  <c r="Y279" i="21"/>
  <c r="Y278" i="21" s="1"/>
  <c r="W279" i="21"/>
  <c r="W278" i="21" s="1"/>
  <c r="V279" i="21"/>
  <c r="U279" i="21"/>
  <c r="U278" i="21" s="1"/>
  <c r="T279" i="21"/>
  <c r="T278" i="21" s="1"/>
  <c r="S279" i="21"/>
  <c r="S278" i="21" s="1"/>
  <c r="J279" i="21"/>
  <c r="AO278" i="21"/>
  <c r="AN278" i="21"/>
  <c r="AJ278" i="21"/>
  <c r="AF278" i="21"/>
  <c r="AB278" i="21"/>
  <c r="X278" i="21"/>
  <c r="V278" i="21"/>
  <c r="P278" i="21"/>
  <c r="O278" i="21"/>
  <c r="N278" i="21"/>
  <c r="M278" i="21"/>
  <c r="L278" i="21"/>
  <c r="J278" i="21" s="1"/>
  <c r="J277" i="21"/>
  <c r="AA276" i="21"/>
  <c r="T276" i="21"/>
  <c r="Q276" i="21"/>
  <c r="P276" i="21"/>
  <c r="AF275" i="21"/>
  <c r="AF274" i="21" s="1"/>
  <c r="AF273" i="21" s="1"/>
  <c r="T275" i="21"/>
  <c r="T274" i="21" s="1"/>
  <c r="T273" i="21" s="1"/>
  <c r="Q275" i="21"/>
  <c r="Q274" i="21" s="1"/>
  <c r="AJ274" i="21"/>
  <c r="AJ273" i="21" s="1"/>
  <c r="AI274" i="21"/>
  <c r="AI273" i="21" s="1"/>
  <c r="AH274" i="21"/>
  <c r="AH273" i="21" s="1"/>
  <c r="AG274" i="21"/>
  <c r="AE274" i="21"/>
  <c r="AE273" i="21" s="1"/>
  <c r="AD274" i="21"/>
  <c r="AC274" i="21"/>
  <c r="AC273" i="21" s="1"/>
  <c r="AB274" i="21"/>
  <c r="AB273" i="21" s="1"/>
  <c r="AA274" i="21"/>
  <c r="AA273" i="21" s="1"/>
  <c r="Y274" i="21"/>
  <c r="W274" i="21"/>
  <c r="W273" i="21" s="1"/>
  <c r="V274" i="21"/>
  <c r="V273" i="21" s="1"/>
  <c r="U274" i="21"/>
  <c r="U273" i="21" s="1"/>
  <c r="S274" i="21"/>
  <c r="AO273" i="21"/>
  <c r="AN273" i="21"/>
  <c r="AM273" i="21"/>
  <c r="AK273" i="21"/>
  <c r="AL273" i="21" s="1"/>
  <c r="AG273" i="21"/>
  <c r="AD273" i="21"/>
  <c r="Y273" i="21"/>
  <c r="X273" i="21"/>
  <c r="O273" i="21"/>
  <c r="N273" i="21"/>
  <c r="M273" i="21"/>
  <c r="L273" i="21"/>
  <c r="J273" i="21" s="1"/>
  <c r="J272" i="21"/>
  <c r="AF271" i="21"/>
  <c r="AF270" i="21" s="1"/>
  <c r="AA271" i="21"/>
  <c r="U271" i="21"/>
  <c r="T271" i="21" s="1"/>
  <c r="T270" i="21" s="1"/>
  <c r="P271" i="21"/>
  <c r="AJ270" i="21"/>
  <c r="AJ269" i="21" s="1"/>
  <c r="AI270" i="21"/>
  <c r="AH270" i="21"/>
  <c r="AH269" i="21" s="1"/>
  <c r="AG270" i="21"/>
  <c r="AG269" i="21" s="1"/>
  <c r="AD270" i="21"/>
  <c r="AD269" i="21" s="1"/>
  <c r="AC270" i="21"/>
  <c r="AB270" i="21"/>
  <c r="AB269" i="21" s="1"/>
  <c r="Y270" i="21"/>
  <c r="Y269" i="21" s="1"/>
  <c r="X270" i="21"/>
  <c r="W270" i="21"/>
  <c r="V270" i="21"/>
  <c r="V269" i="21" s="1"/>
  <c r="U270" i="21"/>
  <c r="U269" i="21" s="1"/>
  <c r="S270" i="21"/>
  <c r="S269" i="21" s="1"/>
  <c r="R270" i="21"/>
  <c r="R269" i="21" s="1"/>
  <c r="J270" i="21"/>
  <c r="AO269" i="21"/>
  <c r="AN269" i="21"/>
  <c r="AI269" i="21"/>
  <c r="AF269" i="21"/>
  <c r="AE269" i="21"/>
  <c r="AC269" i="21"/>
  <c r="AA269" i="21"/>
  <c r="X269" i="21"/>
  <c r="W269" i="21"/>
  <c r="T269" i="21"/>
  <c r="Q269" i="21"/>
  <c r="P269" i="21"/>
  <c r="O269" i="21"/>
  <c r="N269" i="21"/>
  <c r="M269" i="21"/>
  <c r="L269" i="21"/>
  <c r="J269" i="21" s="1"/>
  <c r="AK267" i="21"/>
  <c r="AL267" i="21" s="1"/>
  <c r="O267" i="21"/>
  <c r="N267" i="21"/>
  <c r="M267" i="21"/>
  <c r="L267" i="21"/>
  <c r="AA266" i="21"/>
  <c r="V266" i="21"/>
  <c r="V265" i="21" s="1"/>
  <c r="V247" i="21" s="1"/>
  <c r="Q266" i="21"/>
  <c r="AI265" i="21"/>
  <c r="AH265" i="21"/>
  <c r="AH260" i="21" s="1"/>
  <c r="AG265" i="21"/>
  <c r="AF265" i="21"/>
  <c r="AF247" i="21" s="1"/>
  <c r="AE265" i="21"/>
  <c r="AD265" i="21"/>
  <c r="AC265" i="21"/>
  <c r="AB265" i="21"/>
  <c r="AB247" i="21" s="1"/>
  <c r="Y265" i="21"/>
  <c r="X265" i="21"/>
  <c r="W265" i="21"/>
  <c r="U265" i="21"/>
  <c r="U247" i="21" s="1"/>
  <c r="T265" i="21"/>
  <c r="S265" i="21"/>
  <c r="R265" i="21"/>
  <c r="R247" i="21" s="1"/>
  <c r="AA263" i="21"/>
  <c r="T263" i="21"/>
  <c r="Q263" i="21"/>
  <c r="AA262" i="21"/>
  <c r="T262" i="21"/>
  <c r="R262" i="21"/>
  <c r="Q262" i="21"/>
  <c r="AE261" i="21"/>
  <c r="AE260" i="21" s="1"/>
  <c r="AD261" i="21"/>
  <c r="AD260" i="21" s="1"/>
  <c r="AC261" i="21"/>
  <c r="AB261" i="21"/>
  <c r="Y261" i="21"/>
  <c r="Y260" i="21" s="1"/>
  <c r="X261" i="21"/>
  <c r="W261" i="21"/>
  <c r="V261" i="21"/>
  <c r="U261" i="21"/>
  <c r="T261" i="21"/>
  <c r="T260" i="21" s="1"/>
  <c r="S261" i="21"/>
  <c r="R261" i="21"/>
  <c r="R260" i="21" s="1"/>
  <c r="AQ260" i="21"/>
  <c r="AI260" i="21"/>
  <c r="AG260" i="21"/>
  <c r="AA260" i="21"/>
  <c r="Z260" i="21"/>
  <c r="X260" i="21"/>
  <c r="Q260" i="21"/>
  <c r="P260" i="21"/>
  <c r="O260" i="21"/>
  <c r="N260" i="21"/>
  <c r="M260" i="21"/>
  <c r="L260" i="21"/>
  <c r="J260" i="21" s="1"/>
  <c r="AF259" i="21"/>
  <c r="AF258" i="21" s="1"/>
  <c r="AF257" i="21" s="1"/>
  <c r="AA259" i="21"/>
  <c r="AA258" i="21" s="1"/>
  <c r="AA257" i="21" s="1"/>
  <c r="V259" i="21"/>
  <c r="V258" i="21" s="1"/>
  <c r="V257" i="21" s="1"/>
  <c r="R259" i="21"/>
  <c r="Q259" i="21"/>
  <c r="AO258" i="21"/>
  <c r="AO257" i="21" s="1"/>
  <c r="AN258" i="21"/>
  <c r="AM258" i="21"/>
  <c r="AL258" i="21"/>
  <c r="AL257" i="21" s="1"/>
  <c r="AK258" i="21"/>
  <c r="AJ258" i="21"/>
  <c r="AJ257" i="21" s="1"/>
  <c r="AI258" i="21"/>
  <c r="AI257" i="21" s="1"/>
  <c r="AH258" i="21"/>
  <c r="AH257" i="21" s="1"/>
  <c r="AG258" i="21"/>
  <c r="AE258" i="21"/>
  <c r="AD258" i="21"/>
  <c r="AD257" i="21" s="1"/>
  <c r="AC258" i="21"/>
  <c r="AB258" i="21"/>
  <c r="AB257" i="21" s="1"/>
  <c r="Y258" i="21"/>
  <c r="Y257" i="21" s="1"/>
  <c r="W258" i="21"/>
  <c r="W257" i="21" s="1"/>
  <c r="U258" i="21"/>
  <c r="T258" i="21"/>
  <c r="S258" i="21"/>
  <c r="S257" i="21" s="1"/>
  <c r="R258" i="21"/>
  <c r="R257" i="21" s="1"/>
  <c r="AN257" i="21"/>
  <c r="AM257" i="21"/>
  <c r="AK257" i="21"/>
  <c r="AG257" i="21"/>
  <c r="AE257" i="21"/>
  <c r="AC257" i="21"/>
  <c r="X257" i="21"/>
  <c r="U257" i="21"/>
  <c r="T257" i="21"/>
  <c r="P257" i="21"/>
  <c r="M257" i="21"/>
  <c r="L257" i="21"/>
  <c r="J257" i="21" s="1"/>
  <c r="AA255" i="21"/>
  <c r="X255" i="21"/>
  <c r="X253" i="21" s="1"/>
  <c r="X252" i="21" s="1"/>
  <c r="V255" i="21"/>
  <c r="V253" i="21" s="1"/>
  <c r="V252" i="21" s="1"/>
  <c r="Q255" i="21"/>
  <c r="AA254" i="21"/>
  <c r="Q254" i="21"/>
  <c r="AE253" i="21"/>
  <c r="AD253" i="21"/>
  <c r="AD252" i="21" s="1"/>
  <c r="AC253" i="21"/>
  <c r="AB253" i="21"/>
  <c r="AB252" i="21" s="1"/>
  <c r="AA253" i="21"/>
  <c r="AA252" i="21" s="1"/>
  <c r="Y253" i="21"/>
  <c r="Y252" i="21" s="1"/>
  <c r="W253" i="21"/>
  <c r="W252" i="21" s="1"/>
  <c r="U253" i="21"/>
  <c r="U252" i="21" s="1"/>
  <c r="T253" i="21"/>
  <c r="S253" i="21"/>
  <c r="S252" i="21" s="1"/>
  <c r="R253" i="21"/>
  <c r="R252" i="21" s="1"/>
  <c r="AO252" i="21"/>
  <c r="AN252" i="21"/>
  <c r="AM252" i="21"/>
  <c r="AL252" i="21"/>
  <c r="AK252" i="21"/>
  <c r="AJ252" i="21"/>
  <c r="AI252" i="21"/>
  <c r="AH252" i="21"/>
  <c r="AG252" i="21"/>
  <c r="AF252" i="21"/>
  <c r="AE252" i="21"/>
  <c r="AC252" i="21"/>
  <c r="T252" i="21"/>
  <c r="P252" i="21"/>
  <c r="O252" i="21"/>
  <c r="N252" i="21"/>
  <c r="M252" i="21"/>
  <c r="L252" i="21"/>
  <c r="AA251" i="21"/>
  <c r="AA250" i="21" s="1"/>
  <c r="Q251" i="21"/>
  <c r="Q250" i="21" s="1"/>
  <c r="AI250" i="21"/>
  <c r="AI249" i="21" s="1"/>
  <c r="AH250" i="21"/>
  <c r="AG250" i="21"/>
  <c r="AG249" i="21" s="1"/>
  <c r="AF250" i="21"/>
  <c r="AE250" i="21"/>
  <c r="AE249" i="21" s="1"/>
  <c r="AD250" i="21"/>
  <c r="AC250" i="21"/>
  <c r="AC249" i="21" s="1"/>
  <c r="AC246" i="21" s="1"/>
  <c r="AB250" i="21"/>
  <c r="Y250" i="21"/>
  <c r="Y249" i="21" s="1"/>
  <c r="Y246" i="21" s="1"/>
  <c r="X250" i="21"/>
  <c r="X249" i="21" s="1"/>
  <c r="W250" i="21"/>
  <c r="W249" i="21" s="1"/>
  <c r="V250" i="21"/>
  <c r="U250" i="21"/>
  <c r="U249" i="21" s="1"/>
  <c r="T250" i="21"/>
  <c r="T249" i="21" s="1"/>
  <c r="S250" i="21"/>
  <c r="S249" i="21" s="1"/>
  <c r="R250" i="21"/>
  <c r="AO249" i="21"/>
  <c r="AN249" i="21"/>
  <c r="AM249" i="21"/>
  <c r="AL249" i="21"/>
  <c r="AK249" i="21"/>
  <c r="AJ249" i="21"/>
  <c r="AH249" i="21"/>
  <c r="AF249" i="21"/>
  <c r="AD249" i="21"/>
  <c r="AB249" i="21"/>
  <c r="V249" i="21"/>
  <c r="R249" i="21"/>
  <c r="O249" i="21"/>
  <c r="N249" i="21"/>
  <c r="M249" i="21"/>
  <c r="L249" i="21"/>
  <c r="L248" i="21"/>
  <c r="AM247" i="21"/>
  <c r="AL247" i="21"/>
  <c r="AK247" i="21"/>
  <c r="AJ247" i="21"/>
  <c r="AG247" i="21"/>
  <c r="Y247" i="21"/>
  <c r="X247" i="21"/>
  <c r="T247" i="21"/>
  <c r="P247" i="21"/>
  <c r="O247" i="21"/>
  <c r="N247" i="21"/>
  <c r="M247" i="21"/>
  <c r="L247" i="21"/>
  <c r="K246" i="21"/>
  <c r="L245" i="21"/>
  <c r="AO243" i="21"/>
  <c r="AN243" i="21"/>
  <c r="AM243" i="21"/>
  <c r="AL243" i="21"/>
  <c r="AK243" i="21"/>
  <c r="AG243" i="21"/>
  <c r="AF243" i="21"/>
  <c r="AE243" i="21"/>
  <c r="AD243" i="21"/>
  <c r="AC243" i="21"/>
  <c r="AB243" i="21"/>
  <c r="Y243" i="21"/>
  <c r="Y242" i="21" s="1"/>
  <c r="X243" i="21"/>
  <c r="X242" i="21" s="1"/>
  <c r="W243" i="21"/>
  <c r="V243" i="21"/>
  <c r="U243" i="21"/>
  <c r="U242" i="21" s="1"/>
  <c r="T243" i="21"/>
  <c r="T242" i="21" s="1"/>
  <c r="S243" i="21"/>
  <c r="S242" i="21" s="1"/>
  <c r="R243" i="21"/>
  <c r="O243" i="21"/>
  <c r="L243" i="21" s="1"/>
  <c r="L242" i="21" s="1"/>
  <c r="AO242" i="21"/>
  <c r="AN242" i="21"/>
  <c r="AJ242" i="21"/>
  <c r="AI242" i="21"/>
  <c r="AH242" i="21"/>
  <c r="AG242" i="21"/>
  <c r="AF242" i="21"/>
  <c r="AE242" i="21"/>
  <c r="AD242" i="21"/>
  <c r="AC242" i="21"/>
  <c r="AB242" i="21"/>
  <c r="AA242" i="21"/>
  <c r="Z242" i="21"/>
  <c r="W242" i="21"/>
  <c r="V242" i="21"/>
  <c r="R242" i="21"/>
  <c r="Q242" i="21"/>
  <c r="P242" i="21"/>
  <c r="O242" i="21"/>
  <c r="N242" i="21"/>
  <c r="M242" i="21"/>
  <c r="AA240" i="21"/>
  <c r="R240" i="21"/>
  <c r="Q240" i="21"/>
  <c r="Q239" i="21" s="1"/>
  <c r="Q238" i="21" s="1"/>
  <c r="L240" i="21"/>
  <c r="AO239" i="21"/>
  <c r="AN239" i="21"/>
  <c r="AM239" i="21"/>
  <c r="AL239" i="21"/>
  <c r="AK239" i="21"/>
  <c r="AG239" i="21"/>
  <c r="AG238" i="21" s="1"/>
  <c r="AF239" i="21"/>
  <c r="AE239" i="21"/>
  <c r="AE238" i="21" s="1"/>
  <c r="AE232" i="21" s="1"/>
  <c r="AD239" i="21"/>
  <c r="AC239" i="21"/>
  <c r="AC238" i="21" s="1"/>
  <c r="AC232" i="21" s="1"/>
  <c r="AB239" i="21"/>
  <c r="AA239" i="21"/>
  <c r="AA238" i="21" s="1"/>
  <c r="AA232" i="21" s="1"/>
  <c r="Y239" i="21"/>
  <c r="X239" i="21"/>
  <c r="X238" i="21" s="1"/>
  <c r="X232" i="21" s="1"/>
  <c r="W239" i="21"/>
  <c r="V239" i="21"/>
  <c r="V238" i="21" s="1"/>
  <c r="V232" i="21" s="1"/>
  <c r="U239" i="21"/>
  <c r="T239" i="21"/>
  <c r="T238" i="21" s="1"/>
  <c r="T232" i="21" s="1"/>
  <c r="S239" i="21"/>
  <c r="S238" i="21" s="1"/>
  <c r="S232" i="21" s="1"/>
  <c r="O239" i="21"/>
  <c r="L239" i="21" s="1"/>
  <c r="L238" i="21" s="1"/>
  <c r="L232" i="21" s="1"/>
  <c r="AO238" i="21"/>
  <c r="AN238" i="21"/>
  <c r="AN232" i="21" s="1"/>
  <c r="AJ238" i="21"/>
  <c r="AI238" i="21"/>
  <c r="AI232" i="21" s="1"/>
  <c r="AH238" i="21"/>
  <c r="AF238" i="21"/>
  <c r="AD238" i="21"/>
  <c r="AD232" i="21" s="1"/>
  <c r="AB238" i="21"/>
  <c r="AB232" i="21" s="1"/>
  <c r="Z238" i="21"/>
  <c r="Y238" i="21"/>
  <c r="Y232" i="21" s="1"/>
  <c r="W238" i="21"/>
  <c r="W232" i="21" s="1"/>
  <c r="U238" i="21"/>
  <c r="U232" i="21" s="1"/>
  <c r="N238" i="21"/>
  <c r="N232" i="21" s="1"/>
  <c r="M238" i="21"/>
  <c r="AO235" i="21"/>
  <c r="AN235" i="21"/>
  <c r="AM235" i="21"/>
  <c r="AL235" i="21"/>
  <c r="AK235" i="21"/>
  <c r="AJ235" i="21"/>
  <c r="AI235" i="21"/>
  <c r="AH235" i="21"/>
  <c r="AG235" i="21"/>
  <c r="AF235" i="21"/>
  <c r="AE235" i="21"/>
  <c r="AD235" i="21"/>
  <c r="AC235" i="21"/>
  <c r="AB235" i="21"/>
  <c r="AA235" i="21"/>
  <c r="Y235" i="21"/>
  <c r="X235" i="21"/>
  <c r="W235" i="21"/>
  <c r="V235" i="21"/>
  <c r="U235" i="21"/>
  <c r="T235" i="21"/>
  <c r="S235" i="21"/>
  <c r="R235" i="21"/>
  <c r="Q235" i="21"/>
  <c r="P235" i="21"/>
  <c r="O235" i="21"/>
  <c r="N235" i="21"/>
  <c r="M235" i="21"/>
  <c r="L235" i="21"/>
  <c r="L234" i="21"/>
  <c r="L233" i="21"/>
  <c r="M232" i="21"/>
  <c r="K232" i="21"/>
  <c r="L231" i="21"/>
  <c r="AO229" i="21"/>
  <c r="AN229" i="21"/>
  <c r="AM229" i="21"/>
  <c r="AL229" i="21"/>
  <c r="AK229" i="21"/>
  <c r="AJ229" i="21"/>
  <c r="AI229" i="21"/>
  <c r="AH229" i="21"/>
  <c r="AG229" i="21"/>
  <c r="AF229" i="21"/>
  <c r="AE229" i="21"/>
  <c r="AD229" i="21"/>
  <c r="AC229" i="21"/>
  <c r="AB229" i="21"/>
  <c r="AA229" i="21"/>
  <c r="Y229" i="21"/>
  <c r="X229" i="21"/>
  <c r="W229" i="21"/>
  <c r="V229" i="21"/>
  <c r="U229" i="21"/>
  <c r="T229" i="21"/>
  <c r="S229" i="21"/>
  <c r="R229" i="21"/>
  <c r="Q229" i="21"/>
  <c r="P229" i="21"/>
  <c r="O229" i="21"/>
  <c r="N229" i="21"/>
  <c r="M229" i="21"/>
  <c r="L229" i="21"/>
  <c r="AO227" i="21"/>
  <c r="AN227" i="21"/>
  <c r="AM227" i="21"/>
  <c r="AL227" i="21"/>
  <c r="AK227" i="21"/>
  <c r="AJ227" i="21"/>
  <c r="AI227" i="21"/>
  <c r="AH227" i="21"/>
  <c r="AG227" i="21"/>
  <c r="AF227" i="21"/>
  <c r="AE227" i="21"/>
  <c r="AD227" i="21"/>
  <c r="AC227" i="21"/>
  <c r="AB227" i="21"/>
  <c r="AA227" i="21"/>
  <c r="Y227" i="21"/>
  <c r="X227" i="21"/>
  <c r="X206" i="21" s="1"/>
  <c r="X158" i="21" s="1"/>
  <c r="W227" i="21"/>
  <c r="V227" i="21"/>
  <c r="U227" i="21"/>
  <c r="T227" i="21"/>
  <c r="S227" i="21"/>
  <c r="R227" i="21"/>
  <c r="Q227" i="21"/>
  <c r="P227" i="21"/>
  <c r="P206" i="21" s="1"/>
  <c r="O227" i="21"/>
  <c r="N227" i="21"/>
  <c r="M227" i="21"/>
  <c r="L227" i="21"/>
  <c r="AO225" i="21"/>
  <c r="AN225" i="21"/>
  <c r="AM225" i="21"/>
  <c r="AL225" i="21"/>
  <c r="AK225" i="21"/>
  <c r="AJ225" i="21"/>
  <c r="AI225" i="21"/>
  <c r="AH225" i="21"/>
  <c r="AG225" i="21"/>
  <c r="AF225" i="21"/>
  <c r="AE225" i="21"/>
  <c r="AD225" i="21"/>
  <c r="AC225" i="21"/>
  <c r="AB225" i="21"/>
  <c r="AA225" i="21"/>
  <c r="Y225" i="21"/>
  <c r="X225" i="21"/>
  <c r="W225" i="21"/>
  <c r="V225" i="21"/>
  <c r="U225" i="21"/>
  <c r="T225" i="21"/>
  <c r="S225" i="21"/>
  <c r="R225" i="21"/>
  <c r="R206" i="21" s="1"/>
  <c r="R158" i="21" s="1"/>
  <c r="Q225" i="21"/>
  <c r="P225" i="21"/>
  <c r="O225" i="21"/>
  <c r="N225" i="21"/>
  <c r="N206" i="21" s="1"/>
  <c r="M225" i="21"/>
  <c r="L225" i="21"/>
  <c r="Q224" i="21"/>
  <c r="Q223" i="21"/>
  <c r="Q222" i="21"/>
  <c r="Q220" i="21" s="1"/>
  <c r="Q219" i="21" s="1"/>
  <c r="Q221" i="21"/>
  <c r="AJ220" i="21"/>
  <c r="AI220" i="21"/>
  <c r="AI219" i="21" s="1"/>
  <c r="AH220" i="21"/>
  <c r="AH219" i="21" s="1"/>
  <c r="AG220" i="21"/>
  <c r="AG219" i="21" s="1"/>
  <c r="AF220" i="21"/>
  <c r="AE220" i="21"/>
  <c r="AE219" i="21" s="1"/>
  <c r="AD220" i="21"/>
  <c r="AD219" i="21" s="1"/>
  <c r="AC220" i="21"/>
  <c r="AC219" i="21" s="1"/>
  <c r="AB220" i="21"/>
  <c r="AA220" i="21"/>
  <c r="AA219" i="21" s="1"/>
  <c r="Y220" i="21"/>
  <c r="Y219" i="21" s="1"/>
  <c r="W220" i="21"/>
  <c r="W219" i="21" s="1"/>
  <c r="V220" i="21"/>
  <c r="U220" i="21"/>
  <c r="U219" i="21" s="1"/>
  <c r="T220" i="21"/>
  <c r="T219" i="21" s="1"/>
  <c r="S220" i="21"/>
  <c r="R220" i="21"/>
  <c r="R219" i="21" s="1"/>
  <c r="AO219" i="21"/>
  <c r="AN219" i="21"/>
  <c r="AM219" i="21"/>
  <c r="AL219" i="21"/>
  <c r="AK219" i="21"/>
  <c r="AJ219" i="21"/>
  <c r="AF219" i="21"/>
  <c r="AB219" i="21"/>
  <c r="X219" i="21"/>
  <c r="V219" i="21"/>
  <c r="S219" i="21"/>
  <c r="P219" i="21"/>
  <c r="O219" i="21"/>
  <c r="N219" i="21"/>
  <c r="M219" i="21"/>
  <c r="L219" i="21"/>
  <c r="Q218" i="21"/>
  <c r="Q217" i="21"/>
  <c r="Q216" i="21"/>
  <c r="Q215" i="21"/>
  <c r="AO214" i="21"/>
  <c r="AO213" i="21" s="1"/>
  <c r="AN214" i="21"/>
  <c r="AN213" i="21" s="1"/>
  <c r="AM214" i="21"/>
  <c r="AM213" i="21" s="1"/>
  <c r="AL214" i="21"/>
  <c r="AK214" i="21"/>
  <c r="AK213" i="21" s="1"/>
  <c r="AJ214" i="21"/>
  <c r="AJ213" i="21" s="1"/>
  <c r="AI214" i="21"/>
  <c r="AI213" i="21" s="1"/>
  <c r="AH214" i="21"/>
  <c r="AH213" i="21" s="1"/>
  <c r="AG214" i="21"/>
  <c r="AG213" i="21" s="1"/>
  <c r="AF214" i="21"/>
  <c r="AF213" i="21" s="1"/>
  <c r="AE214" i="21"/>
  <c r="AE213" i="21" s="1"/>
  <c r="AD214" i="21"/>
  <c r="AD213" i="21" s="1"/>
  <c r="AC214" i="21"/>
  <c r="AC213" i="21" s="1"/>
  <c r="AB214" i="21"/>
  <c r="AB213" i="21" s="1"/>
  <c r="AA214" i="21"/>
  <c r="AA213" i="21" s="1"/>
  <c r="Y214" i="21"/>
  <c r="Y213" i="21" s="1"/>
  <c r="W214" i="21"/>
  <c r="W213" i="21" s="1"/>
  <c r="V214" i="21"/>
  <c r="V213" i="21" s="1"/>
  <c r="U214" i="21"/>
  <c r="T214" i="21"/>
  <c r="T213" i="21" s="1"/>
  <c r="S214" i="21"/>
  <c r="S213" i="21" s="1"/>
  <c r="R214" i="21"/>
  <c r="R213" i="21" s="1"/>
  <c r="AL213" i="21"/>
  <c r="X213" i="21"/>
  <c r="U213" i="21"/>
  <c r="P213" i="21"/>
  <c r="O213" i="21"/>
  <c r="N213" i="21"/>
  <c r="M213" i="21"/>
  <c r="M205" i="21" s="1"/>
  <c r="L213" i="21"/>
  <c r="AF211" i="21"/>
  <c r="AF209" i="21" s="1"/>
  <c r="AF208" i="21" s="1"/>
  <c r="AA211" i="21"/>
  <c r="U211" i="21"/>
  <c r="AA210" i="21"/>
  <c r="V210" i="21"/>
  <c r="Q210" i="21" s="1"/>
  <c r="AO209" i="21"/>
  <c r="AN209" i="21"/>
  <c r="AN208" i="21" s="1"/>
  <c r="AN205" i="21" s="1"/>
  <c r="AM209" i="21"/>
  <c r="AL209" i="21"/>
  <c r="AK209" i="21"/>
  <c r="AJ209" i="21"/>
  <c r="AJ208" i="21" s="1"/>
  <c r="AI209" i="21"/>
  <c r="AH209" i="21"/>
  <c r="AH208" i="21" s="1"/>
  <c r="AG209" i="21"/>
  <c r="AE209" i="21"/>
  <c r="AE208" i="21" s="1"/>
  <c r="AD209" i="21"/>
  <c r="AC209" i="21"/>
  <c r="AC208" i="21" s="1"/>
  <c r="AB209" i="21"/>
  <c r="Y209" i="21"/>
  <c r="Y208" i="21" s="1"/>
  <c r="Y205" i="21" s="1"/>
  <c r="X209" i="21"/>
  <c r="W209" i="21"/>
  <c r="W208" i="21" s="1"/>
  <c r="S209" i="21"/>
  <c r="S208" i="21" s="1"/>
  <c r="S205" i="21" s="1"/>
  <c r="R209" i="21"/>
  <c r="R208" i="21" s="1"/>
  <c r="AO208" i="21"/>
  <c r="AI208" i="21"/>
  <c r="AG208" i="21"/>
  <c r="AD208" i="21"/>
  <c r="AB208" i="21"/>
  <c r="AA208" i="21"/>
  <c r="X208" i="21"/>
  <c r="X205" i="21" s="1"/>
  <c r="Q208" i="21"/>
  <c r="P208" i="21"/>
  <c r="O208" i="21"/>
  <c r="O205" i="21" s="1"/>
  <c r="N208" i="21"/>
  <c r="N205" i="21" s="1"/>
  <c r="M208" i="21"/>
  <c r="L208" i="21"/>
  <c r="AJ206" i="21"/>
  <c r="AJ158" i="21" s="1"/>
  <c r="AG206" i="21"/>
  <c r="AG158" i="21" s="1"/>
  <c r="AF206" i="21"/>
  <c r="AB206" i="21"/>
  <c r="W206" i="21"/>
  <c r="S206" i="21"/>
  <c r="O206" i="21"/>
  <c r="AO205" i="21"/>
  <c r="K205" i="21"/>
  <c r="J205" i="21"/>
  <c r="P201" i="21"/>
  <c r="P198" i="21"/>
  <c r="P195" i="21"/>
  <c r="AA193" i="21"/>
  <c r="X193" i="21"/>
  <c r="Q193" i="21"/>
  <c r="AA192" i="21"/>
  <c r="X192" i="21"/>
  <c r="Q192" i="21"/>
  <c r="AA191" i="21"/>
  <c r="AA190" i="21"/>
  <c r="T190" i="21"/>
  <c r="R190" i="21"/>
  <c r="Q190" i="21"/>
  <c r="X189" i="21"/>
  <c r="Q189" i="21"/>
  <c r="AJ188" i="21"/>
  <c r="AJ187" i="21" s="1"/>
  <c r="AI188" i="21"/>
  <c r="AH188" i="21"/>
  <c r="AH187" i="21" s="1"/>
  <c r="AG188" i="21"/>
  <c r="AG187" i="21" s="1"/>
  <c r="AF188" i="21"/>
  <c r="AF187" i="21" s="1"/>
  <c r="AE188" i="21"/>
  <c r="AE187" i="21" s="1"/>
  <c r="AD188" i="21"/>
  <c r="AD187" i="21" s="1"/>
  <c r="AC188" i="21"/>
  <c r="AC187" i="21" s="1"/>
  <c r="AB188" i="21"/>
  <c r="AB187" i="21" s="1"/>
  <c r="S188" i="21"/>
  <c r="S187" i="21" s="1"/>
  <c r="R188" i="21"/>
  <c r="R187" i="21" s="1"/>
  <c r="AO187" i="21"/>
  <c r="AN187" i="21"/>
  <c r="AM187" i="21"/>
  <c r="AL187" i="21"/>
  <c r="AK187" i="21"/>
  <c r="AI187" i="21"/>
  <c r="Y187" i="21"/>
  <c r="X187" i="21"/>
  <c r="W187" i="21"/>
  <c r="V187" i="21"/>
  <c r="U187" i="21"/>
  <c r="T187" i="21"/>
  <c r="Q187" i="21"/>
  <c r="P187" i="21"/>
  <c r="O187" i="21"/>
  <c r="N187" i="21"/>
  <c r="M187" i="21"/>
  <c r="L187" i="21"/>
  <c r="AA186" i="21"/>
  <c r="Q186" i="21"/>
  <c r="AG185" i="21"/>
  <c r="AF185" i="21"/>
  <c r="AE185" i="21"/>
  <c r="AD185" i="21"/>
  <c r="AC185" i="21"/>
  <c r="AB185" i="21"/>
  <c r="AA185" i="21"/>
  <c r="Y185" i="21"/>
  <c r="Y184" i="21" s="1"/>
  <c r="X185" i="21"/>
  <c r="X184" i="21" s="1"/>
  <c r="W185" i="21"/>
  <c r="W184" i="21" s="1"/>
  <c r="V185" i="21"/>
  <c r="V184" i="21" s="1"/>
  <c r="U185" i="21"/>
  <c r="U184" i="21" s="1"/>
  <c r="T185" i="21"/>
  <c r="T184" i="21" s="1"/>
  <c r="S185" i="21"/>
  <c r="S184" i="21" s="1"/>
  <c r="R185" i="21"/>
  <c r="R184" i="21" s="1"/>
  <c r="Q185" i="21"/>
  <c r="AO184" i="21"/>
  <c r="AN184" i="21"/>
  <c r="AM184" i="21"/>
  <c r="AL184" i="21"/>
  <c r="AK184" i="21"/>
  <c r="AJ184" i="21"/>
  <c r="AI184" i="21"/>
  <c r="AH184" i="21"/>
  <c r="AG184" i="21"/>
  <c r="AF184" i="21"/>
  <c r="AE184" i="21"/>
  <c r="AD184" i="21"/>
  <c r="AC184" i="21"/>
  <c r="AB184" i="21"/>
  <c r="O184" i="21"/>
  <c r="N184" i="21"/>
  <c r="M184" i="21"/>
  <c r="L184" i="21"/>
  <c r="AA183" i="21"/>
  <c r="AA181" i="21" s="1"/>
  <c r="AA180" i="21" s="1"/>
  <c r="Q183" i="21"/>
  <c r="Q180" i="21" s="1"/>
  <c r="AE181" i="21"/>
  <c r="AE180" i="21" s="1"/>
  <c r="AD181" i="21"/>
  <c r="AD180" i="21" s="1"/>
  <c r="AC181" i="21"/>
  <c r="AC180" i="21" s="1"/>
  <c r="AB181" i="21"/>
  <c r="AB180" i="21" s="1"/>
  <c r="Y181" i="21"/>
  <c r="X181" i="21"/>
  <c r="W181" i="21"/>
  <c r="W180" i="21" s="1"/>
  <c r="V181" i="21"/>
  <c r="V180" i="21" s="1"/>
  <c r="U181" i="21"/>
  <c r="T181" i="21"/>
  <c r="T180" i="21" s="1"/>
  <c r="AO180" i="21"/>
  <c r="AN180" i="21"/>
  <c r="AM180" i="21"/>
  <c r="AL180" i="21"/>
  <c r="AK180" i="21"/>
  <c r="AJ180" i="21"/>
  <c r="AI180" i="21"/>
  <c r="AH180" i="21"/>
  <c r="AG180" i="21"/>
  <c r="AF180" i="21"/>
  <c r="Z180" i="21"/>
  <c r="Y180" i="21"/>
  <c r="X180" i="21"/>
  <c r="U180" i="21"/>
  <c r="S180" i="21"/>
  <c r="R180" i="21"/>
  <c r="P180" i="21"/>
  <c r="O180" i="21"/>
  <c r="N180" i="21"/>
  <c r="M180" i="21"/>
  <c r="L180" i="21"/>
  <c r="AF179" i="21"/>
  <c r="R179" i="21"/>
  <c r="Q179" i="21"/>
  <c r="AA178" i="21"/>
  <c r="AF177" i="21"/>
  <c r="AA177" i="21"/>
  <c r="Q177" i="21"/>
  <c r="AF176" i="21"/>
  <c r="AA176" i="21"/>
  <c r="R176" i="21"/>
  <c r="Q176" i="21"/>
  <c r="AF175" i="21"/>
  <c r="Q175" i="21"/>
  <c r="AF174" i="21"/>
  <c r="Q174" i="21"/>
  <c r="AF173" i="21"/>
  <c r="R173" i="21"/>
  <c r="Q173" i="21"/>
  <c r="AO172" i="21"/>
  <c r="AO171" i="21" s="1"/>
  <c r="AN172" i="21"/>
  <c r="AM172" i="21"/>
  <c r="AL172" i="21"/>
  <c r="AK172" i="21"/>
  <c r="AH172" i="21"/>
  <c r="AG172" i="21"/>
  <c r="AE172" i="21"/>
  <c r="AE171" i="21" s="1"/>
  <c r="AD172" i="21"/>
  <c r="AD171" i="21" s="1"/>
  <c r="AC172" i="21"/>
  <c r="AC171" i="21" s="1"/>
  <c r="AB172" i="21"/>
  <c r="AB171" i="21" s="1"/>
  <c r="Y172" i="21"/>
  <c r="Y171" i="21" s="1"/>
  <c r="W172" i="21"/>
  <c r="V172" i="21"/>
  <c r="U172" i="21"/>
  <c r="U171" i="21" s="1"/>
  <c r="T172" i="21"/>
  <c r="T171" i="21" s="1"/>
  <c r="S172" i="21"/>
  <c r="S171" i="21" s="1"/>
  <c r="AN171" i="21"/>
  <c r="AL171" i="21"/>
  <c r="AJ171" i="21"/>
  <c r="AI171" i="21"/>
  <c r="AH171" i="21"/>
  <c r="X171" i="21"/>
  <c r="W171" i="21"/>
  <c r="V171" i="21"/>
  <c r="Q171" i="21"/>
  <c r="AM171" i="21" s="1"/>
  <c r="O171" i="21"/>
  <c r="N171" i="21"/>
  <c r="M171" i="21"/>
  <c r="L171" i="21"/>
  <c r="J171" i="21" s="1"/>
  <c r="J160" i="21" s="1"/>
  <c r="J156" i="21" s="1"/>
  <c r="AA169" i="21"/>
  <c r="R169" i="21"/>
  <c r="R168" i="21" s="1"/>
  <c r="R167" i="21" s="1"/>
  <c r="Q169" i="21"/>
  <c r="AG168" i="21"/>
  <c r="AF168" i="21"/>
  <c r="AF167" i="21" s="1"/>
  <c r="AE168" i="21"/>
  <c r="AE167" i="21" s="1"/>
  <c r="AD168" i="21"/>
  <c r="AD167" i="21" s="1"/>
  <c r="AC168" i="21"/>
  <c r="AB168" i="21"/>
  <c r="Y168" i="21"/>
  <c r="Y167" i="21" s="1"/>
  <c r="X168" i="21"/>
  <c r="X167" i="21" s="1"/>
  <c r="W168" i="21"/>
  <c r="W167" i="21" s="1"/>
  <c r="V168" i="21"/>
  <c r="V167" i="21" s="1"/>
  <c r="U168" i="21"/>
  <c r="U167" i="21" s="1"/>
  <c r="T168" i="21"/>
  <c r="T167" i="21" s="1"/>
  <c r="S168" i="21"/>
  <c r="S167" i="21" s="1"/>
  <c r="AO167" i="21"/>
  <c r="AN167" i="21"/>
  <c r="AJ167" i="21"/>
  <c r="AI167" i="21"/>
  <c r="AH167" i="21"/>
  <c r="AG167" i="21"/>
  <c r="AC167" i="21"/>
  <c r="AB167" i="21"/>
  <c r="AA167" i="21"/>
  <c r="Q167" i="21"/>
  <c r="P167" i="21"/>
  <c r="O167" i="21"/>
  <c r="N167" i="21"/>
  <c r="M167" i="21"/>
  <c r="L167" i="21"/>
  <c r="K167" i="21"/>
  <c r="AA166" i="21"/>
  <c r="AA165" i="21" s="1"/>
  <c r="T166" i="21"/>
  <c r="T165" i="21" s="1"/>
  <c r="T164" i="21" s="1"/>
  <c r="R166" i="21"/>
  <c r="R165" i="21" s="1"/>
  <c r="R164" i="21" s="1"/>
  <c r="Q166" i="21"/>
  <c r="AK165" i="21"/>
  <c r="AJ165" i="21"/>
  <c r="AJ164" i="21" s="1"/>
  <c r="AI165" i="21"/>
  <c r="AH165" i="21"/>
  <c r="AG165" i="21"/>
  <c r="AG164" i="21" s="1"/>
  <c r="AF165" i="21"/>
  <c r="AF164" i="21" s="1"/>
  <c r="AE165" i="21"/>
  <c r="AE164" i="21" s="1"/>
  <c r="AD165" i="21"/>
  <c r="AD164" i="21" s="1"/>
  <c r="AC165" i="21"/>
  <c r="AC164" i="21" s="1"/>
  <c r="AB165" i="21"/>
  <c r="AB164" i="21" s="1"/>
  <c r="Y165" i="21"/>
  <c r="Y164" i="21" s="1"/>
  <c r="X165" i="21"/>
  <c r="X164" i="21" s="1"/>
  <c r="W165" i="21"/>
  <c r="W164" i="21" s="1"/>
  <c r="V165" i="21"/>
  <c r="V164" i="21" s="1"/>
  <c r="U165" i="21"/>
  <c r="U164" i="21" s="1"/>
  <c r="S165" i="21"/>
  <c r="S164" i="21" s="1"/>
  <c r="Q165" i="21"/>
  <c r="AO164" i="21"/>
  <c r="AN164" i="21"/>
  <c r="AM164" i="21"/>
  <c r="AL164" i="21"/>
  <c r="AK164" i="21"/>
  <c r="AI164" i="21"/>
  <c r="AI160" i="21" s="1"/>
  <c r="AI156" i="21" s="1"/>
  <c r="AH164" i="21"/>
  <c r="AH160" i="21" s="1"/>
  <c r="AH156" i="21" s="1"/>
  <c r="O164" i="21"/>
  <c r="O160" i="21" s="1"/>
  <c r="O156" i="21" s="1"/>
  <c r="N164" i="21"/>
  <c r="M164" i="21"/>
  <c r="L164" i="21"/>
  <c r="L163" i="21"/>
  <c r="P162" i="21"/>
  <c r="N162" i="21"/>
  <c r="M162" i="21"/>
  <c r="L162" i="21"/>
  <c r="L161" i="21"/>
  <c r="K160" i="21"/>
  <c r="K156" i="21" s="1"/>
  <c r="AO159" i="21"/>
  <c r="AN159" i="21"/>
  <c r="AM159" i="21"/>
  <c r="AL159" i="21"/>
  <c r="AK159" i="21"/>
  <c r="AJ159" i="21"/>
  <c r="AI159" i="21"/>
  <c r="AH159" i="21"/>
  <c r="AG159" i="21"/>
  <c r="AF159" i="21"/>
  <c r="AE159" i="21"/>
  <c r="AD159" i="21"/>
  <c r="AC159" i="21"/>
  <c r="AB159" i="21"/>
  <c r="AA159" i="21"/>
  <c r="Y159" i="21"/>
  <c r="X159" i="21"/>
  <c r="W159" i="21"/>
  <c r="V159" i="21"/>
  <c r="U159" i="21"/>
  <c r="T159" i="21"/>
  <c r="S159" i="21"/>
  <c r="R159" i="21"/>
  <c r="Q159" i="21"/>
  <c r="P159" i="21"/>
  <c r="O159" i="21"/>
  <c r="N159" i="21"/>
  <c r="M159" i="21"/>
  <c r="K159" i="21"/>
  <c r="J159" i="21"/>
  <c r="AO158" i="21"/>
  <c r="AN158" i="21"/>
  <c r="AM158" i="21"/>
  <c r="AL158" i="21"/>
  <c r="AK158" i="21"/>
  <c r="AF158" i="21"/>
  <c r="O158" i="21"/>
  <c r="K158" i="21"/>
  <c r="J158" i="21"/>
  <c r="Z155" i="21"/>
  <c r="AA151" i="21"/>
  <c r="R151" i="21"/>
  <c r="R149" i="21" s="1"/>
  <c r="R148" i="21" s="1"/>
  <c r="Q151" i="21"/>
  <c r="AA150" i="21"/>
  <c r="T150" i="21"/>
  <c r="T149" i="21" s="1"/>
  <c r="Q150" i="21"/>
  <c r="AE149" i="21"/>
  <c r="AD149" i="21"/>
  <c r="AD148" i="21" s="1"/>
  <c r="AC149" i="21"/>
  <c r="AB149" i="21"/>
  <c r="AB148" i="21" s="1"/>
  <c r="Y149" i="21"/>
  <c r="Y148" i="21" s="1"/>
  <c r="X149" i="21"/>
  <c r="X148" i="21" s="1"/>
  <c r="W149" i="21"/>
  <c r="W148" i="21" s="1"/>
  <c r="V149" i="21"/>
  <c r="V148" i="21" s="1"/>
  <c r="U149" i="21"/>
  <c r="U148" i="21" s="1"/>
  <c r="S149" i="21"/>
  <c r="S148" i="21" s="1"/>
  <c r="AO148" i="21"/>
  <c r="AN148" i="21"/>
  <c r="AJ148" i="21"/>
  <c r="AI148" i="21"/>
  <c r="AH148" i="21"/>
  <c r="AG148" i="21"/>
  <c r="AF148" i="21"/>
  <c r="AE148" i="21"/>
  <c r="AC148" i="21"/>
  <c r="T148" i="21"/>
  <c r="Q148" i="21"/>
  <c r="P148" i="21"/>
  <c r="O148" i="21"/>
  <c r="N148" i="21"/>
  <c r="M148" i="21"/>
  <c r="L148" i="21"/>
  <c r="AA146" i="21"/>
  <c r="R146" i="21"/>
  <c r="R144" i="21" s="1"/>
  <c r="R143" i="21" s="1"/>
  <c r="Q146" i="21"/>
  <c r="AA145" i="21"/>
  <c r="T145" i="21"/>
  <c r="T144" i="21" s="1"/>
  <c r="T143" i="21" s="1"/>
  <c r="Q145" i="21"/>
  <c r="AE144" i="21"/>
  <c r="AE143" i="21" s="1"/>
  <c r="AD144" i="21"/>
  <c r="AD143" i="21" s="1"/>
  <c r="AC144" i="21"/>
  <c r="AB144" i="21"/>
  <c r="AB143" i="21" s="1"/>
  <c r="Y144" i="21"/>
  <c r="Y143" i="21" s="1"/>
  <c r="X144" i="21"/>
  <c r="W144" i="21"/>
  <c r="W143" i="21" s="1"/>
  <c r="V144" i="21"/>
  <c r="V143" i="21" s="1"/>
  <c r="U144" i="21"/>
  <c r="U143" i="21" s="1"/>
  <c r="S144" i="21"/>
  <c r="S143" i="21" s="1"/>
  <c r="AO143" i="21"/>
  <c r="AN143" i="21"/>
  <c r="AJ143" i="21"/>
  <c r="AI143" i="21"/>
  <c r="AH143" i="21"/>
  <c r="AG143" i="21"/>
  <c r="AF143" i="21"/>
  <c r="AC143" i="21"/>
  <c r="X143" i="21"/>
  <c r="Q143" i="21"/>
  <c r="P143" i="21"/>
  <c r="O143" i="21"/>
  <c r="N143" i="21"/>
  <c r="M143" i="21"/>
  <c r="L143" i="21"/>
  <c r="AA141" i="21"/>
  <c r="R141" i="21"/>
  <c r="R139" i="21" s="1"/>
  <c r="R138" i="21" s="1"/>
  <c r="R129" i="21" s="1"/>
  <c r="Q141" i="21"/>
  <c r="AA140" i="21"/>
  <c r="T140" i="21"/>
  <c r="T139" i="21" s="1"/>
  <c r="T138" i="21" s="1"/>
  <c r="Q140" i="21"/>
  <c r="AE139" i="21"/>
  <c r="AE138" i="21" s="1"/>
  <c r="AD139" i="21"/>
  <c r="AD138" i="21" s="1"/>
  <c r="AC139" i="21"/>
  <c r="AC138" i="21" s="1"/>
  <c r="AB139" i="21"/>
  <c r="AB138" i="21" s="1"/>
  <c r="AB129" i="21" s="1"/>
  <c r="Y139" i="21"/>
  <c r="Y138" i="21" s="1"/>
  <c r="X139" i="21"/>
  <c r="W139" i="21"/>
  <c r="W138" i="21" s="1"/>
  <c r="V139" i="21"/>
  <c r="U139" i="21"/>
  <c r="U138" i="21" s="1"/>
  <c r="U129" i="21" s="1"/>
  <c r="S139" i="21"/>
  <c r="S138" i="21" s="1"/>
  <c r="S129" i="21" s="1"/>
  <c r="AO138" i="21"/>
  <c r="AN138" i="21"/>
  <c r="AN129" i="21" s="1"/>
  <c r="AJ138" i="21"/>
  <c r="AI138" i="21"/>
  <c r="AI124" i="21" s="1"/>
  <c r="AI120" i="21" s="1"/>
  <c r="AH138" i="21"/>
  <c r="AG138" i="21"/>
  <c r="AG129" i="21" s="1"/>
  <c r="AG119" i="21" s="1"/>
  <c r="AF138" i="21"/>
  <c r="AF129" i="21" s="1"/>
  <c r="AF119" i="21" s="1"/>
  <c r="X138" i="21"/>
  <c r="V138" i="21"/>
  <c r="Q138" i="21"/>
  <c r="P138" i="21"/>
  <c r="P129" i="21" s="1"/>
  <c r="O138" i="21"/>
  <c r="O129" i="21" s="1"/>
  <c r="N138" i="21"/>
  <c r="N129" i="21" s="1"/>
  <c r="M138" i="21"/>
  <c r="M129" i="21" s="1"/>
  <c r="L138" i="21"/>
  <c r="L129" i="21" s="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L131" i="21"/>
  <c r="L130" i="21"/>
  <c r="AO129" i="21"/>
  <c r="AJ129" i="21"/>
  <c r="AI129" i="21"/>
  <c r="AI119" i="21" s="1"/>
  <c r="AH129" i="21"/>
  <c r="AE129" i="21"/>
  <c r="AE119" i="21" s="1"/>
  <c r="Q129" i="21"/>
  <c r="J129" i="21"/>
  <c r="L128" i="21"/>
  <c r="K128" i="21"/>
  <c r="AA127" i="21"/>
  <c r="T127" i="21"/>
  <c r="T126" i="21" s="1"/>
  <c r="T125" i="21" s="1"/>
  <c r="R127" i="21"/>
  <c r="R126" i="21" s="1"/>
  <c r="R125" i="21" s="1"/>
  <c r="Q127" i="21"/>
  <c r="AI126" i="21"/>
  <c r="AI125" i="21" s="1"/>
  <c r="AH126" i="21"/>
  <c r="AH125" i="21" s="1"/>
  <c r="AG126" i="21"/>
  <c r="AG125" i="21" s="1"/>
  <c r="AF126" i="21"/>
  <c r="AF125" i="21" s="1"/>
  <c r="AE126" i="21"/>
  <c r="AE125" i="21" s="1"/>
  <c r="AD126" i="21"/>
  <c r="AD125" i="21" s="1"/>
  <c r="AC126" i="21"/>
  <c r="AC125" i="21" s="1"/>
  <c r="AB126" i="21"/>
  <c r="AA126" i="21"/>
  <c r="AA125" i="21" s="1"/>
  <c r="Y126" i="21"/>
  <c r="Y125" i="21" s="1"/>
  <c r="X126" i="21"/>
  <c r="X125" i="21" s="1"/>
  <c r="W126" i="21"/>
  <c r="V126" i="21"/>
  <c r="V125" i="21" s="1"/>
  <c r="U126" i="21"/>
  <c r="U125" i="21" s="1"/>
  <c r="S126" i="21"/>
  <c r="S125" i="21" s="1"/>
  <c r="Q126" i="21"/>
  <c r="AO125" i="21"/>
  <c r="AN125" i="21"/>
  <c r="AM125" i="21"/>
  <c r="AL125" i="21"/>
  <c r="AK125" i="21"/>
  <c r="AJ125" i="21"/>
  <c r="AB125" i="21"/>
  <c r="W125" i="21"/>
  <c r="O125" i="21"/>
  <c r="N125" i="21"/>
  <c r="M125" i="21"/>
  <c r="L125" i="21"/>
  <c r="AJ124" i="21"/>
  <c r="AH124" i="21"/>
  <c r="AG124" i="21"/>
  <c r="AG120" i="21" s="1"/>
  <c r="AF124" i="21"/>
  <c r="AF120" i="21" s="1"/>
  <c r="AE124" i="21"/>
  <c r="AE120" i="21" s="1"/>
  <c r="P124" i="21"/>
  <c r="V123" i="21"/>
  <c r="V121" i="21" s="1"/>
  <c r="U123" i="21"/>
  <c r="Q123" i="21" s="1"/>
  <c r="AA122" i="21"/>
  <c r="V122" i="21"/>
  <c r="Q122" i="21"/>
  <c r="AD121" i="21"/>
  <c r="AC121" i="21"/>
  <c r="AB121" i="21"/>
  <c r="AB120" i="21" s="1"/>
  <c r="Y121" i="21"/>
  <c r="X121" i="21"/>
  <c r="W121" i="21"/>
  <c r="U121" i="21"/>
  <c r="U120" i="21" s="1"/>
  <c r="S121" i="21"/>
  <c r="S120" i="21" s="1"/>
  <c r="R121" i="21"/>
  <c r="AO120" i="21"/>
  <c r="AN120" i="21"/>
  <c r="AM120" i="21"/>
  <c r="AL120" i="21"/>
  <c r="AJ120" i="21"/>
  <c r="AH120" i="21"/>
  <c r="R120" i="21"/>
  <c r="Q120" i="21"/>
  <c r="P120" i="21"/>
  <c r="O120" i="21"/>
  <c r="N120" i="21"/>
  <c r="M120" i="21"/>
  <c r="L120" i="21"/>
  <c r="AJ119" i="21"/>
  <c r="AH119" i="21"/>
  <c r="R118" i="21"/>
  <c r="R117" i="21" s="1"/>
  <c r="R116" i="21" s="1"/>
  <c r="Q118" i="21"/>
  <c r="AJ117" i="21"/>
  <c r="AI117" i="21"/>
  <c r="AH117" i="21"/>
  <c r="AH116" i="21" s="1"/>
  <c r="AG117" i="21"/>
  <c r="AG116" i="21" s="1"/>
  <c r="AF117" i="21"/>
  <c r="AF116" i="21" s="1"/>
  <c r="AE117" i="21"/>
  <c r="AE116" i="21" s="1"/>
  <c r="AD117" i="21"/>
  <c r="AD116" i="21" s="1"/>
  <c r="AC117" i="21"/>
  <c r="AC116" i="21" s="1"/>
  <c r="AB117" i="21"/>
  <c r="AB116" i="21" s="1"/>
  <c r="AA117" i="21"/>
  <c r="AA116" i="21" s="1"/>
  <c r="Y117" i="21"/>
  <c r="X117" i="21"/>
  <c r="X116" i="21" s="1"/>
  <c r="W117" i="21"/>
  <c r="W116" i="21" s="1"/>
  <c r="V117" i="21"/>
  <c r="V116" i="21" s="1"/>
  <c r="U117" i="21"/>
  <c r="U116" i="21" s="1"/>
  <c r="T117" i="21"/>
  <c r="T116" i="21" s="1"/>
  <c r="S117" i="21"/>
  <c r="S116" i="21" s="1"/>
  <c r="AO116" i="21"/>
  <c r="AN116" i="21"/>
  <c r="AL116" i="21"/>
  <c r="AJ116" i="21"/>
  <c r="AI116" i="21"/>
  <c r="Y116" i="21"/>
  <c r="Q116" i="21"/>
  <c r="P116" i="21"/>
  <c r="O116" i="21"/>
  <c r="N116" i="21"/>
  <c r="M116" i="21"/>
  <c r="L116" i="21"/>
  <c r="AA115" i="21"/>
  <c r="R115" i="21"/>
  <c r="R114" i="21" s="1"/>
  <c r="R113" i="21" s="1"/>
  <c r="Q115" i="21"/>
  <c r="AJ114" i="21"/>
  <c r="AJ113" i="21" s="1"/>
  <c r="AI114" i="21"/>
  <c r="AI113" i="21" s="1"/>
  <c r="AH114" i="21"/>
  <c r="AH113" i="21" s="1"/>
  <c r="AG114" i="21"/>
  <c r="AF114" i="21"/>
  <c r="AF113" i="21" s="1"/>
  <c r="AE114" i="21"/>
  <c r="AE113" i="21" s="1"/>
  <c r="AD114" i="21"/>
  <c r="AD113" i="21" s="1"/>
  <c r="AC114" i="21"/>
  <c r="AC113" i="21" s="1"/>
  <c r="AB114" i="21"/>
  <c r="AA114" i="21"/>
  <c r="Y114" i="21"/>
  <c r="Y113" i="21" s="1"/>
  <c r="X114" i="21"/>
  <c r="X113" i="21" s="1"/>
  <c r="W114" i="21"/>
  <c r="W113" i="21" s="1"/>
  <c r="V114" i="21"/>
  <c r="U114" i="21"/>
  <c r="U113" i="21" s="1"/>
  <c r="T114" i="21"/>
  <c r="S114" i="21"/>
  <c r="S113" i="21" s="1"/>
  <c r="Q114" i="21"/>
  <c r="AO113" i="21"/>
  <c r="AN113" i="21"/>
  <c r="AM113" i="21"/>
  <c r="AL113" i="21"/>
  <c r="AK113" i="21"/>
  <c r="AG113" i="21"/>
  <c r="AB113" i="21"/>
  <c r="V113" i="21"/>
  <c r="T113" i="21"/>
  <c r="O113" i="21"/>
  <c r="N113" i="21"/>
  <c r="M113" i="21"/>
  <c r="L113" i="21"/>
  <c r="AF111" i="21"/>
  <c r="AA111" i="21"/>
  <c r="T111" i="21"/>
  <c r="L111" i="21"/>
  <c r="AF110" i="21"/>
  <c r="T110" i="21"/>
  <c r="Q110" i="21"/>
  <c r="L110" i="21"/>
  <c r="AJ109" i="21"/>
  <c r="AI109" i="21"/>
  <c r="AI108" i="21" s="1"/>
  <c r="AH109" i="21"/>
  <c r="AH108" i="21" s="1"/>
  <c r="AG109" i="21"/>
  <c r="AG108" i="21" s="1"/>
  <c r="AF109" i="21"/>
  <c r="AE109" i="21"/>
  <c r="AE108" i="21" s="1"/>
  <c r="AD109" i="21"/>
  <c r="AD108" i="21" s="1"/>
  <c r="AC109" i="21"/>
  <c r="AC108" i="21" s="1"/>
  <c r="AB109" i="21"/>
  <c r="AA109" i="21"/>
  <c r="AA108" i="21" s="1"/>
  <c r="Y109" i="21"/>
  <c r="Y108" i="21" s="1"/>
  <c r="W109" i="21"/>
  <c r="W108" i="21" s="1"/>
  <c r="V109" i="21"/>
  <c r="U109" i="21"/>
  <c r="S109" i="21"/>
  <c r="S108" i="21" s="1"/>
  <c r="AO108" i="21"/>
  <c r="AN108" i="21"/>
  <c r="AL108" i="21"/>
  <c r="AJ108" i="21"/>
  <c r="AF108" i="21"/>
  <c r="AB108" i="21"/>
  <c r="X108" i="21"/>
  <c r="V108" i="21"/>
  <c r="U108" i="21"/>
  <c r="R108" i="21"/>
  <c r="Q108" i="21"/>
  <c r="P108" i="21"/>
  <c r="O108" i="21"/>
  <c r="N108" i="21"/>
  <c r="M108" i="21"/>
  <c r="L108" i="21"/>
  <c r="AF106" i="21"/>
  <c r="Q106" i="21"/>
  <c r="AF105" i="21"/>
  <c r="AA105" i="21"/>
  <c r="AA103" i="21" s="1"/>
  <c r="AA102" i="21" s="1"/>
  <c r="R105" i="21"/>
  <c r="R103" i="21" s="1"/>
  <c r="R102" i="21" s="1"/>
  <c r="Q105" i="21"/>
  <c r="AF104" i="21"/>
  <c r="Q104" i="21"/>
  <c r="Q103" i="21" s="1"/>
  <c r="Q102" i="21" s="1"/>
  <c r="AJ103" i="21"/>
  <c r="AJ102" i="21" s="1"/>
  <c r="AI103" i="21"/>
  <c r="AH103" i="21"/>
  <c r="AH102" i="21" s="1"/>
  <c r="AG103" i="21"/>
  <c r="AG102" i="21" s="1"/>
  <c r="AF103" i="21"/>
  <c r="AF102" i="21" s="1"/>
  <c r="AE103" i="21"/>
  <c r="AD103" i="21"/>
  <c r="AD102" i="21" s="1"/>
  <c r="AC103" i="21"/>
  <c r="AC102" i="21" s="1"/>
  <c r="AB103" i="21"/>
  <c r="AB102" i="21" s="1"/>
  <c r="Y103" i="21"/>
  <c r="Y102" i="21" s="1"/>
  <c r="W103" i="21"/>
  <c r="V103" i="21"/>
  <c r="V102" i="21" s="1"/>
  <c r="U103" i="21"/>
  <c r="U102" i="21" s="1"/>
  <c r="T103" i="21"/>
  <c r="S103" i="21"/>
  <c r="S102" i="21" s="1"/>
  <c r="P103" i="21"/>
  <c r="P102" i="21" s="1"/>
  <c r="AK102" i="21" s="1"/>
  <c r="AO102" i="21"/>
  <c r="AN102" i="21"/>
  <c r="AL102" i="21"/>
  <c r="AI102" i="21"/>
  <c r="AE102" i="21"/>
  <c r="X102" i="21"/>
  <c r="W102" i="21"/>
  <c r="T102" i="21"/>
  <c r="O102" i="21"/>
  <c r="N102" i="21"/>
  <c r="M102" i="21"/>
  <c r="L102" i="21"/>
  <c r="AF101" i="21"/>
  <c r="AF100" i="21" s="1"/>
  <c r="AF99" i="21" s="1"/>
  <c r="Q101" i="21"/>
  <c r="Q100" i="21" s="1"/>
  <c r="Q99" i="21" s="1"/>
  <c r="AJ100" i="21"/>
  <c r="AJ99" i="21" s="1"/>
  <c r="AI100" i="21"/>
  <c r="AI99" i="21" s="1"/>
  <c r="AH100" i="21"/>
  <c r="AH99" i="21" s="1"/>
  <c r="AG100" i="21"/>
  <c r="AG99" i="21" s="1"/>
  <c r="AE100" i="21"/>
  <c r="AE99" i="21" s="1"/>
  <c r="AD100" i="21"/>
  <c r="AD99" i="21" s="1"/>
  <c r="AC100" i="21"/>
  <c r="AC99" i="21" s="1"/>
  <c r="AB100" i="21"/>
  <c r="AA100" i="21"/>
  <c r="AA99" i="21" s="1"/>
  <c r="Y100" i="21"/>
  <c r="Y99" i="21" s="1"/>
  <c r="X100" i="21"/>
  <c r="X99" i="21" s="1"/>
  <c r="W100" i="21"/>
  <c r="W99" i="21" s="1"/>
  <c r="V100" i="21"/>
  <c r="V99" i="21" s="1"/>
  <c r="U100" i="21"/>
  <c r="T100" i="21"/>
  <c r="T99" i="21" s="1"/>
  <c r="S100" i="21"/>
  <c r="R100" i="21"/>
  <c r="R99" i="21" s="1"/>
  <c r="AO99" i="21"/>
  <c r="AN99" i="21"/>
  <c r="AL99" i="21"/>
  <c r="AB99" i="21"/>
  <c r="U99" i="21"/>
  <c r="S99" i="21"/>
  <c r="P99" i="21"/>
  <c r="O99" i="21"/>
  <c r="N99" i="21"/>
  <c r="M99" i="21"/>
  <c r="L99" i="21"/>
  <c r="AA98" i="21"/>
  <c r="U98" i="21"/>
  <c r="AD97" i="21"/>
  <c r="AC97" i="21"/>
  <c r="AB97" i="21"/>
  <c r="AB96" i="21" s="1"/>
  <c r="AA97" i="21"/>
  <c r="Y97" i="21"/>
  <c r="Y96" i="21" s="1"/>
  <c r="X97" i="21"/>
  <c r="X96" i="21" s="1"/>
  <c r="W97" i="21"/>
  <c r="W96" i="21" s="1"/>
  <c r="V97" i="21"/>
  <c r="V96" i="21" s="1"/>
  <c r="T97" i="21"/>
  <c r="T96" i="21" s="1"/>
  <c r="S97" i="21"/>
  <c r="S96" i="21" s="1"/>
  <c r="R97" i="21"/>
  <c r="R96" i="21" s="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O96" i="21"/>
  <c r="N96" i="21"/>
  <c r="M96" i="21"/>
  <c r="L96" i="21"/>
  <c r="AA95" i="21"/>
  <c r="AA94" i="21" s="1"/>
  <c r="U95" i="21"/>
  <c r="AE94" i="21"/>
  <c r="AE93" i="21" s="1"/>
  <c r="AD94" i="21"/>
  <c r="AD93" i="21" s="1"/>
  <c r="AC94" i="21"/>
  <c r="AB94" i="21"/>
  <c r="AB93" i="21" s="1"/>
  <c r="Y94" i="21"/>
  <c r="Y93" i="21" s="1"/>
  <c r="X94" i="21"/>
  <c r="X93" i="21" s="1"/>
  <c r="W94" i="21"/>
  <c r="W93" i="21" s="1"/>
  <c r="V94" i="21"/>
  <c r="V93" i="21" s="1"/>
  <c r="T94" i="21"/>
  <c r="T93" i="21" s="1"/>
  <c r="S94" i="21"/>
  <c r="S93" i="21" s="1"/>
  <c r="R94" i="21"/>
  <c r="R93" i="21" s="1"/>
  <c r="AO93" i="21"/>
  <c r="AN93" i="21"/>
  <c r="AM93" i="21"/>
  <c r="AL93" i="21"/>
  <c r="AK93" i="21"/>
  <c r="AJ93" i="21"/>
  <c r="AI93" i="21"/>
  <c r="AH93" i="21"/>
  <c r="AG93" i="21"/>
  <c r="AF93" i="21"/>
  <c r="AC93" i="21"/>
  <c r="O93" i="21"/>
  <c r="N93" i="21"/>
  <c r="M93" i="21"/>
  <c r="L93" i="21"/>
  <c r="AK92" i="21"/>
  <c r="AL92" i="21" s="1"/>
  <c r="L92" i="21"/>
  <c r="J91" i="21"/>
  <c r="AF90" i="21"/>
  <c r="AA90" i="21"/>
  <c r="R90" i="21"/>
  <c r="Q90" i="21"/>
  <c r="T89" i="21"/>
  <c r="Q89" i="21"/>
  <c r="AA88" i="21"/>
  <c r="T88" i="21"/>
  <c r="T87" i="21" s="1"/>
  <c r="T86" i="21" s="1"/>
  <c r="Q88" i="21"/>
  <c r="AK87" i="21"/>
  <c r="AJ87" i="21"/>
  <c r="AI87" i="21"/>
  <c r="AI86" i="21" s="1"/>
  <c r="AH87" i="21"/>
  <c r="AG87" i="21"/>
  <c r="AG86" i="21" s="1"/>
  <c r="AF87" i="21"/>
  <c r="AE87" i="21"/>
  <c r="AE86" i="21" s="1"/>
  <c r="AD87" i="21"/>
  <c r="AC87" i="21"/>
  <c r="AC86" i="21" s="1"/>
  <c r="AB87" i="21"/>
  <c r="Y87" i="21"/>
  <c r="Y86" i="21" s="1"/>
  <c r="X87" i="21"/>
  <c r="W87" i="21"/>
  <c r="W86" i="21" s="1"/>
  <c r="V87" i="21"/>
  <c r="U87" i="21"/>
  <c r="U86" i="21" s="1"/>
  <c r="S87" i="21"/>
  <c r="S86" i="21" s="1"/>
  <c r="R87" i="21"/>
  <c r="J87" i="21"/>
  <c r="AO86" i="21"/>
  <c r="AO79" i="21" s="1"/>
  <c r="AN86" i="21"/>
  <c r="AN79" i="21" s="1"/>
  <c r="AJ86" i="21"/>
  <c r="AH86" i="21"/>
  <c r="AF86" i="21"/>
  <c r="AD86" i="21"/>
  <c r="AB86" i="21"/>
  <c r="AA86" i="21"/>
  <c r="X86" i="21"/>
  <c r="V86" i="21"/>
  <c r="R86" i="21"/>
  <c r="Q86" i="21"/>
  <c r="P86" i="21"/>
  <c r="O86" i="21"/>
  <c r="N86" i="21"/>
  <c r="M86" i="21"/>
  <c r="L86" i="21"/>
  <c r="J86" i="21" s="1"/>
  <c r="AF84" i="21"/>
  <c r="AF83" i="21" s="1"/>
  <c r="AF82" i="21" s="1"/>
  <c r="AA84" i="21"/>
  <c r="AA83" i="21" s="1"/>
  <c r="AA82" i="21" s="1"/>
  <c r="X84" i="21"/>
  <c r="V84" i="21"/>
  <c r="V83" i="21" s="1"/>
  <c r="V82" i="21" s="1"/>
  <c r="R84" i="21"/>
  <c r="R83" i="21" s="1"/>
  <c r="R82" i="21" s="1"/>
  <c r="Q84" i="21"/>
  <c r="P84" i="21" s="1"/>
  <c r="AJ83" i="21"/>
  <c r="AI83" i="21"/>
  <c r="AI82" i="21" s="1"/>
  <c r="AH83" i="21"/>
  <c r="AG83" i="21"/>
  <c r="AG82" i="21" s="1"/>
  <c r="AG79" i="21" s="1"/>
  <c r="AE83" i="21"/>
  <c r="AD83" i="21"/>
  <c r="AD82" i="21" s="1"/>
  <c r="AC83" i="21"/>
  <c r="AB83" i="21"/>
  <c r="AB82" i="21" s="1"/>
  <c r="Y83" i="21"/>
  <c r="Y82" i="21" s="1"/>
  <c r="X83" i="21"/>
  <c r="X82" i="21" s="1"/>
  <c r="W83" i="21"/>
  <c r="U83" i="21"/>
  <c r="U82" i="21" s="1"/>
  <c r="T83" i="21"/>
  <c r="T82" i="21" s="1"/>
  <c r="S83" i="21"/>
  <c r="Q83" i="21"/>
  <c r="Q82" i="21" s="1"/>
  <c r="AM82" i="21" s="1"/>
  <c r="AL82" i="21"/>
  <c r="AJ82" i="21"/>
  <c r="AJ79" i="21" s="1"/>
  <c r="AH82" i="21"/>
  <c r="AH79" i="21" s="1"/>
  <c r="AE82" i="21"/>
  <c r="AC82" i="21"/>
  <c r="W82" i="21"/>
  <c r="S82" i="21"/>
  <c r="O82" i="21"/>
  <c r="N82" i="21"/>
  <c r="M82" i="21"/>
  <c r="L82" i="21"/>
  <c r="L81" i="21"/>
  <c r="J81" i="21" s="1"/>
  <c r="L80" i="21"/>
  <c r="AI79" i="21"/>
  <c r="K79" i="21"/>
  <c r="L78" i="21"/>
  <c r="AO76" i="21"/>
  <c r="AN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AA73" i="21"/>
  <c r="Z73" i="21"/>
  <c r="Z72" i="21" s="1"/>
  <c r="Y73" i="21"/>
  <c r="Y72" i="21" s="1"/>
  <c r="X73" i="21"/>
  <c r="W73" i="21"/>
  <c r="V73" i="21"/>
  <c r="V72" i="21" s="1"/>
  <c r="U73" i="21"/>
  <c r="U72" i="21" s="1"/>
  <c r="T73" i="21"/>
  <c r="T72" i="21" s="1"/>
  <c r="S73" i="21"/>
  <c r="R73" i="21"/>
  <c r="R72" i="21" s="1"/>
  <c r="Q73" i="21"/>
  <c r="Q72" i="21" s="1"/>
  <c r="AO72" i="21"/>
  <c r="AN72" i="21"/>
  <c r="AJ72" i="21"/>
  <c r="AI72" i="21"/>
  <c r="AH72" i="21"/>
  <c r="AG72" i="21"/>
  <c r="AF72" i="21"/>
  <c r="AE72" i="21"/>
  <c r="AD72" i="21"/>
  <c r="AC72" i="21"/>
  <c r="AB72" i="21"/>
  <c r="AA72" i="21"/>
  <c r="X72" i="21"/>
  <c r="W72" i="21"/>
  <c r="S72" i="21"/>
  <c r="P72" i="21"/>
  <c r="O72" i="21"/>
  <c r="N72" i="21"/>
  <c r="M72" i="21"/>
  <c r="L72" i="21"/>
  <c r="AF70" i="21"/>
  <c r="AF69" i="21" s="1"/>
  <c r="AF68" i="21" s="1"/>
  <c r="AF65" i="21" s="1"/>
  <c r="AA70" i="21"/>
  <c r="R70" i="21"/>
  <c r="Q70" i="21"/>
  <c r="Q68" i="21" s="1"/>
  <c r="AG69" i="21"/>
  <c r="AB69" i="21"/>
  <c r="Y69" i="21"/>
  <c r="Y68" i="21" s="1"/>
  <c r="Y65" i="21" s="1"/>
  <c r="W69" i="21"/>
  <c r="W68" i="21" s="1"/>
  <c r="W65" i="21" s="1"/>
  <c r="V69" i="21"/>
  <c r="V68" i="21" s="1"/>
  <c r="V65" i="21" s="1"/>
  <c r="U69" i="21"/>
  <c r="T69" i="21"/>
  <c r="S69" i="21"/>
  <c r="S68" i="21" s="1"/>
  <c r="S65" i="21" s="1"/>
  <c r="R69" i="21"/>
  <c r="R68" i="21" s="1"/>
  <c r="R65" i="21" s="1"/>
  <c r="AO68" i="21"/>
  <c r="AN68" i="21"/>
  <c r="AN65" i="21" s="1"/>
  <c r="AJ68" i="21"/>
  <c r="AJ65" i="21" s="1"/>
  <c r="AI68" i="21"/>
  <c r="AI65" i="21" s="1"/>
  <c r="AH68" i="21"/>
  <c r="AG68" i="21"/>
  <c r="AG65" i="21" s="1"/>
  <c r="AE68" i="21"/>
  <c r="AE65" i="21" s="1"/>
  <c r="AD68" i="21"/>
  <c r="AD65" i="21" s="1"/>
  <c r="AC68" i="21"/>
  <c r="AC65" i="21" s="1"/>
  <c r="AB68" i="21"/>
  <c r="AB65" i="21" s="1"/>
  <c r="AA68" i="21"/>
  <c r="AA65" i="21" s="1"/>
  <c r="Z68" i="21"/>
  <c r="X68" i="21"/>
  <c r="X65" i="21" s="1"/>
  <c r="U68" i="21"/>
  <c r="T68" i="21"/>
  <c r="T65" i="21" s="1"/>
  <c r="P68" i="21"/>
  <c r="P65" i="21" s="1"/>
  <c r="O68" i="21"/>
  <c r="N68" i="21"/>
  <c r="N65" i="21" s="1"/>
  <c r="M68" i="21"/>
  <c r="M65" i="21" s="1"/>
  <c r="L68" i="21"/>
  <c r="L65" i="21" s="1"/>
  <c r="L67" i="21"/>
  <c r="L66" i="21"/>
  <c r="AO65" i="21"/>
  <c r="AH65" i="21"/>
  <c r="U65" i="21"/>
  <c r="O65" i="21"/>
  <c r="K65" i="21"/>
  <c r="J65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J61" i="21"/>
  <c r="AA60" i="21"/>
  <c r="V60" i="21"/>
  <c r="Q60" i="21"/>
  <c r="AD59" i="21"/>
  <c r="AC59" i="21"/>
  <c r="AB59" i="21"/>
  <c r="Y59" i="21"/>
  <c r="X59" i="21"/>
  <c r="W59" i="21"/>
  <c r="V59" i="21"/>
  <c r="U59" i="21"/>
  <c r="T59" i="21"/>
  <c r="S59" i="21"/>
  <c r="R59" i="21"/>
  <c r="J59" i="21"/>
  <c r="AO58" i="21"/>
  <c r="AN58" i="21"/>
  <c r="AJ58" i="21"/>
  <c r="AI58" i="21"/>
  <c r="AH58" i="21"/>
  <c r="AG58" i="21"/>
  <c r="AF58" i="21"/>
  <c r="AE58" i="21"/>
  <c r="AD58" i="21"/>
  <c r="AC58" i="21"/>
  <c r="AC52" i="21" s="1"/>
  <c r="AB58" i="21"/>
  <c r="Y58" i="21"/>
  <c r="X58" i="21"/>
  <c r="W58" i="21"/>
  <c r="V58" i="21"/>
  <c r="U58" i="21"/>
  <c r="T58" i="21"/>
  <c r="S58" i="21"/>
  <c r="R58" i="21"/>
  <c r="Q58" i="21"/>
  <c r="P58" i="21"/>
  <c r="AK58" i="21" s="1"/>
  <c r="AL58" i="21" s="1"/>
  <c r="O58" i="21"/>
  <c r="N58" i="21"/>
  <c r="M58" i="21"/>
  <c r="L58" i="21"/>
  <c r="J58" i="21" s="1"/>
  <c r="L57" i="21"/>
  <c r="J57" i="21" s="1"/>
  <c r="L56" i="21"/>
  <c r="J56" i="21" s="1"/>
  <c r="AO55" i="21"/>
  <c r="AN55" i="21"/>
  <c r="AI55" i="21"/>
  <c r="AI52" i="21" s="1"/>
  <c r="AH55" i="21"/>
  <c r="AH52" i="21" s="1"/>
  <c r="AG55" i="21"/>
  <c r="AF55" i="21"/>
  <c r="AF52" i="21" s="1"/>
  <c r="AE55" i="21"/>
  <c r="AE52" i="21" s="1"/>
  <c r="AD55" i="21"/>
  <c r="AD52" i="21" s="1"/>
  <c r="AC55" i="21"/>
  <c r="AB55" i="21"/>
  <c r="AB52" i="21" s="1"/>
  <c r="AA55" i="21"/>
  <c r="AA52" i="21" s="1"/>
  <c r="Y55" i="21"/>
  <c r="Y52" i="21" s="1"/>
  <c r="X55" i="21"/>
  <c r="W55" i="21"/>
  <c r="V55" i="21"/>
  <c r="U55" i="21"/>
  <c r="U52" i="21" s="1"/>
  <c r="T55" i="21"/>
  <c r="S55" i="21"/>
  <c r="R55" i="21"/>
  <c r="Q55" i="21"/>
  <c r="Q52" i="21" s="1"/>
  <c r="P55" i="21"/>
  <c r="O55" i="21"/>
  <c r="N55" i="21"/>
  <c r="M55" i="21"/>
  <c r="J54" i="21"/>
  <c r="J53" i="21"/>
  <c r="AM52" i="21"/>
  <c r="AJ52" i="21"/>
  <c r="T52" i="21"/>
  <c r="AJ51" i="21"/>
  <c r="AI51" i="21"/>
  <c r="AH51" i="21"/>
  <c r="AG51" i="21"/>
  <c r="AA49" i="21"/>
  <c r="Q49" i="21"/>
  <c r="AC48" i="21"/>
  <c r="AB48" i="21"/>
  <c r="AB47" i="21" s="1"/>
  <c r="Z48" i="21"/>
  <c r="Y48" i="21"/>
  <c r="Y47" i="21" s="1"/>
  <c r="Y45" i="21" s="1"/>
  <c r="X48" i="21"/>
  <c r="W48" i="21"/>
  <c r="W47" i="21" s="1"/>
  <c r="W45" i="21" s="1"/>
  <c r="V48" i="21"/>
  <c r="V47" i="21" s="1"/>
  <c r="U48" i="21"/>
  <c r="U47" i="21" s="1"/>
  <c r="U44" i="21" s="1"/>
  <c r="T48" i="21"/>
  <c r="S48" i="21"/>
  <c r="S47" i="21" s="1"/>
  <c r="S44" i="21" s="1"/>
  <c r="R48" i="21"/>
  <c r="R47" i="21" s="1"/>
  <c r="AC47" i="21"/>
  <c r="AC45" i="21" s="1"/>
  <c r="X47" i="21"/>
  <c r="X45" i="21" s="1"/>
  <c r="T47" i="21"/>
  <c r="T45" i="21" s="1"/>
  <c r="Q47" i="21"/>
  <c r="Q44" i="21" s="1"/>
  <c r="P47" i="21"/>
  <c r="O47" i="21"/>
  <c r="N47" i="21"/>
  <c r="N44" i="21" s="1"/>
  <c r="M47" i="21"/>
  <c r="L47" i="21"/>
  <c r="L44" i="21" s="1"/>
  <c r="AO45" i="21"/>
  <c r="AN45" i="21"/>
  <c r="AM45" i="21"/>
  <c r="AM13" i="21" s="1"/>
  <c r="AJ45" i="21"/>
  <c r="AI45" i="21"/>
  <c r="AH45" i="21"/>
  <c r="AG45" i="21"/>
  <c r="AF45" i="21"/>
  <c r="AE45" i="21"/>
  <c r="AD45" i="21"/>
  <c r="AB45" i="21"/>
  <c r="AA45" i="21"/>
  <c r="O45" i="21"/>
  <c r="N45" i="21"/>
  <c r="K45" i="21"/>
  <c r="K13" i="21" s="1"/>
  <c r="K8" i="21" s="1"/>
  <c r="J45" i="21"/>
  <c r="T44" i="21"/>
  <c r="O44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AA38" i="21"/>
  <c r="AA37" i="21" s="1"/>
  <c r="AA36" i="21" s="1"/>
  <c r="Q38" i="21"/>
  <c r="Q37" i="21" s="1"/>
  <c r="Q36" i="21" s="1"/>
  <c r="AE37" i="21"/>
  <c r="AE36" i="21" s="1"/>
  <c r="Y37" i="21"/>
  <c r="Y36" i="21" s="1"/>
  <c r="X37" i="21"/>
  <c r="X36" i="21" s="1"/>
  <c r="L37" i="21"/>
  <c r="L36" i="21" s="1"/>
  <c r="AO36" i="21"/>
  <c r="AN36" i="21"/>
  <c r="AJ36" i="21"/>
  <c r="AI36" i="21"/>
  <c r="AH36" i="21"/>
  <c r="AG36" i="21"/>
  <c r="AF36" i="21"/>
  <c r="AD36" i="21"/>
  <c r="AC36" i="21"/>
  <c r="AB36" i="21"/>
  <c r="W36" i="21"/>
  <c r="V36" i="21"/>
  <c r="U36" i="21"/>
  <c r="T36" i="21"/>
  <c r="S36" i="21"/>
  <c r="R36" i="21"/>
  <c r="P36" i="21"/>
  <c r="P15" i="21" s="1"/>
  <c r="P11" i="21" s="1"/>
  <c r="O36" i="21"/>
  <c r="N36" i="21"/>
  <c r="M36" i="21"/>
  <c r="AO33" i="21"/>
  <c r="AO15" i="21" s="1"/>
  <c r="AO11" i="21" s="1"/>
  <c r="AN33" i="21"/>
  <c r="AM33" i="21"/>
  <c r="AJ33" i="21"/>
  <c r="AI33" i="21"/>
  <c r="AH33" i="21"/>
  <c r="AG33" i="21"/>
  <c r="AG32" i="21" s="1"/>
  <c r="AF32" i="21" s="1"/>
  <c r="AF33" i="21"/>
  <c r="AE33" i="21"/>
  <c r="AD33" i="21"/>
  <c r="AC33" i="21"/>
  <c r="AB33" i="21"/>
  <c r="AA33" i="21"/>
  <c r="Y33" i="21"/>
  <c r="X33" i="21"/>
  <c r="W33" i="21"/>
  <c r="V33" i="21"/>
  <c r="V15" i="21" s="1"/>
  <c r="V11" i="21" s="1"/>
  <c r="U33" i="21"/>
  <c r="T33" i="21"/>
  <c r="S33" i="21"/>
  <c r="R33" i="21"/>
  <c r="Q33" i="21"/>
  <c r="P33" i="21"/>
  <c r="O33" i="21"/>
  <c r="N33" i="21"/>
  <c r="M33" i="21"/>
  <c r="M15" i="21" s="1"/>
  <c r="M11" i="21" s="1"/>
  <c r="L33" i="21"/>
  <c r="J33" i="21" s="1"/>
  <c r="J15" i="21" s="1"/>
  <c r="J11" i="21" s="1"/>
  <c r="Q32" i="21"/>
  <c r="P32" i="21" s="1"/>
  <c r="U31" i="21"/>
  <c r="T31" i="21" s="1"/>
  <c r="T30" i="21" s="1"/>
  <c r="AJ30" i="21"/>
  <c r="AJ17" i="21" s="1"/>
  <c r="AI30" i="21"/>
  <c r="AI17" i="21" s="1"/>
  <c r="AI13" i="21" s="1"/>
  <c r="AH30" i="21"/>
  <c r="AE30" i="21"/>
  <c r="AE17" i="21" s="1"/>
  <c r="AE13" i="21" s="1"/>
  <c r="AD30" i="21"/>
  <c r="AD17" i="21" s="1"/>
  <c r="AD13" i="21" s="1"/>
  <c r="AC30" i="21"/>
  <c r="AB30" i="21"/>
  <c r="AB17" i="21" s="1"/>
  <c r="AA30" i="21"/>
  <c r="AA17" i="21" s="1"/>
  <c r="AA13" i="21" s="1"/>
  <c r="Y30" i="21"/>
  <c r="Y17" i="21" s="1"/>
  <c r="Y13" i="21" s="1"/>
  <c r="W30" i="21"/>
  <c r="W17" i="21" s="1"/>
  <c r="V30" i="21"/>
  <c r="U30" i="21"/>
  <c r="U17" i="21" s="1"/>
  <c r="U13" i="21" s="1"/>
  <c r="S30" i="21"/>
  <c r="S17" i="21" s="1"/>
  <c r="R30" i="21"/>
  <c r="R17" i="21" s="1"/>
  <c r="N30" i="21"/>
  <c r="N17" i="21" s="1"/>
  <c r="L30" i="21"/>
  <c r="L19" i="21" s="1"/>
  <c r="AF29" i="21"/>
  <c r="AA29" i="21"/>
  <c r="R29" i="21"/>
  <c r="R28" i="21" s="1"/>
  <c r="R18" i="21" s="1"/>
  <c r="R14" i="21" s="1"/>
  <c r="P29" i="21"/>
  <c r="AJ28" i="21"/>
  <c r="AI28" i="21"/>
  <c r="AH28" i="21"/>
  <c r="AH18" i="21" s="1"/>
  <c r="AG28" i="21"/>
  <c r="AF28" i="21"/>
  <c r="AE28" i="21"/>
  <c r="AD28" i="21"/>
  <c r="AD18" i="21" s="1"/>
  <c r="AC28" i="21"/>
  <c r="AC18" i="21" s="1"/>
  <c r="AC14" i="21" s="1"/>
  <c r="AC9" i="21" s="1"/>
  <c r="AB28" i="21"/>
  <c r="AA28" i="21"/>
  <c r="Y28" i="21"/>
  <c r="Y18" i="21" s="1"/>
  <c r="W28" i="21"/>
  <c r="W18" i="21" s="1"/>
  <c r="W14" i="21" s="1"/>
  <c r="W9" i="21" s="1"/>
  <c r="V28" i="21"/>
  <c r="V18" i="21" s="1"/>
  <c r="V14" i="21" s="1"/>
  <c r="U28" i="21"/>
  <c r="T28" i="21"/>
  <c r="T18" i="21" s="1"/>
  <c r="T14" i="21" s="1"/>
  <c r="S28" i="21"/>
  <c r="S18" i="21" s="1"/>
  <c r="S14" i="21" s="1"/>
  <c r="S9" i="21" s="1"/>
  <c r="Q28" i="21"/>
  <c r="J28" i="21"/>
  <c r="J18" i="21" s="1"/>
  <c r="J14" i="21" s="1"/>
  <c r="J9" i="21" s="1"/>
  <c r="AF27" i="21"/>
  <c r="AA27" i="21"/>
  <c r="R27" i="21"/>
  <c r="Q27" i="21"/>
  <c r="P27" i="21"/>
  <c r="AF26" i="21"/>
  <c r="AA26" i="21"/>
  <c r="Q26" i="21"/>
  <c r="AF25" i="21"/>
  <c r="AA25" i="21"/>
  <c r="Q25" i="21"/>
  <c r="AF24" i="21"/>
  <c r="AA24" i="21"/>
  <c r="Q24" i="21"/>
  <c r="P24" i="21"/>
  <c r="AF23" i="21"/>
  <c r="AA23" i="21"/>
  <c r="T23" i="21"/>
  <c r="T20" i="21" s="1"/>
  <c r="R23" i="21"/>
  <c r="AF22" i="21"/>
  <c r="AA22" i="21"/>
  <c r="R22" i="21"/>
  <c r="P22" i="21"/>
  <c r="AF21" i="21"/>
  <c r="R21" i="21"/>
  <c r="AJ20" i="21"/>
  <c r="AI20" i="21"/>
  <c r="AH20" i="21"/>
  <c r="AG20" i="21"/>
  <c r="AE20" i="21"/>
  <c r="AE19" i="21" s="1"/>
  <c r="AD20" i="21"/>
  <c r="AC20" i="21"/>
  <c r="AB20" i="21"/>
  <c r="AB19" i="21" s="1"/>
  <c r="Y20" i="21"/>
  <c r="X20" i="21"/>
  <c r="W20" i="21"/>
  <c r="V20" i="21"/>
  <c r="V19" i="21" s="1"/>
  <c r="U20" i="21"/>
  <c r="U19" i="21" s="1"/>
  <c r="S20" i="21"/>
  <c r="K20" i="21"/>
  <c r="AO19" i="21"/>
  <c r="AN19" i="21"/>
  <c r="AI19" i="21"/>
  <c r="P19" i="21"/>
  <c r="O19" i="21"/>
  <c r="N19" i="21"/>
  <c r="M19" i="21"/>
  <c r="AO18" i="21"/>
  <c r="AN18" i="21"/>
  <c r="AN14" i="21" s="1"/>
  <c r="AM18" i="21"/>
  <c r="AM14" i="21" s="1"/>
  <c r="AL18" i="21"/>
  <c r="AK18" i="21"/>
  <c r="AK14" i="21" s="1"/>
  <c r="AI18" i="21"/>
  <c r="AI14" i="21" s="1"/>
  <c r="AI9" i="21" s="1"/>
  <c r="AG18" i="21"/>
  <c r="AG14" i="21" s="1"/>
  <c r="AG9" i="21" s="1"/>
  <c r="AF18" i="21"/>
  <c r="AF14" i="21" s="1"/>
  <c r="AF9" i="21" s="1"/>
  <c r="AE18" i="21"/>
  <c r="AE14" i="21" s="1"/>
  <c r="AE9" i="21" s="1"/>
  <c r="AB18" i="21"/>
  <c r="AB14" i="21" s="1"/>
  <c r="AB9" i="21" s="1"/>
  <c r="AA18" i="21"/>
  <c r="AA14" i="21" s="1"/>
  <c r="AA9" i="21" s="1"/>
  <c r="X18" i="21"/>
  <c r="X14" i="21" s="1"/>
  <c r="U18" i="21"/>
  <c r="Q18" i="21"/>
  <c r="Q14" i="21" s="1"/>
  <c r="Q9" i="21" s="1"/>
  <c r="P18" i="21"/>
  <c r="P14" i="21" s="1"/>
  <c r="P9" i="21" s="1"/>
  <c r="O18" i="21"/>
  <c r="O14" i="21" s="1"/>
  <c r="N18" i="21"/>
  <c r="N14" i="21" s="1"/>
  <c r="M18" i="21"/>
  <c r="L18" i="21"/>
  <c r="L14" i="21" s="1"/>
  <c r="L9" i="21" s="1"/>
  <c r="K18" i="21"/>
  <c r="K14" i="21" s="1"/>
  <c r="AH17" i="21"/>
  <c r="AH13" i="21" s="1"/>
  <c r="AC17" i="21"/>
  <c r="X17" i="21"/>
  <c r="V17" i="21"/>
  <c r="P17" i="21"/>
  <c r="O17" i="21"/>
  <c r="M17" i="21"/>
  <c r="L17" i="21" s="1"/>
  <c r="AH15" i="21"/>
  <c r="AH11" i="21" s="1"/>
  <c r="AH6" i="21" s="1"/>
  <c r="AO14" i="21"/>
  <c r="AO9" i="21" s="1"/>
  <c r="AL14" i="21"/>
  <c r="AH14" i="21"/>
  <c r="AH9" i="21" s="1"/>
  <c r="AD14" i="21"/>
  <c r="AD9" i="21" s="1"/>
  <c r="Y14" i="21"/>
  <c r="Y9" i="21" s="1"/>
  <c r="U14" i="21"/>
  <c r="U9" i="21" s="1"/>
  <c r="M14" i="21"/>
  <c r="M9" i="21" s="1"/>
  <c r="AO13" i="21"/>
  <c r="AO8" i="21" s="1"/>
  <c r="AN13" i="21"/>
  <c r="AN8" i="21" s="1"/>
  <c r="P13" i="21"/>
  <c r="O13" i="21"/>
  <c r="O8" i="21" s="1"/>
  <c r="J13" i="21"/>
  <c r="K12" i="21"/>
  <c r="AQ10" i="21"/>
  <c r="AQ9" i="21"/>
  <c r="AN9" i="21"/>
  <c r="AL9" i="21"/>
  <c r="Z9" i="21"/>
  <c r="V9" i="21"/>
  <c r="R9" i="21"/>
  <c r="O9" i="21"/>
  <c r="N9" i="21"/>
  <c r="AQ8" i="21"/>
  <c r="Z8" i="21"/>
  <c r="AQ7" i="21"/>
  <c r="Z7" i="21"/>
  <c r="AQ6" i="21"/>
  <c r="Z6" i="21"/>
  <c r="AA295" i="20"/>
  <c r="Q295" i="20"/>
  <c r="AA294" i="20"/>
  <c r="Q294" i="20"/>
  <c r="AA240" i="20"/>
  <c r="Q240" i="20"/>
  <c r="Q239" i="20" s="1"/>
  <c r="J313" i="20"/>
  <c r="R312" i="20"/>
  <c r="Q312" i="20"/>
  <c r="AO311" i="20"/>
  <c r="AN311" i="20"/>
  <c r="AM311" i="20"/>
  <c r="AL311" i="20"/>
  <c r="AK311" i="20"/>
  <c r="AJ311" i="20"/>
  <c r="AI311" i="20"/>
  <c r="AH311" i="20"/>
  <c r="AG311" i="20"/>
  <c r="AF311" i="20"/>
  <c r="AE311" i="20"/>
  <c r="AD311" i="20"/>
  <c r="AC311" i="20"/>
  <c r="AB311" i="20"/>
  <c r="AA311" i="20"/>
  <c r="Y311" i="20"/>
  <c r="X311" i="20"/>
  <c r="W311" i="20"/>
  <c r="V311" i="20"/>
  <c r="U311" i="20"/>
  <c r="T311" i="20"/>
  <c r="S311" i="20"/>
  <c r="R311" i="20"/>
  <c r="Q311" i="20"/>
  <c r="P311" i="20"/>
  <c r="O311" i="20"/>
  <c r="N311" i="20"/>
  <c r="M311" i="20"/>
  <c r="L311" i="20"/>
  <c r="J311" i="20" s="1"/>
  <c r="J310" i="20"/>
  <c r="R309" i="20"/>
  <c r="Q309" i="20"/>
  <c r="AO308" i="20"/>
  <c r="AN308" i="20"/>
  <c r="AM308" i="20"/>
  <c r="AL308" i="20"/>
  <c r="AK308" i="20"/>
  <c r="AJ308" i="20"/>
  <c r="AI308" i="20"/>
  <c r="AH308" i="20"/>
  <c r="AG308" i="20"/>
  <c r="AF308" i="20"/>
  <c r="AE308" i="20"/>
  <c r="AD308" i="20"/>
  <c r="AC308" i="20"/>
  <c r="AB308" i="20"/>
  <c r="AA308" i="20"/>
  <c r="Y308" i="20"/>
  <c r="X308" i="20"/>
  <c r="W308" i="20"/>
  <c r="V308" i="20"/>
  <c r="U308" i="20"/>
  <c r="T308" i="20"/>
  <c r="S308" i="20"/>
  <c r="R308" i="20"/>
  <c r="Q308" i="20"/>
  <c r="P308" i="20"/>
  <c r="O308" i="20"/>
  <c r="N308" i="20"/>
  <c r="M308" i="20"/>
  <c r="L308" i="20"/>
  <c r="J308" i="20" s="1"/>
  <c r="J300" i="20"/>
  <c r="R299" i="20"/>
  <c r="Q299" i="20"/>
  <c r="AO298" i="20"/>
  <c r="AN298" i="20"/>
  <c r="AM298" i="20"/>
  <c r="AL298" i="20"/>
  <c r="AK298" i="20"/>
  <c r="AJ298" i="20"/>
  <c r="AI298" i="20"/>
  <c r="AH298" i="20"/>
  <c r="AG298" i="20"/>
  <c r="AF298" i="20"/>
  <c r="AE298" i="20"/>
  <c r="AD298" i="20"/>
  <c r="AC298" i="20"/>
  <c r="AB298" i="20"/>
  <c r="AA298" i="20"/>
  <c r="Y298" i="20"/>
  <c r="X298" i="20"/>
  <c r="W298" i="20"/>
  <c r="V298" i="20"/>
  <c r="U298" i="20"/>
  <c r="T298" i="20"/>
  <c r="S298" i="20"/>
  <c r="R298" i="20"/>
  <c r="Q298" i="20"/>
  <c r="P298" i="20"/>
  <c r="O298" i="20"/>
  <c r="N298" i="20"/>
  <c r="M298" i="20"/>
  <c r="L298" i="20"/>
  <c r="J298" i="20" s="1"/>
  <c r="W295" i="20"/>
  <c r="AK293" i="20"/>
  <c r="AJ293" i="20"/>
  <c r="AI293" i="20"/>
  <c r="AH293" i="20"/>
  <c r="AG293" i="20"/>
  <c r="AG247" i="20" s="1"/>
  <c r="AF293" i="20"/>
  <c r="AE293" i="20"/>
  <c r="AD293" i="20"/>
  <c r="AD289" i="20" s="1"/>
  <c r="AD288" i="20" s="1"/>
  <c r="AC293" i="20"/>
  <c r="AC288" i="20" s="1"/>
  <c r="AB293" i="20"/>
  <c r="AB288" i="20" s="1"/>
  <c r="AA293" i="20"/>
  <c r="AA292" i="20"/>
  <c r="V292" i="20"/>
  <c r="V289" i="20" s="1"/>
  <c r="V288" i="20" s="1"/>
  <c r="Q292" i="20"/>
  <c r="P292" i="20"/>
  <c r="R290" i="20"/>
  <c r="P290" i="20" s="1"/>
  <c r="AE289" i="20"/>
  <c r="AE288" i="20" s="1"/>
  <c r="Z289" i="20"/>
  <c r="Y289" i="20"/>
  <c r="X289" i="20"/>
  <c r="X288" i="20" s="1"/>
  <c r="W289" i="20"/>
  <c r="W288" i="20" s="1"/>
  <c r="U289" i="20"/>
  <c r="T289" i="20"/>
  <c r="T288" i="20" s="1"/>
  <c r="S289" i="20"/>
  <c r="S288" i="20" s="1"/>
  <c r="Q289" i="20"/>
  <c r="J289" i="20"/>
  <c r="AQ288" i="20"/>
  <c r="AO288" i="20"/>
  <c r="AN288" i="20"/>
  <c r="AL288" i="20"/>
  <c r="AK288" i="20"/>
  <c r="AJ288" i="20"/>
  <c r="AI288" i="20"/>
  <c r="AH288" i="20"/>
  <c r="AG288" i="20"/>
  <c r="AF288" i="20"/>
  <c r="Z288" i="20"/>
  <c r="Y288" i="20"/>
  <c r="U288" i="20"/>
  <c r="P288" i="20"/>
  <c r="O288" i="20"/>
  <c r="N288" i="20"/>
  <c r="M288" i="20"/>
  <c r="L288" i="20"/>
  <c r="J288" i="20" s="1"/>
  <c r="J287" i="20"/>
  <c r="R286" i="20"/>
  <c r="Q286" i="20"/>
  <c r="Q285" i="20" s="1"/>
  <c r="P286" i="20"/>
  <c r="AO285" i="20"/>
  <c r="AN285" i="20"/>
  <c r="AM285" i="20"/>
  <c r="AL285" i="20"/>
  <c r="AK285" i="20"/>
  <c r="AJ285" i="20"/>
  <c r="AI285" i="20"/>
  <c r="AH285" i="20"/>
  <c r="AG285" i="20"/>
  <c r="AF285" i="20"/>
  <c r="AE285" i="20"/>
  <c r="AD285" i="20"/>
  <c r="AC285" i="20"/>
  <c r="AB285" i="20"/>
  <c r="AA285" i="20"/>
  <c r="Z285" i="20"/>
  <c r="Y285" i="20"/>
  <c r="X285" i="20"/>
  <c r="W285" i="20"/>
  <c r="V285" i="20"/>
  <c r="U285" i="20"/>
  <c r="T285" i="20"/>
  <c r="S285" i="20"/>
  <c r="R285" i="20"/>
  <c r="P285" i="20"/>
  <c r="O285" i="20"/>
  <c r="N285" i="20"/>
  <c r="M285" i="20"/>
  <c r="L285" i="20"/>
  <c r="J285" i="20" s="1"/>
  <c r="J284" i="20"/>
  <c r="Q283" i="20"/>
  <c r="AA282" i="20"/>
  <c r="R282" i="20"/>
  <c r="R279" i="20" s="1"/>
  <c r="R278" i="20" s="1"/>
  <c r="Q282" i="20"/>
  <c r="Q281" i="20"/>
  <c r="R280" i="20"/>
  <c r="P280" i="20" s="1"/>
  <c r="Q280" i="20"/>
  <c r="AJ279" i="20"/>
  <c r="AJ278" i="20" s="1"/>
  <c r="AI279" i="20"/>
  <c r="AI278" i="20" s="1"/>
  <c r="AH279" i="20"/>
  <c r="AH278" i="20" s="1"/>
  <c r="AG279" i="20"/>
  <c r="AG278" i="20" s="1"/>
  <c r="AF279" i="20"/>
  <c r="AF278" i="20" s="1"/>
  <c r="AE279" i="20"/>
  <c r="AE278" i="20" s="1"/>
  <c r="AD279" i="20"/>
  <c r="AD278" i="20" s="1"/>
  <c r="AC279" i="20"/>
  <c r="AC278" i="20" s="1"/>
  <c r="AB279" i="20"/>
  <c r="AB278" i="20" s="1"/>
  <c r="AA279" i="20"/>
  <c r="AA278" i="20" s="1"/>
  <c r="Y279" i="20"/>
  <c r="Y278" i="20" s="1"/>
  <c r="W279" i="20"/>
  <c r="W278" i="20" s="1"/>
  <c r="V279" i="20"/>
  <c r="V278" i="20" s="1"/>
  <c r="U279" i="20"/>
  <c r="U278" i="20" s="1"/>
  <c r="T279" i="20"/>
  <c r="T278" i="20" s="1"/>
  <c r="S279" i="20"/>
  <c r="S278" i="20" s="1"/>
  <c r="J279" i="20"/>
  <c r="AO278" i="20"/>
  <c r="AN278" i="20"/>
  <c r="X278" i="20"/>
  <c r="P278" i="20"/>
  <c r="O278" i="20"/>
  <c r="N278" i="20"/>
  <c r="M278" i="20"/>
  <c r="L278" i="20"/>
  <c r="J278" i="20" s="1"/>
  <c r="J277" i="20"/>
  <c r="AA276" i="20"/>
  <c r="AA274" i="20" s="1"/>
  <c r="AA273" i="20" s="1"/>
  <c r="T276" i="20"/>
  <c r="P276" i="20" s="1"/>
  <c r="Q276" i="20"/>
  <c r="AF275" i="20"/>
  <c r="AF274" i="20" s="1"/>
  <c r="T275" i="20"/>
  <c r="Q275" i="20"/>
  <c r="AJ274" i="20"/>
  <c r="AJ273" i="20" s="1"/>
  <c r="AI274" i="20"/>
  <c r="AI273" i="20" s="1"/>
  <c r="AH274" i="20"/>
  <c r="AH273" i="20" s="1"/>
  <c r="AG274" i="20"/>
  <c r="AG273" i="20" s="1"/>
  <c r="AE274" i="20"/>
  <c r="AE273" i="20" s="1"/>
  <c r="AD274" i="20"/>
  <c r="AD273" i="20" s="1"/>
  <c r="AC274" i="20"/>
  <c r="AC273" i="20" s="1"/>
  <c r="AB274" i="20"/>
  <c r="Y274" i="20"/>
  <c r="Y273" i="20" s="1"/>
  <c r="W274" i="20"/>
  <c r="W273" i="20" s="1"/>
  <c r="V274" i="20"/>
  <c r="V273" i="20" s="1"/>
  <c r="U274" i="20"/>
  <c r="U273" i="20" s="1"/>
  <c r="S274" i="20"/>
  <c r="R274" i="20" s="1"/>
  <c r="R273" i="20" s="1"/>
  <c r="AO273" i="20"/>
  <c r="AN273" i="20"/>
  <c r="AM273" i="20"/>
  <c r="AK273" i="20"/>
  <c r="AL273" i="20" s="1"/>
  <c r="AF273" i="20"/>
  <c r="AB273" i="20"/>
  <c r="X273" i="20"/>
  <c r="S273" i="20"/>
  <c r="O273" i="20"/>
  <c r="N273" i="20"/>
  <c r="M273" i="20"/>
  <c r="L273" i="20"/>
  <c r="J273" i="20" s="1"/>
  <c r="J272" i="20"/>
  <c r="AF271" i="20"/>
  <c r="AF270" i="20" s="1"/>
  <c r="AF269" i="20" s="1"/>
  <c r="AA271" i="20"/>
  <c r="U271" i="20"/>
  <c r="Q271" i="20" s="1"/>
  <c r="P271" i="20"/>
  <c r="AJ270" i="20"/>
  <c r="AJ269" i="20" s="1"/>
  <c r="AI270" i="20"/>
  <c r="AI269" i="20" s="1"/>
  <c r="AH270" i="20"/>
  <c r="AH269" i="20" s="1"/>
  <c r="AG270" i="20"/>
  <c r="AG269" i="20" s="1"/>
  <c r="AD270" i="20"/>
  <c r="AD269" i="20" s="1"/>
  <c r="AC270" i="20"/>
  <c r="AB270" i="20"/>
  <c r="AB269" i="20" s="1"/>
  <c r="Y270" i="20"/>
  <c r="Y269" i="20" s="1"/>
  <c r="X270" i="20"/>
  <c r="X269" i="20" s="1"/>
  <c r="W270" i="20"/>
  <c r="W269" i="20" s="1"/>
  <c r="V270" i="20"/>
  <c r="V269" i="20" s="1"/>
  <c r="S270" i="20"/>
  <c r="S269" i="20" s="1"/>
  <c r="R270" i="20"/>
  <c r="J270" i="20"/>
  <c r="AO269" i="20"/>
  <c r="AN269" i="20"/>
  <c r="AE269" i="20"/>
  <c r="AC269" i="20"/>
  <c r="AA269" i="20"/>
  <c r="R269" i="20"/>
  <c r="Q269" i="20"/>
  <c r="P269" i="20"/>
  <c r="O269" i="20"/>
  <c r="N269" i="20"/>
  <c r="M269" i="20"/>
  <c r="L269" i="20"/>
  <c r="J269" i="20" s="1"/>
  <c r="AK267" i="20"/>
  <c r="AL267" i="20" s="1"/>
  <c r="O267" i="20"/>
  <c r="N267" i="20"/>
  <c r="M267" i="20"/>
  <c r="L267" i="20"/>
  <c r="AA266" i="20"/>
  <c r="V266" i="20"/>
  <c r="V265" i="20" s="1"/>
  <c r="Q266" i="20"/>
  <c r="AI265" i="20"/>
  <c r="AH265" i="20"/>
  <c r="AG265" i="20"/>
  <c r="AF265" i="20"/>
  <c r="AE265" i="20"/>
  <c r="AD265" i="20"/>
  <c r="AC265" i="20"/>
  <c r="AB265" i="20"/>
  <c r="AB260" i="20" s="1"/>
  <c r="Y265" i="20"/>
  <c r="Y247" i="20" s="1"/>
  <c r="X265" i="20"/>
  <c r="W265" i="20"/>
  <c r="U265" i="20"/>
  <c r="T265" i="20"/>
  <c r="T247" i="20" s="1"/>
  <c r="S265" i="20"/>
  <c r="R265" i="20"/>
  <c r="AA263" i="20"/>
  <c r="T263" i="20"/>
  <c r="Q263" i="20"/>
  <c r="AA262" i="20"/>
  <c r="T262" i="20"/>
  <c r="R262" i="20"/>
  <c r="Q262" i="20"/>
  <c r="AE261" i="20"/>
  <c r="AD261" i="20"/>
  <c r="AC261" i="20"/>
  <c r="AB261" i="20"/>
  <c r="Y261" i="20"/>
  <c r="X261" i="20"/>
  <c r="X260" i="20" s="1"/>
  <c r="W261" i="20"/>
  <c r="W260" i="20" s="1"/>
  <c r="V261" i="20"/>
  <c r="U261" i="20"/>
  <c r="S261" i="20"/>
  <c r="S260" i="20" s="1"/>
  <c r="R261" i="20"/>
  <c r="R260" i="20" s="1"/>
  <c r="AQ260" i="20"/>
  <c r="AG260" i="20"/>
  <c r="AF260" i="20"/>
  <c r="AC260" i="20"/>
  <c r="AA260" i="20"/>
  <c r="Z260" i="20"/>
  <c r="Q260" i="20"/>
  <c r="P260" i="20"/>
  <c r="O260" i="20"/>
  <c r="N260" i="20"/>
  <c r="M260" i="20"/>
  <c r="L260" i="20"/>
  <c r="J260" i="20" s="1"/>
  <c r="AF259" i="20"/>
  <c r="AF258" i="20" s="1"/>
  <c r="AF257" i="20" s="1"/>
  <c r="AA259" i="20"/>
  <c r="V259" i="20"/>
  <c r="V258" i="20" s="1"/>
  <c r="V257" i="20" s="1"/>
  <c r="R259" i="20"/>
  <c r="R258" i="20" s="1"/>
  <c r="R257" i="20" s="1"/>
  <c r="Q259" i="20"/>
  <c r="P259" i="20" s="1"/>
  <c r="AO258" i="20"/>
  <c r="AN258" i="20"/>
  <c r="AN257" i="20" s="1"/>
  <c r="AM258" i="20"/>
  <c r="AM257" i="20" s="1"/>
  <c r="AL258" i="20"/>
  <c r="AL257" i="20" s="1"/>
  <c r="AK258" i="20"/>
  <c r="AJ258" i="20"/>
  <c r="AJ257" i="20" s="1"/>
  <c r="AI258" i="20"/>
  <c r="AI257" i="20" s="1"/>
  <c r="AH258" i="20"/>
  <c r="AG258" i="20"/>
  <c r="AE258" i="20"/>
  <c r="AE257" i="20" s="1"/>
  <c r="AD258" i="20"/>
  <c r="AD257" i="20" s="1"/>
  <c r="AC258" i="20"/>
  <c r="AC257" i="20" s="1"/>
  <c r="AB258" i="20"/>
  <c r="AB257" i="20" s="1"/>
  <c r="AA258" i="20"/>
  <c r="AA257" i="20" s="1"/>
  <c r="Y258" i="20"/>
  <c r="Y257" i="20" s="1"/>
  <c r="W258" i="20"/>
  <c r="U258" i="20"/>
  <c r="U257" i="20" s="1"/>
  <c r="T258" i="20"/>
  <c r="T257" i="20" s="1"/>
  <c r="S258" i="20"/>
  <c r="S257" i="20" s="1"/>
  <c r="AO257" i="20"/>
  <c r="AK257" i="20"/>
  <c r="AH257" i="20"/>
  <c r="AG257" i="20"/>
  <c r="X257" i="20"/>
  <c r="W257" i="20"/>
  <c r="P257" i="20"/>
  <c r="M257" i="20"/>
  <c r="L257" i="20"/>
  <c r="J257" i="20" s="1"/>
  <c r="AA255" i="20"/>
  <c r="X255" i="20"/>
  <c r="X253" i="20" s="1"/>
  <c r="V255" i="20"/>
  <c r="V253" i="20" s="1"/>
  <c r="V252" i="20" s="1"/>
  <c r="Q255" i="20"/>
  <c r="AA254" i="20"/>
  <c r="AA253" i="20" s="1"/>
  <c r="AA252" i="20" s="1"/>
  <c r="Q254" i="20"/>
  <c r="P254" i="20" s="1"/>
  <c r="AE253" i="20"/>
  <c r="AE252" i="20" s="1"/>
  <c r="AD253" i="20"/>
  <c r="AC253" i="20"/>
  <c r="AC252" i="20" s="1"/>
  <c r="AB253" i="20"/>
  <c r="Y253" i="20"/>
  <c r="Y252" i="20" s="1"/>
  <c r="W253" i="20"/>
  <c r="W252" i="20" s="1"/>
  <c r="U253" i="20"/>
  <c r="U252" i="20" s="1"/>
  <c r="T253" i="20"/>
  <c r="T252" i="20" s="1"/>
  <c r="S253" i="20"/>
  <c r="S252" i="20" s="1"/>
  <c r="R253" i="20"/>
  <c r="R252" i="20" s="1"/>
  <c r="Q253" i="20"/>
  <c r="Q252" i="20" s="1"/>
  <c r="AO252" i="20"/>
  <c r="AN252" i="20"/>
  <c r="AM252" i="20"/>
  <c r="AL252" i="20"/>
  <c r="AK252" i="20"/>
  <c r="AJ252" i="20"/>
  <c r="AI252" i="20"/>
  <c r="AH252" i="20"/>
  <c r="AG252" i="20"/>
  <c r="AF252" i="20"/>
  <c r="AD252" i="20"/>
  <c r="AB252" i="20"/>
  <c r="X252" i="20"/>
  <c r="P252" i="20"/>
  <c r="O252" i="20"/>
  <c r="N252" i="20"/>
  <c r="M252" i="20"/>
  <c r="L252" i="20"/>
  <c r="AA251" i="20"/>
  <c r="AA250" i="20" s="1"/>
  <c r="Q251" i="20"/>
  <c r="Q250" i="20" s="1"/>
  <c r="AI250" i="20"/>
  <c r="AI249" i="20" s="1"/>
  <c r="AH250" i="20"/>
  <c r="AG250" i="20"/>
  <c r="AG249" i="20" s="1"/>
  <c r="AF250" i="20"/>
  <c r="AF249" i="20" s="1"/>
  <c r="AE250" i="20"/>
  <c r="AE249" i="20" s="1"/>
  <c r="AD250" i="20"/>
  <c r="AD249" i="20" s="1"/>
  <c r="AC250" i="20"/>
  <c r="AB250" i="20"/>
  <c r="AB249" i="20" s="1"/>
  <c r="AB246" i="20" s="1"/>
  <c r="Y250" i="20"/>
  <c r="X250" i="20"/>
  <c r="X249" i="20" s="1"/>
  <c r="W250" i="20"/>
  <c r="W249" i="20" s="1"/>
  <c r="V250" i="20"/>
  <c r="U250" i="20"/>
  <c r="U249" i="20" s="1"/>
  <c r="T250" i="20"/>
  <c r="S250" i="20"/>
  <c r="S249" i="20" s="1"/>
  <c r="R250" i="20"/>
  <c r="AO249" i="20"/>
  <c r="AN249" i="20"/>
  <c r="AM249" i="20"/>
  <c r="AL249" i="20"/>
  <c r="AK249" i="20"/>
  <c r="AJ249" i="20"/>
  <c r="AH249" i="20"/>
  <c r="AC249" i="20"/>
  <c r="Y249" i="20"/>
  <c r="V249" i="20"/>
  <c r="T249" i="20"/>
  <c r="R249" i="20"/>
  <c r="O249" i="20"/>
  <c r="N249" i="20"/>
  <c r="M249" i="20"/>
  <c r="L249" i="20"/>
  <c r="L248" i="20"/>
  <c r="AM247" i="20"/>
  <c r="AL247" i="20"/>
  <c r="AK247" i="20"/>
  <c r="AJ247" i="20"/>
  <c r="AF247" i="20"/>
  <c r="AC247" i="20"/>
  <c r="AB247" i="20"/>
  <c r="X247" i="20"/>
  <c r="W247" i="20"/>
  <c r="U247" i="20"/>
  <c r="S247" i="20"/>
  <c r="R247" i="20"/>
  <c r="P247" i="20"/>
  <c r="O247" i="20"/>
  <c r="N247" i="20"/>
  <c r="M247" i="20"/>
  <c r="L247" i="20"/>
  <c r="P246" i="20"/>
  <c r="K246" i="20"/>
  <c r="L245" i="20"/>
  <c r="AO243" i="20"/>
  <c r="AN243" i="20"/>
  <c r="AM243" i="20"/>
  <c r="AL243" i="20"/>
  <c r="AK243" i="20"/>
  <c r="AG243" i="20"/>
  <c r="AF243" i="20"/>
  <c r="AE243" i="20"/>
  <c r="AD243" i="20"/>
  <c r="AC243" i="20"/>
  <c r="AB243" i="20"/>
  <c r="Y243" i="20"/>
  <c r="X243" i="20"/>
  <c r="W243" i="20"/>
  <c r="W242" i="20" s="1"/>
  <c r="V243" i="20"/>
  <c r="V242" i="20" s="1"/>
  <c r="U243" i="20"/>
  <c r="T243" i="20"/>
  <c r="S243" i="20"/>
  <c r="S242" i="20" s="1"/>
  <c r="R243" i="20"/>
  <c r="R242" i="20" s="1"/>
  <c r="O243" i="20"/>
  <c r="L243" i="20" s="1"/>
  <c r="AO242" i="20"/>
  <c r="AN242" i="20"/>
  <c r="AJ242" i="20"/>
  <c r="AI242" i="20"/>
  <c r="AH242" i="20"/>
  <c r="AG242" i="20"/>
  <c r="AF242" i="20"/>
  <c r="AE242" i="20"/>
  <c r="AD242" i="20"/>
  <c r="AC242" i="20"/>
  <c r="AB242" i="20"/>
  <c r="AA242" i="20"/>
  <c r="Z242" i="20"/>
  <c r="Y242" i="20"/>
  <c r="X242" i="20"/>
  <c r="U242" i="20"/>
  <c r="T242" i="20"/>
  <c r="Q242" i="20"/>
  <c r="P242" i="20"/>
  <c r="O242" i="20"/>
  <c r="N242" i="20"/>
  <c r="M242" i="20"/>
  <c r="R240" i="20"/>
  <c r="L240" i="20"/>
  <c r="AO239" i="20"/>
  <c r="AN239" i="20"/>
  <c r="AM239" i="20"/>
  <c r="AL239" i="20"/>
  <c r="AK239" i="20"/>
  <c r="AG239" i="20"/>
  <c r="AG238" i="20" s="1"/>
  <c r="AF239" i="20"/>
  <c r="AF238" i="20" s="1"/>
  <c r="AE239" i="20"/>
  <c r="AE238" i="20" s="1"/>
  <c r="AE232" i="20" s="1"/>
  <c r="AD239" i="20"/>
  <c r="AC239" i="20"/>
  <c r="AC238" i="20" s="1"/>
  <c r="AC232" i="20" s="1"/>
  <c r="AB239" i="20"/>
  <c r="AB238" i="20" s="1"/>
  <c r="AB232" i="20" s="1"/>
  <c r="AA239" i="20"/>
  <c r="AA238" i="20" s="1"/>
  <c r="AA232" i="20" s="1"/>
  <c r="Y239" i="20"/>
  <c r="X239" i="20"/>
  <c r="X238" i="20" s="1"/>
  <c r="X232" i="20" s="1"/>
  <c r="W239" i="20"/>
  <c r="W238" i="20" s="1"/>
  <c r="W232" i="20" s="1"/>
  <c r="V239" i="20"/>
  <c r="V238" i="20" s="1"/>
  <c r="V232" i="20" s="1"/>
  <c r="U239" i="20"/>
  <c r="T239" i="20"/>
  <c r="T238" i="20" s="1"/>
  <c r="T232" i="20" s="1"/>
  <c r="S239" i="20"/>
  <c r="S238" i="20" s="1"/>
  <c r="S232" i="20" s="1"/>
  <c r="O239" i="20"/>
  <c r="AO238" i="20"/>
  <c r="AO232" i="20" s="1"/>
  <c r="AN238" i="20"/>
  <c r="AJ238" i="20"/>
  <c r="AI238" i="20"/>
  <c r="AH238" i="20"/>
  <c r="AD238" i="20"/>
  <c r="AD232" i="20" s="1"/>
  <c r="Z238" i="20"/>
  <c r="Y238" i="20"/>
  <c r="Y232" i="20" s="1"/>
  <c r="U238" i="20"/>
  <c r="U232" i="20" s="1"/>
  <c r="Q238" i="20"/>
  <c r="N238" i="20"/>
  <c r="N232" i="20" s="1"/>
  <c r="M238" i="20"/>
  <c r="M232" i="20" s="1"/>
  <c r="AO235" i="20"/>
  <c r="AN235" i="20"/>
  <c r="AM235" i="20"/>
  <c r="AL235" i="20"/>
  <c r="AK235" i="20"/>
  <c r="AJ235" i="20"/>
  <c r="AI235" i="20"/>
  <c r="AH235" i="20"/>
  <c r="AG235" i="20"/>
  <c r="AF235" i="20"/>
  <c r="AE235" i="20"/>
  <c r="AD235" i="20"/>
  <c r="AC235" i="20"/>
  <c r="AB235" i="20"/>
  <c r="AA235" i="20"/>
  <c r="Y235" i="20"/>
  <c r="X235" i="20"/>
  <c r="W235" i="20"/>
  <c r="V235" i="20"/>
  <c r="U235" i="20"/>
  <c r="T235" i="20"/>
  <c r="S235" i="20"/>
  <c r="R235" i="20"/>
  <c r="Q235" i="20"/>
  <c r="P235" i="20"/>
  <c r="O235" i="20"/>
  <c r="N235" i="20"/>
  <c r="M235" i="20"/>
  <c r="L235" i="20"/>
  <c r="L234" i="20"/>
  <c r="L233" i="20"/>
  <c r="Q232" i="20"/>
  <c r="K232" i="20"/>
  <c r="L231" i="20"/>
  <c r="AO229" i="20"/>
  <c r="AN229" i="20"/>
  <c r="AM229" i="20"/>
  <c r="AL229" i="20"/>
  <c r="AK229" i="20"/>
  <c r="AJ229" i="20"/>
  <c r="AI229" i="20"/>
  <c r="AH229" i="20"/>
  <c r="AG229" i="20"/>
  <c r="AF229" i="20"/>
  <c r="AE229" i="20"/>
  <c r="AD229" i="20"/>
  <c r="AC229" i="20"/>
  <c r="AB229" i="20"/>
  <c r="AA229" i="20"/>
  <c r="Y229" i="20"/>
  <c r="X229" i="20"/>
  <c r="W229" i="20"/>
  <c r="V229" i="20"/>
  <c r="U229" i="20"/>
  <c r="T229" i="20"/>
  <c r="S229" i="20"/>
  <c r="R229" i="20"/>
  <c r="Q229" i="20"/>
  <c r="P229" i="20"/>
  <c r="O229" i="20"/>
  <c r="N229" i="20"/>
  <c r="M229" i="20"/>
  <c r="L229" i="20"/>
  <c r="AO227" i="20"/>
  <c r="AN227" i="20"/>
  <c r="AM227" i="20"/>
  <c r="AL227" i="20"/>
  <c r="AK227" i="20"/>
  <c r="AJ227" i="20"/>
  <c r="AI227" i="20"/>
  <c r="AH227" i="20"/>
  <c r="AG227" i="20"/>
  <c r="AF227" i="20"/>
  <c r="AE227" i="20"/>
  <c r="AD227" i="20"/>
  <c r="AC227" i="20"/>
  <c r="AB227" i="20"/>
  <c r="AA227" i="20"/>
  <c r="Y227" i="20"/>
  <c r="X227" i="20"/>
  <c r="W227" i="20"/>
  <c r="V227" i="20"/>
  <c r="U227" i="20"/>
  <c r="T227" i="20"/>
  <c r="S227" i="20"/>
  <c r="R227" i="20"/>
  <c r="Q227" i="20"/>
  <c r="P227" i="20"/>
  <c r="O227" i="20"/>
  <c r="N227" i="20"/>
  <c r="M227" i="20"/>
  <c r="L227" i="20"/>
  <c r="AO225" i="20"/>
  <c r="AN225" i="20"/>
  <c r="AM225" i="20"/>
  <c r="AL225" i="20"/>
  <c r="AK225" i="20"/>
  <c r="AJ225" i="20"/>
  <c r="AI225" i="20"/>
  <c r="AH225" i="20"/>
  <c r="AG225" i="20"/>
  <c r="AF225" i="20"/>
  <c r="AE225" i="20"/>
  <c r="AD225" i="20"/>
  <c r="AC225" i="20"/>
  <c r="AB225" i="20"/>
  <c r="AA225" i="20"/>
  <c r="Y225" i="20"/>
  <c r="X225" i="20"/>
  <c r="W225" i="20"/>
  <c r="V225" i="20"/>
  <c r="U225" i="20"/>
  <c r="T225" i="20"/>
  <c r="S225" i="20"/>
  <c r="R225" i="20"/>
  <c r="Q225" i="20"/>
  <c r="P225" i="20"/>
  <c r="O225" i="20"/>
  <c r="N225" i="20"/>
  <c r="M225" i="20"/>
  <c r="L225" i="20"/>
  <c r="Q224" i="20"/>
  <c r="Q223" i="20"/>
  <c r="Q222" i="20"/>
  <c r="Q221" i="20"/>
  <c r="AJ220" i="20"/>
  <c r="AJ219" i="20" s="1"/>
  <c r="AI220" i="20"/>
  <c r="AI219" i="20" s="1"/>
  <c r="AH220" i="20"/>
  <c r="AG220" i="20"/>
  <c r="AG219" i="20" s="1"/>
  <c r="AF220" i="20"/>
  <c r="AF219" i="20" s="1"/>
  <c r="AE220" i="20"/>
  <c r="AE219" i="20" s="1"/>
  <c r="AD220" i="20"/>
  <c r="AD219" i="20" s="1"/>
  <c r="AC220" i="20"/>
  <c r="AC219" i="20" s="1"/>
  <c r="AB220" i="20"/>
  <c r="AB219" i="20" s="1"/>
  <c r="AA220" i="20"/>
  <c r="AA219" i="20" s="1"/>
  <c r="Y220" i="20"/>
  <c r="Y219" i="20" s="1"/>
  <c r="W220" i="20"/>
  <c r="W219" i="20" s="1"/>
  <c r="V220" i="20"/>
  <c r="V219" i="20" s="1"/>
  <c r="U220" i="20"/>
  <c r="T220" i="20"/>
  <c r="T219" i="20" s="1"/>
  <c r="S220" i="20"/>
  <c r="S219" i="20" s="1"/>
  <c r="R220" i="20"/>
  <c r="R219" i="20" s="1"/>
  <c r="AO219" i="20"/>
  <c r="AN219" i="20"/>
  <c r="AM219" i="20"/>
  <c r="AL219" i="20"/>
  <c r="AK219" i="20"/>
  <c r="AH219" i="20"/>
  <c r="X219" i="20"/>
  <c r="U219" i="20"/>
  <c r="P219" i="20"/>
  <c r="O219" i="20"/>
  <c r="N219" i="20"/>
  <c r="M219" i="20"/>
  <c r="L219" i="20"/>
  <c r="Q218" i="20"/>
  <c r="Q217" i="20"/>
  <c r="Q216" i="20"/>
  <c r="Q215" i="20"/>
  <c r="AO214" i="20"/>
  <c r="AO213" i="20" s="1"/>
  <c r="AN214" i="20"/>
  <c r="AN213" i="20" s="1"/>
  <c r="AM214" i="20"/>
  <c r="AM213" i="20" s="1"/>
  <c r="AL214" i="20"/>
  <c r="AL213" i="20" s="1"/>
  <c r="AK214" i="20"/>
  <c r="AK213" i="20" s="1"/>
  <c r="AJ214" i="20"/>
  <c r="AJ213" i="20" s="1"/>
  <c r="AI214" i="20"/>
  <c r="AI213" i="20" s="1"/>
  <c r="AH214" i="20"/>
  <c r="AH213" i="20" s="1"/>
  <c r="AG214" i="20"/>
  <c r="AG213" i="20" s="1"/>
  <c r="AF214" i="20"/>
  <c r="AF213" i="20" s="1"/>
  <c r="AE214" i="20"/>
  <c r="AE213" i="20" s="1"/>
  <c r="AD214" i="20"/>
  <c r="AD213" i="20" s="1"/>
  <c r="AC214" i="20"/>
  <c r="AC213" i="20" s="1"/>
  <c r="AB214" i="20"/>
  <c r="AB213" i="20" s="1"/>
  <c r="AA214" i="20"/>
  <c r="AA213" i="20" s="1"/>
  <c r="Y214" i="20"/>
  <c r="Y213" i="20" s="1"/>
  <c r="W214" i="20"/>
  <c r="W213" i="20" s="1"/>
  <c r="V214" i="20"/>
  <c r="U214" i="20"/>
  <c r="T214" i="20"/>
  <c r="T213" i="20" s="1"/>
  <c r="S214" i="20"/>
  <c r="S213" i="20" s="1"/>
  <c r="R214" i="20"/>
  <c r="X213" i="20"/>
  <c r="V213" i="20"/>
  <c r="U213" i="20"/>
  <c r="R213" i="20"/>
  <c r="P213" i="20"/>
  <c r="O213" i="20"/>
  <c r="N213" i="20"/>
  <c r="M213" i="20"/>
  <c r="L213" i="20"/>
  <c r="AF211" i="20"/>
  <c r="AF209" i="20" s="1"/>
  <c r="AF208" i="20" s="1"/>
  <c r="AA211" i="20"/>
  <c r="U211" i="20"/>
  <c r="T211" i="20" s="1"/>
  <c r="T209" i="20" s="1"/>
  <c r="T208" i="20" s="1"/>
  <c r="AA210" i="20"/>
  <c r="V210" i="20"/>
  <c r="AO209" i="20"/>
  <c r="AO208" i="20" s="1"/>
  <c r="AO205" i="20" s="1"/>
  <c r="AN209" i="20"/>
  <c r="AN208" i="20" s="1"/>
  <c r="AN205" i="20" s="1"/>
  <c r="AM209" i="20"/>
  <c r="AL209" i="20"/>
  <c r="AK209" i="20"/>
  <c r="AJ209" i="20"/>
  <c r="AJ208" i="20" s="1"/>
  <c r="AI209" i="20"/>
  <c r="AH209" i="20"/>
  <c r="AH208" i="20" s="1"/>
  <c r="AG209" i="20"/>
  <c r="AG208" i="20" s="1"/>
  <c r="AE209" i="20"/>
  <c r="AE208" i="20" s="1"/>
  <c r="AD209" i="20"/>
  <c r="AC209" i="20"/>
  <c r="AC208" i="20" s="1"/>
  <c r="AB209" i="20"/>
  <c r="AB208" i="20" s="1"/>
  <c r="Y209" i="20"/>
  <c r="Y208" i="20" s="1"/>
  <c r="X209" i="20"/>
  <c r="W209" i="20"/>
  <c r="W208" i="20" s="1"/>
  <c r="S209" i="20"/>
  <c r="S208" i="20" s="1"/>
  <c r="R209" i="20"/>
  <c r="R208" i="20" s="1"/>
  <c r="AI208" i="20"/>
  <c r="AD208" i="20"/>
  <c r="AA208" i="20"/>
  <c r="X208" i="20"/>
  <c r="X205" i="20" s="1"/>
  <c r="Q208" i="20"/>
  <c r="P208" i="20"/>
  <c r="P205" i="20" s="1"/>
  <c r="O208" i="20"/>
  <c r="O205" i="20" s="1"/>
  <c r="N208" i="20"/>
  <c r="M208" i="20"/>
  <c r="L208" i="20"/>
  <c r="L205" i="20" s="1"/>
  <c r="P206" i="20"/>
  <c r="K205" i="20"/>
  <c r="J205" i="20"/>
  <c r="P201" i="20"/>
  <c r="P198" i="20"/>
  <c r="P195" i="20"/>
  <c r="AA193" i="20"/>
  <c r="X193" i="20"/>
  <c r="Q193" i="20"/>
  <c r="AA192" i="20"/>
  <c r="X192" i="20"/>
  <c r="Q192" i="20"/>
  <c r="AA191" i="20"/>
  <c r="AA190" i="20"/>
  <c r="T190" i="20"/>
  <c r="R190" i="20"/>
  <c r="Q190" i="20"/>
  <c r="X189" i="20"/>
  <c r="Q189" i="20"/>
  <c r="AJ188" i="20"/>
  <c r="AJ187" i="20" s="1"/>
  <c r="AI188" i="20"/>
  <c r="AI187" i="20" s="1"/>
  <c r="AH188" i="20"/>
  <c r="AH187" i="20" s="1"/>
  <c r="AG188" i="20"/>
  <c r="AG187" i="20" s="1"/>
  <c r="AF188" i="20"/>
  <c r="AF187" i="20" s="1"/>
  <c r="AE188" i="20"/>
  <c r="AE187" i="20" s="1"/>
  <c r="AD188" i="20"/>
  <c r="AD187" i="20" s="1"/>
  <c r="AC188" i="20"/>
  <c r="AC187" i="20" s="1"/>
  <c r="AB188" i="20"/>
  <c r="AB187" i="20" s="1"/>
  <c r="S188" i="20"/>
  <c r="S187" i="20" s="1"/>
  <c r="R188" i="20"/>
  <c r="AO187" i="20"/>
  <c r="AN187" i="20"/>
  <c r="AM187" i="20"/>
  <c r="AL187" i="20"/>
  <c r="AK187" i="20"/>
  <c r="Y187" i="20"/>
  <c r="X187" i="20"/>
  <c r="W187" i="20"/>
  <c r="V187" i="20"/>
  <c r="U187" i="20"/>
  <c r="T187" i="20"/>
  <c r="R187" i="20"/>
  <c r="Q187" i="20"/>
  <c r="P187" i="20"/>
  <c r="O187" i="20"/>
  <c r="N187" i="20"/>
  <c r="M187" i="20"/>
  <c r="L187" i="20"/>
  <c r="AA186" i="20"/>
  <c r="Q186" i="20"/>
  <c r="AG185" i="20"/>
  <c r="AF185" i="20"/>
  <c r="AE185" i="20"/>
  <c r="AD185" i="20"/>
  <c r="AC185" i="20"/>
  <c r="AB185" i="20"/>
  <c r="AA185" i="20"/>
  <c r="Y185" i="20"/>
  <c r="Y184" i="20" s="1"/>
  <c r="X185" i="20"/>
  <c r="X184" i="20" s="1"/>
  <c r="W185" i="20"/>
  <c r="W184" i="20" s="1"/>
  <c r="V185" i="20"/>
  <c r="U185" i="20"/>
  <c r="U184" i="20" s="1"/>
  <c r="T185" i="20"/>
  <c r="T184" i="20" s="1"/>
  <c r="S185" i="20"/>
  <c r="S184" i="20" s="1"/>
  <c r="R185" i="20"/>
  <c r="R184" i="20" s="1"/>
  <c r="Q185" i="20"/>
  <c r="AO184" i="20"/>
  <c r="AN184" i="20"/>
  <c r="AM184" i="20"/>
  <c r="AL184" i="20"/>
  <c r="AK184" i="20"/>
  <c r="AJ184" i="20"/>
  <c r="AI184" i="20"/>
  <c r="AH184" i="20"/>
  <c r="AG184" i="20"/>
  <c r="AF184" i="20"/>
  <c r="AE184" i="20"/>
  <c r="AD184" i="20"/>
  <c r="AC184" i="20"/>
  <c r="AB184" i="20"/>
  <c r="V184" i="20"/>
  <c r="O184" i="20"/>
  <c r="N184" i="20"/>
  <c r="M184" i="20"/>
  <c r="L184" i="20"/>
  <c r="AA183" i="20"/>
  <c r="Q183" i="20"/>
  <c r="Q180" i="20" s="1"/>
  <c r="AE181" i="20"/>
  <c r="AE180" i="20" s="1"/>
  <c r="AD181" i="20"/>
  <c r="AD180" i="20" s="1"/>
  <c r="AC181" i="20"/>
  <c r="AC180" i="20" s="1"/>
  <c r="AB181" i="20"/>
  <c r="AB180" i="20" s="1"/>
  <c r="AA181" i="20"/>
  <c r="AA180" i="20" s="1"/>
  <c r="Y181" i="20"/>
  <c r="X181" i="20"/>
  <c r="X180" i="20" s="1"/>
  <c r="W181" i="20"/>
  <c r="W180" i="20" s="1"/>
  <c r="V181" i="20"/>
  <c r="V180" i="20" s="1"/>
  <c r="U181" i="20"/>
  <c r="T181" i="20"/>
  <c r="T180" i="20" s="1"/>
  <c r="AO180" i="20"/>
  <c r="AN180" i="20"/>
  <c r="AM180" i="20"/>
  <c r="AL180" i="20"/>
  <c r="AK180" i="20"/>
  <c r="AJ180" i="20"/>
  <c r="AI180" i="20"/>
  <c r="AH180" i="20"/>
  <c r="AG180" i="20"/>
  <c r="AF180" i="20"/>
  <c r="Z180" i="20"/>
  <c r="Y180" i="20"/>
  <c r="U180" i="20"/>
  <c r="S180" i="20"/>
  <c r="R180" i="20"/>
  <c r="P180" i="20"/>
  <c r="O180" i="20"/>
  <c r="N180" i="20"/>
  <c r="M180" i="20"/>
  <c r="L180" i="20"/>
  <c r="AF179" i="20"/>
  <c r="R179" i="20"/>
  <c r="Q179" i="20"/>
  <c r="AA178" i="20"/>
  <c r="AF177" i="20"/>
  <c r="AA177" i="20"/>
  <c r="Q177" i="20"/>
  <c r="AF176" i="20"/>
  <c r="AA176" i="20"/>
  <c r="R176" i="20"/>
  <c r="Q176" i="20"/>
  <c r="AF175" i="20"/>
  <c r="Q175" i="20"/>
  <c r="AF174" i="20"/>
  <c r="Q174" i="20"/>
  <c r="AF173" i="20"/>
  <c r="R173" i="20"/>
  <c r="Q173" i="20"/>
  <c r="AO172" i="20"/>
  <c r="AO171" i="20" s="1"/>
  <c r="AN172" i="20"/>
  <c r="AM172" i="20"/>
  <c r="AL172" i="20"/>
  <c r="AK172" i="20"/>
  <c r="AH172" i="20"/>
  <c r="AG172" i="20"/>
  <c r="AE172" i="20"/>
  <c r="AE171" i="20" s="1"/>
  <c r="AD172" i="20"/>
  <c r="AD171" i="20" s="1"/>
  <c r="AC172" i="20"/>
  <c r="AC171" i="20" s="1"/>
  <c r="AB172" i="20"/>
  <c r="AB171" i="20" s="1"/>
  <c r="Y172" i="20"/>
  <c r="Y171" i="20" s="1"/>
  <c r="W172" i="20"/>
  <c r="W171" i="20" s="1"/>
  <c r="V172" i="20"/>
  <c r="V171" i="20" s="1"/>
  <c r="U172" i="20"/>
  <c r="U171" i="20" s="1"/>
  <c r="T172" i="20"/>
  <c r="T171" i="20" s="1"/>
  <c r="S172" i="20"/>
  <c r="S171" i="20" s="1"/>
  <c r="AN171" i="20"/>
  <c r="AL171" i="20"/>
  <c r="AJ171" i="20"/>
  <c r="AI171" i="20"/>
  <c r="AH171" i="20"/>
  <c r="X171" i="20"/>
  <c r="Q171" i="20"/>
  <c r="AM171" i="20" s="1"/>
  <c r="O171" i="20"/>
  <c r="N171" i="20"/>
  <c r="M171" i="20"/>
  <c r="L171" i="20"/>
  <c r="J171" i="20" s="1"/>
  <c r="J160" i="20" s="1"/>
  <c r="J156" i="20" s="1"/>
  <c r="AA169" i="20"/>
  <c r="R169" i="20"/>
  <c r="R168" i="20" s="1"/>
  <c r="R167" i="20" s="1"/>
  <c r="Q169" i="20"/>
  <c r="AG168" i="20"/>
  <c r="AG167" i="20" s="1"/>
  <c r="AF168" i="20"/>
  <c r="AE168" i="20"/>
  <c r="AD168" i="20"/>
  <c r="AC168" i="20"/>
  <c r="AC167" i="20" s="1"/>
  <c r="AB168" i="20"/>
  <c r="Y168" i="20"/>
  <c r="X168" i="20"/>
  <c r="X167" i="20" s="1"/>
  <c r="W168" i="20"/>
  <c r="W167" i="20" s="1"/>
  <c r="V168" i="20"/>
  <c r="V167" i="20" s="1"/>
  <c r="U168" i="20"/>
  <c r="U167" i="20" s="1"/>
  <c r="T168" i="20"/>
  <c r="T167" i="20" s="1"/>
  <c r="S168" i="20"/>
  <c r="AO167" i="20"/>
  <c r="AN167" i="20"/>
  <c r="AJ167" i="20"/>
  <c r="AI167" i="20"/>
  <c r="AH167" i="20"/>
  <c r="AF167" i="20"/>
  <c r="AE167" i="20"/>
  <c r="AD167" i="20"/>
  <c r="AB167" i="20"/>
  <c r="AA167" i="20"/>
  <c r="Y167" i="20"/>
  <c r="S167" i="20"/>
  <c r="Q167" i="20"/>
  <c r="P167" i="20"/>
  <c r="O167" i="20"/>
  <c r="N167" i="20"/>
  <c r="M167" i="20"/>
  <c r="L167" i="20"/>
  <c r="K167" i="20"/>
  <c r="K160" i="20" s="1"/>
  <c r="K156" i="20" s="1"/>
  <c r="AA166" i="20"/>
  <c r="AA165" i="20" s="1"/>
  <c r="T166" i="20"/>
  <c r="T165" i="20" s="1"/>
  <c r="R166" i="20"/>
  <c r="Q166" i="20"/>
  <c r="Q165" i="20" s="1"/>
  <c r="AK165" i="20"/>
  <c r="AJ165" i="20"/>
  <c r="AI165" i="20"/>
  <c r="AH165" i="20"/>
  <c r="AH164" i="20" s="1"/>
  <c r="AG165" i="20"/>
  <c r="AG164" i="20" s="1"/>
  <c r="AF165" i="20"/>
  <c r="AE165" i="20"/>
  <c r="AD165" i="20"/>
  <c r="AD164" i="20" s="1"/>
  <c r="AC165" i="20"/>
  <c r="AC164" i="20" s="1"/>
  <c r="AB165" i="20"/>
  <c r="Y165" i="20"/>
  <c r="Y164" i="20" s="1"/>
  <c r="X165" i="20"/>
  <c r="X164" i="20" s="1"/>
  <c r="W165" i="20"/>
  <c r="W164" i="20" s="1"/>
  <c r="V165" i="20"/>
  <c r="U165" i="20"/>
  <c r="U164" i="20" s="1"/>
  <c r="S165" i="20"/>
  <c r="S164" i="20" s="1"/>
  <c r="R165" i="20"/>
  <c r="AO164" i="20"/>
  <c r="AN164" i="20"/>
  <c r="AN160" i="20" s="1"/>
  <c r="AN156" i="20" s="1"/>
  <c r="AM164" i="20"/>
  <c r="AK164" i="20"/>
  <c r="AL164" i="20" s="1"/>
  <c r="AJ164" i="20"/>
  <c r="AI164" i="20"/>
  <c r="AF164" i="20"/>
  <c r="AE164" i="20"/>
  <c r="AB164" i="20"/>
  <c r="V164" i="20"/>
  <c r="T164" i="20"/>
  <c r="R164" i="20"/>
  <c r="O164" i="20"/>
  <c r="N164" i="20"/>
  <c r="M164" i="20"/>
  <c r="L164" i="20"/>
  <c r="L160" i="20" s="1"/>
  <c r="L163" i="20"/>
  <c r="P162" i="20"/>
  <c r="N162" i="20"/>
  <c r="M162" i="20"/>
  <c r="L162" i="20"/>
  <c r="L161" i="20"/>
  <c r="P160" i="20"/>
  <c r="P156" i="20" s="1"/>
  <c r="O160" i="20"/>
  <c r="O156" i="20" s="1"/>
  <c r="AO159" i="20"/>
  <c r="AN159" i="20"/>
  <c r="AM1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A159" i="20"/>
  <c r="Y159" i="20"/>
  <c r="X159" i="20"/>
  <c r="W159" i="20"/>
  <c r="V159" i="20"/>
  <c r="U159" i="20"/>
  <c r="T159" i="20"/>
  <c r="S159" i="20"/>
  <c r="R159" i="20"/>
  <c r="Q159" i="20"/>
  <c r="P159" i="20"/>
  <c r="O159" i="20"/>
  <c r="N159" i="20"/>
  <c r="M159" i="20"/>
  <c r="K159" i="20"/>
  <c r="J159" i="20"/>
  <c r="AO158" i="20"/>
  <c r="AN158" i="20"/>
  <c r="AM158" i="20"/>
  <c r="AL158" i="20"/>
  <c r="AK158" i="20"/>
  <c r="K158" i="20"/>
  <c r="J158" i="20"/>
  <c r="AA151" i="20"/>
  <c r="R151" i="20"/>
  <c r="R149" i="20" s="1"/>
  <c r="R148" i="20" s="1"/>
  <c r="Q151" i="20"/>
  <c r="AA150" i="20"/>
  <c r="T150" i="20"/>
  <c r="T149" i="20" s="1"/>
  <c r="T148" i="20" s="1"/>
  <c r="Q150" i="20"/>
  <c r="AE149" i="20"/>
  <c r="AE148" i="20" s="1"/>
  <c r="AD149" i="20"/>
  <c r="AD148" i="20" s="1"/>
  <c r="AC149" i="20"/>
  <c r="AC148" i="20" s="1"/>
  <c r="AB149" i="20"/>
  <c r="AB148" i="20" s="1"/>
  <c r="Y149" i="20"/>
  <c r="Y148" i="20" s="1"/>
  <c r="X149" i="20"/>
  <c r="X148" i="20" s="1"/>
  <c r="W149" i="20"/>
  <c r="V149" i="20"/>
  <c r="V148" i="20" s="1"/>
  <c r="U149" i="20"/>
  <c r="U148" i="20" s="1"/>
  <c r="S149" i="20"/>
  <c r="S148" i="20" s="1"/>
  <c r="AO148" i="20"/>
  <c r="AN148" i="20"/>
  <c r="AJ148" i="20"/>
  <c r="AI148" i="20"/>
  <c r="AH148" i="20"/>
  <c r="AG148" i="20"/>
  <c r="AF148" i="20"/>
  <c r="W148" i="20"/>
  <c r="Q148" i="20"/>
  <c r="P148" i="20"/>
  <c r="O148" i="20"/>
  <c r="N148" i="20"/>
  <c r="M148" i="20"/>
  <c r="L148" i="20"/>
  <c r="AA146" i="20"/>
  <c r="R146" i="20"/>
  <c r="R144" i="20" s="1"/>
  <c r="R143" i="20" s="1"/>
  <c r="Q146" i="20"/>
  <c r="AA145" i="20"/>
  <c r="T145" i="20"/>
  <c r="T144" i="20" s="1"/>
  <c r="T143" i="20" s="1"/>
  <c r="Q145" i="20"/>
  <c r="AE144" i="20"/>
  <c r="AE143" i="20" s="1"/>
  <c r="AD144" i="20"/>
  <c r="AD143" i="20" s="1"/>
  <c r="AC144" i="20"/>
  <c r="AC143" i="20" s="1"/>
  <c r="AB144" i="20"/>
  <c r="AB143" i="20" s="1"/>
  <c r="Y144" i="20"/>
  <c r="Y143" i="20" s="1"/>
  <c r="X144" i="20"/>
  <c r="X143" i="20" s="1"/>
  <c r="W144" i="20"/>
  <c r="W143" i="20" s="1"/>
  <c r="V144" i="20"/>
  <c r="V143" i="20" s="1"/>
  <c r="U144" i="20"/>
  <c r="U143" i="20" s="1"/>
  <c r="S144" i="20"/>
  <c r="AO143" i="20"/>
  <c r="AN143" i="20"/>
  <c r="AJ143" i="20"/>
  <c r="AI143" i="20"/>
  <c r="AH143" i="20"/>
  <c r="AG143" i="20"/>
  <c r="AF143" i="20"/>
  <c r="S143" i="20"/>
  <c r="Q143" i="20"/>
  <c r="P143" i="20"/>
  <c r="O143" i="20"/>
  <c r="N143" i="20"/>
  <c r="M143" i="20"/>
  <c r="L143" i="20"/>
  <c r="AA141" i="20"/>
  <c r="R141" i="20"/>
  <c r="R139" i="20" s="1"/>
  <c r="R138" i="20" s="1"/>
  <c r="R129" i="20" s="1"/>
  <c r="Q141" i="20"/>
  <c r="AA140" i="20"/>
  <c r="AA139" i="20" s="1"/>
  <c r="AA138" i="20" s="1"/>
  <c r="AA129" i="20" s="1"/>
  <c r="T140" i="20"/>
  <c r="Q140" i="20"/>
  <c r="AE139" i="20"/>
  <c r="AE138" i="20" s="1"/>
  <c r="AD139" i="20"/>
  <c r="AC139" i="20"/>
  <c r="AC138" i="20" s="1"/>
  <c r="AB139" i="20"/>
  <c r="AB138" i="20" s="1"/>
  <c r="AB129" i="20" s="1"/>
  <c r="Y139" i="20"/>
  <c r="Y138" i="20" s="1"/>
  <c r="X139" i="20"/>
  <c r="X138" i="20" s="1"/>
  <c r="W139" i="20"/>
  <c r="V139" i="20"/>
  <c r="V138" i="20" s="1"/>
  <c r="U139" i="20"/>
  <c r="U138" i="20" s="1"/>
  <c r="U129" i="20" s="1"/>
  <c r="T139" i="20"/>
  <c r="T138" i="20" s="1"/>
  <c r="T124" i="20" s="1"/>
  <c r="S139" i="20"/>
  <c r="S138" i="20" s="1"/>
  <c r="S129" i="20" s="1"/>
  <c r="AO138" i="20"/>
  <c r="AO129" i="20" s="1"/>
  <c r="AN138" i="20"/>
  <c r="AN129" i="20" s="1"/>
  <c r="AJ138" i="20"/>
  <c r="AI138" i="20"/>
  <c r="AH138" i="20"/>
  <c r="AG138" i="20"/>
  <c r="AF138" i="20"/>
  <c r="AD138" i="20"/>
  <c r="W138" i="20"/>
  <c r="Q138" i="20"/>
  <c r="P138" i="20"/>
  <c r="P129" i="20" s="1"/>
  <c r="O138" i="20"/>
  <c r="O129" i="20" s="1"/>
  <c r="N138" i="20"/>
  <c r="M138" i="20"/>
  <c r="M129" i="20" s="1"/>
  <c r="L138" i="20"/>
  <c r="L129" i="20" s="1"/>
  <c r="AA135" i="20"/>
  <c r="Z135" i="20"/>
  <c r="Y135" i="20"/>
  <c r="X135" i="20"/>
  <c r="W135" i="20"/>
  <c r="V135" i="20"/>
  <c r="U135" i="20"/>
  <c r="T135" i="20"/>
  <c r="S135" i="20"/>
  <c r="R135" i="20"/>
  <c r="Q135" i="20"/>
  <c r="P135" i="20"/>
  <c r="AA132" i="20"/>
  <c r="Z132" i="20"/>
  <c r="Y132" i="20"/>
  <c r="X132" i="20"/>
  <c r="W132" i="20"/>
  <c r="V132" i="20"/>
  <c r="U132" i="20"/>
  <c r="T132" i="20"/>
  <c r="S132" i="20"/>
  <c r="R132" i="20"/>
  <c r="Q132" i="20"/>
  <c r="P132" i="20"/>
  <c r="L131" i="20"/>
  <c r="L130" i="20"/>
  <c r="AG129" i="20"/>
  <c r="AG119" i="20" s="1"/>
  <c r="AC129" i="20"/>
  <c r="AC119" i="20" s="1"/>
  <c r="X129" i="20"/>
  <c r="X119" i="20" s="1"/>
  <c r="T129" i="20"/>
  <c r="T119" i="20" s="1"/>
  <c r="N129" i="20"/>
  <c r="J129" i="20"/>
  <c r="L128" i="20"/>
  <c r="K128" i="20"/>
  <c r="AA127" i="20"/>
  <c r="T127" i="20"/>
  <c r="T126" i="20" s="1"/>
  <c r="T125" i="20" s="1"/>
  <c r="R127" i="20"/>
  <c r="R126" i="20" s="1"/>
  <c r="R125" i="20" s="1"/>
  <c r="Q127" i="20"/>
  <c r="AI126" i="20"/>
  <c r="AI125" i="20" s="1"/>
  <c r="AH126" i="20"/>
  <c r="AH125" i="20" s="1"/>
  <c r="AG126" i="20"/>
  <c r="AF126" i="20"/>
  <c r="AE126" i="20"/>
  <c r="AE125" i="20" s="1"/>
  <c r="AD126" i="20"/>
  <c r="AD125" i="20" s="1"/>
  <c r="AC126" i="20"/>
  <c r="AC125" i="20" s="1"/>
  <c r="AB126" i="20"/>
  <c r="AB125" i="20" s="1"/>
  <c r="AA126" i="20"/>
  <c r="AA125" i="20" s="1"/>
  <c r="Y126" i="20"/>
  <c r="Y125" i="20" s="1"/>
  <c r="X126" i="20"/>
  <c r="W126" i="20"/>
  <c r="W125" i="20" s="1"/>
  <c r="V126" i="20"/>
  <c r="V125" i="20" s="1"/>
  <c r="U126" i="20"/>
  <c r="U125" i="20" s="1"/>
  <c r="S126" i="20"/>
  <c r="Q126" i="20"/>
  <c r="AO125" i="20"/>
  <c r="AN125" i="20"/>
  <c r="AM125" i="20"/>
  <c r="AL125" i="20"/>
  <c r="AK125" i="20"/>
  <c r="AJ125" i="20"/>
  <c r="AG125" i="20"/>
  <c r="AF125" i="20"/>
  <c r="X125" i="20"/>
  <c r="S125" i="20"/>
  <c r="O125" i="20"/>
  <c r="N125" i="20"/>
  <c r="M125" i="20"/>
  <c r="L125" i="20"/>
  <c r="AG124" i="20"/>
  <c r="AG120" i="20" s="1"/>
  <c r="AC124" i="20"/>
  <c r="X124" i="20"/>
  <c r="P124" i="20"/>
  <c r="P120" i="20" s="1"/>
  <c r="V123" i="20"/>
  <c r="V121" i="20" s="1"/>
  <c r="U123" i="20"/>
  <c r="Q123" i="20" s="1"/>
  <c r="AA122" i="20"/>
  <c r="V122" i="20"/>
  <c r="Q122" i="20"/>
  <c r="AD121" i="20"/>
  <c r="AC121" i="20"/>
  <c r="AB121" i="20"/>
  <c r="AB120" i="20" s="1"/>
  <c r="Y121" i="20"/>
  <c r="X121" i="20"/>
  <c r="W121" i="20"/>
  <c r="S121" i="20"/>
  <c r="S120" i="20" s="1"/>
  <c r="R121" i="20"/>
  <c r="R120" i="20" s="1"/>
  <c r="AO120" i="20"/>
  <c r="AN120" i="20"/>
  <c r="AM120" i="20"/>
  <c r="AL120" i="20"/>
  <c r="Q120" i="20"/>
  <c r="O120" i="20"/>
  <c r="N120" i="20"/>
  <c r="M120" i="20"/>
  <c r="L120" i="20"/>
  <c r="R118" i="20"/>
  <c r="R117" i="20" s="1"/>
  <c r="R116" i="20" s="1"/>
  <c r="Q118" i="20"/>
  <c r="AJ117" i="20"/>
  <c r="AI117" i="20"/>
  <c r="AH117" i="20"/>
  <c r="AG117" i="20"/>
  <c r="AF117" i="20"/>
  <c r="AE117" i="20"/>
  <c r="AD117" i="20"/>
  <c r="AC117" i="20"/>
  <c r="AB117" i="20"/>
  <c r="AA117" i="20"/>
  <c r="Y117" i="20"/>
  <c r="X117" i="20"/>
  <c r="W117" i="20"/>
  <c r="V117" i="20"/>
  <c r="U117" i="20"/>
  <c r="T117" i="20"/>
  <c r="S117" i="20"/>
  <c r="AO116" i="20"/>
  <c r="AN116" i="20"/>
  <c r="AL116" i="20"/>
  <c r="AJ116" i="20"/>
  <c r="AI116" i="20"/>
  <c r="AH116" i="20"/>
  <c r="AG116" i="20"/>
  <c r="AF116" i="20"/>
  <c r="AE116" i="20"/>
  <c r="AD116" i="20"/>
  <c r="AC116" i="20"/>
  <c r="AB116" i="20"/>
  <c r="AA116" i="20"/>
  <c r="Y116" i="20"/>
  <c r="X116" i="20"/>
  <c r="W116" i="20"/>
  <c r="V116" i="20"/>
  <c r="U116" i="20"/>
  <c r="T116" i="20"/>
  <c r="S116" i="20"/>
  <c r="Q116" i="20"/>
  <c r="P116" i="20"/>
  <c r="O116" i="20"/>
  <c r="N116" i="20"/>
  <c r="M116" i="20"/>
  <c r="L116" i="20"/>
  <c r="AA115" i="20"/>
  <c r="R115" i="20"/>
  <c r="R114" i="20" s="1"/>
  <c r="R113" i="20" s="1"/>
  <c r="Q115" i="20"/>
  <c r="Q114" i="20" s="1"/>
  <c r="AJ114" i="20"/>
  <c r="AJ113" i="20" s="1"/>
  <c r="AI114" i="20"/>
  <c r="AH114" i="20"/>
  <c r="AG114" i="20"/>
  <c r="AF114" i="20"/>
  <c r="AF113" i="20" s="1"/>
  <c r="AE114" i="20"/>
  <c r="AD114" i="20"/>
  <c r="AC114" i="20"/>
  <c r="AB114" i="20"/>
  <c r="AB113" i="20" s="1"/>
  <c r="AA114" i="20"/>
  <c r="Y114" i="20"/>
  <c r="Y113" i="20" s="1"/>
  <c r="X114" i="20"/>
  <c r="X113" i="20" s="1"/>
  <c r="W114" i="20"/>
  <c r="W113" i="20" s="1"/>
  <c r="V114" i="20"/>
  <c r="V113" i="20" s="1"/>
  <c r="U114" i="20"/>
  <c r="T114" i="20"/>
  <c r="T113" i="20" s="1"/>
  <c r="S114" i="20"/>
  <c r="S113" i="20" s="1"/>
  <c r="AO113" i="20"/>
  <c r="AN113" i="20"/>
  <c r="AM113" i="20"/>
  <c r="AL113" i="20"/>
  <c r="AK113" i="20"/>
  <c r="AI113" i="20"/>
  <c r="AH113" i="20"/>
  <c r="AG113" i="20"/>
  <c r="AE113" i="20"/>
  <c r="AD113" i="20"/>
  <c r="AC113" i="20"/>
  <c r="U113" i="20"/>
  <c r="O113" i="20"/>
  <c r="N113" i="20"/>
  <c r="M113" i="20"/>
  <c r="L113" i="20"/>
  <c r="AF111" i="20"/>
  <c r="AA111" i="20"/>
  <c r="T111" i="20"/>
  <c r="L111" i="20"/>
  <c r="AF110" i="20"/>
  <c r="T110" i="20"/>
  <c r="Q110" i="20"/>
  <c r="L110" i="20"/>
  <c r="AJ109" i="20"/>
  <c r="AJ108" i="20" s="1"/>
  <c r="AI109" i="20"/>
  <c r="AH109" i="20"/>
  <c r="AH108" i="20" s="1"/>
  <c r="AG109" i="20"/>
  <c r="AF109" i="20"/>
  <c r="AF108" i="20" s="1"/>
  <c r="AE109" i="20"/>
  <c r="AD109" i="20"/>
  <c r="AD108" i="20" s="1"/>
  <c r="AC109" i="20"/>
  <c r="AC108" i="20" s="1"/>
  <c r="AB109" i="20"/>
  <c r="AB108" i="20" s="1"/>
  <c r="AA109" i="20"/>
  <c r="Y109" i="20"/>
  <c r="Y108" i="20" s="1"/>
  <c r="W109" i="20"/>
  <c r="W108" i="20" s="1"/>
  <c r="V109" i="20"/>
  <c r="U109" i="20"/>
  <c r="T109" i="20"/>
  <c r="S109" i="20"/>
  <c r="S108" i="20" s="1"/>
  <c r="AO108" i="20"/>
  <c r="AN108" i="20"/>
  <c r="AL108" i="20"/>
  <c r="AI108" i="20"/>
  <c r="AG108" i="20"/>
  <c r="AE108" i="20"/>
  <c r="AA108" i="20"/>
  <c r="X108" i="20"/>
  <c r="V108" i="20"/>
  <c r="U108" i="20"/>
  <c r="T108" i="20"/>
  <c r="R108" i="20"/>
  <c r="Q108" i="20"/>
  <c r="P108" i="20"/>
  <c r="O108" i="20"/>
  <c r="N108" i="20"/>
  <c r="M108" i="20"/>
  <c r="L108" i="20"/>
  <c r="AF106" i="20"/>
  <c r="Q106" i="20"/>
  <c r="AF105" i="20"/>
  <c r="AA105" i="20"/>
  <c r="R105" i="20"/>
  <c r="R103" i="20" s="1"/>
  <c r="R102" i="20" s="1"/>
  <c r="Q105" i="20"/>
  <c r="AF104" i="20"/>
  <c r="Q104" i="20"/>
  <c r="AJ103" i="20"/>
  <c r="AI103" i="20"/>
  <c r="AI102" i="20" s="1"/>
  <c r="AH103" i="20"/>
  <c r="AH102" i="20" s="1"/>
  <c r="AG103" i="20"/>
  <c r="AG102" i="20" s="1"/>
  <c r="AE103" i="20"/>
  <c r="AE102" i="20" s="1"/>
  <c r="AD103" i="20"/>
  <c r="AD102" i="20" s="1"/>
  <c r="AC103" i="20"/>
  <c r="AC102" i="20" s="1"/>
  <c r="AB103" i="20"/>
  <c r="AA103" i="20"/>
  <c r="AA102" i="20" s="1"/>
  <c r="Y103" i="20"/>
  <c r="W103" i="20"/>
  <c r="W102" i="20" s="1"/>
  <c r="V103" i="20"/>
  <c r="U103" i="20"/>
  <c r="U102" i="20" s="1"/>
  <c r="T103" i="20"/>
  <c r="T102" i="20" s="1"/>
  <c r="S103" i="20"/>
  <c r="P103" i="20"/>
  <c r="P102" i="20" s="1"/>
  <c r="AO102" i="20"/>
  <c r="AN102" i="20"/>
  <c r="AL102" i="20"/>
  <c r="AJ102" i="20"/>
  <c r="AB102" i="20"/>
  <c r="Y102" i="20"/>
  <c r="X102" i="20"/>
  <c r="V102" i="20"/>
  <c r="S102" i="20"/>
  <c r="O102" i="20"/>
  <c r="N102" i="20"/>
  <c r="M102" i="20"/>
  <c r="L102" i="20"/>
  <c r="AF101" i="20"/>
  <c r="AF100" i="20" s="1"/>
  <c r="AF99" i="20" s="1"/>
  <c r="Q101" i="20"/>
  <c r="Q100" i="20" s="1"/>
  <c r="Q99" i="20" s="1"/>
  <c r="AJ100" i="20"/>
  <c r="AJ99" i="20" s="1"/>
  <c r="AI100" i="20"/>
  <c r="AH100" i="20"/>
  <c r="AH99" i="20" s="1"/>
  <c r="AG100" i="20"/>
  <c r="AG99" i="20" s="1"/>
  <c r="AE100" i="20"/>
  <c r="AD100" i="20"/>
  <c r="AD99" i="20" s="1"/>
  <c r="AC100" i="20"/>
  <c r="AC99" i="20" s="1"/>
  <c r="AB100" i="20"/>
  <c r="AB99" i="20" s="1"/>
  <c r="AA100" i="20"/>
  <c r="Y100" i="20"/>
  <c r="Y99" i="20" s="1"/>
  <c r="X100" i="20"/>
  <c r="W100" i="20"/>
  <c r="W99" i="20" s="1"/>
  <c r="V100" i="20"/>
  <c r="U100" i="20"/>
  <c r="U99" i="20" s="1"/>
  <c r="T100" i="20"/>
  <c r="T99" i="20" s="1"/>
  <c r="S100" i="20"/>
  <c r="S99" i="20" s="1"/>
  <c r="R100" i="20"/>
  <c r="R99" i="20" s="1"/>
  <c r="AO99" i="20"/>
  <c r="AN99" i="20"/>
  <c r="AL99" i="20"/>
  <c r="AI99" i="20"/>
  <c r="AE99" i="20"/>
  <c r="AA99" i="20"/>
  <c r="X99" i="20"/>
  <c r="V99" i="20"/>
  <c r="P99" i="20"/>
  <c r="O99" i="20"/>
  <c r="N99" i="20"/>
  <c r="M99" i="20"/>
  <c r="L99" i="20"/>
  <c r="AA98" i="20"/>
  <c r="AA97" i="20" s="1"/>
  <c r="U98" i="20"/>
  <c r="Q98" i="20" s="1"/>
  <c r="Q97" i="20" s="1"/>
  <c r="AD97" i="20"/>
  <c r="AD96" i="20" s="1"/>
  <c r="AC97" i="20"/>
  <c r="AB97" i="20"/>
  <c r="AB96" i="20" s="1"/>
  <c r="Y97" i="20"/>
  <c r="Y96" i="20" s="1"/>
  <c r="X97" i="20"/>
  <c r="W97" i="20"/>
  <c r="W96" i="20" s="1"/>
  <c r="V97" i="20"/>
  <c r="V96" i="20" s="1"/>
  <c r="U97" i="20"/>
  <c r="U96" i="20" s="1"/>
  <c r="T97" i="20"/>
  <c r="S97" i="20"/>
  <c r="S96" i="20" s="1"/>
  <c r="R97" i="20"/>
  <c r="AO96" i="20"/>
  <c r="AN96" i="20"/>
  <c r="AM96" i="20"/>
  <c r="AL96" i="20"/>
  <c r="AK96" i="20"/>
  <c r="AJ96" i="20"/>
  <c r="AI96" i="20"/>
  <c r="AH96" i="20"/>
  <c r="AG96" i="20"/>
  <c r="AF96" i="20"/>
  <c r="AE96" i="20"/>
  <c r="AC96" i="20"/>
  <c r="X96" i="20"/>
  <c r="T96" i="20"/>
  <c r="R96" i="20"/>
  <c r="O96" i="20"/>
  <c r="N96" i="20"/>
  <c r="M96" i="20"/>
  <c r="L96" i="20"/>
  <c r="AA95" i="20"/>
  <c r="AA94" i="20" s="1"/>
  <c r="U95" i="20"/>
  <c r="Q95" i="20" s="1"/>
  <c r="Q94" i="20" s="1"/>
  <c r="AE94" i="20"/>
  <c r="AE93" i="20" s="1"/>
  <c r="AD94" i="20"/>
  <c r="AD93" i="20" s="1"/>
  <c r="AC94" i="20"/>
  <c r="AC93" i="20" s="1"/>
  <c r="AB94" i="20"/>
  <c r="Y94" i="20"/>
  <c r="X94" i="20"/>
  <c r="X93" i="20" s="1"/>
  <c r="W94" i="20"/>
  <c r="V94" i="20"/>
  <c r="V93" i="20" s="1"/>
  <c r="T94" i="20"/>
  <c r="T93" i="20" s="1"/>
  <c r="S94" i="20"/>
  <c r="R94" i="20"/>
  <c r="R93" i="20" s="1"/>
  <c r="AO93" i="20"/>
  <c r="AN93" i="20"/>
  <c r="AM93" i="20"/>
  <c r="AL93" i="20"/>
  <c r="AK93" i="20"/>
  <c r="AJ93" i="20"/>
  <c r="AI93" i="20"/>
  <c r="AH93" i="20"/>
  <c r="AG93" i="20"/>
  <c r="AF93" i="20"/>
  <c r="AB93" i="20"/>
  <c r="Y93" i="20"/>
  <c r="W93" i="20"/>
  <c r="S93" i="20"/>
  <c r="O93" i="20"/>
  <c r="N93" i="20"/>
  <c r="M93" i="20"/>
  <c r="L93" i="20"/>
  <c r="AK92" i="20"/>
  <c r="AL92" i="20" s="1"/>
  <c r="L92" i="20"/>
  <c r="J91" i="20"/>
  <c r="AF90" i="20"/>
  <c r="AF87" i="20" s="1"/>
  <c r="AF86" i="20" s="1"/>
  <c r="AA90" i="20"/>
  <c r="R90" i="20"/>
  <c r="Q90" i="20"/>
  <c r="T89" i="20"/>
  <c r="T87" i="20" s="1"/>
  <c r="T86" i="20" s="1"/>
  <c r="Q89" i="20"/>
  <c r="AA88" i="20"/>
  <c r="T88" i="20"/>
  <c r="Q88" i="20"/>
  <c r="AK87" i="20"/>
  <c r="AJ87" i="20"/>
  <c r="AJ86" i="20" s="1"/>
  <c r="AI87" i="20"/>
  <c r="AH87" i="20"/>
  <c r="AH86" i="20" s="1"/>
  <c r="AG87" i="20"/>
  <c r="AG86" i="20" s="1"/>
  <c r="AE87" i="20"/>
  <c r="AD87" i="20"/>
  <c r="AD86" i="20" s="1"/>
  <c r="AC87" i="20"/>
  <c r="AC86" i="20" s="1"/>
  <c r="AB87" i="20"/>
  <c r="AB86" i="20" s="1"/>
  <c r="Y87" i="20"/>
  <c r="X87" i="20"/>
  <c r="W87" i="20"/>
  <c r="W86" i="20" s="1"/>
  <c r="V87" i="20"/>
  <c r="U87" i="20"/>
  <c r="S87" i="20"/>
  <c r="S86" i="20" s="1"/>
  <c r="R87" i="20"/>
  <c r="R86" i="20" s="1"/>
  <c r="J87" i="20"/>
  <c r="AO86" i="20"/>
  <c r="AN86" i="20"/>
  <c r="AN79" i="20" s="1"/>
  <c r="AI86" i="20"/>
  <c r="AE86" i="20"/>
  <c r="AA86" i="20"/>
  <c r="Y86" i="20"/>
  <c r="X86" i="20"/>
  <c r="V86" i="20"/>
  <c r="U86" i="20"/>
  <c r="Q86" i="20"/>
  <c r="P86" i="20"/>
  <c r="AM86" i="20" s="1"/>
  <c r="O86" i="20"/>
  <c r="N86" i="20"/>
  <c r="M86" i="20"/>
  <c r="L86" i="20"/>
  <c r="J86" i="20" s="1"/>
  <c r="AF84" i="20"/>
  <c r="AF83" i="20" s="1"/>
  <c r="AF82" i="20" s="1"/>
  <c r="AA84" i="20"/>
  <c r="AA83" i="20" s="1"/>
  <c r="AA82" i="20" s="1"/>
  <c r="X84" i="20"/>
  <c r="V84" i="20"/>
  <c r="V83" i="20" s="1"/>
  <c r="V82" i="20" s="1"/>
  <c r="R84" i="20"/>
  <c r="R83" i="20" s="1"/>
  <c r="R82" i="20" s="1"/>
  <c r="Q84" i="20"/>
  <c r="P84" i="20" s="1"/>
  <c r="AJ83" i="20"/>
  <c r="AJ82" i="20" s="1"/>
  <c r="AJ79" i="20" s="1"/>
  <c r="AI83" i="20"/>
  <c r="AI82" i="20" s="1"/>
  <c r="AI79" i="20" s="1"/>
  <c r="AH83" i="20"/>
  <c r="AH82" i="20" s="1"/>
  <c r="AG83" i="20"/>
  <c r="AG82" i="20" s="1"/>
  <c r="AE83" i="20"/>
  <c r="AE82" i="20" s="1"/>
  <c r="AD83" i="20"/>
  <c r="AC83" i="20"/>
  <c r="AC82" i="20" s="1"/>
  <c r="AB83" i="20"/>
  <c r="AB82" i="20" s="1"/>
  <c r="Y83" i="20"/>
  <c r="Y82" i="20" s="1"/>
  <c r="X83" i="20"/>
  <c r="X82" i="20" s="1"/>
  <c r="W83" i="20"/>
  <c r="U83" i="20"/>
  <c r="T83" i="20"/>
  <c r="T82" i="20" s="1"/>
  <c r="S83" i="20"/>
  <c r="Q83" i="20"/>
  <c r="Q82" i="20" s="1"/>
  <c r="AM82" i="20" s="1"/>
  <c r="AL82" i="20"/>
  <c r="AD82" i="20"/>
  <c r="W82" i="20"/>
  <c r="U82" i="20"/>
  <c r="S82" i="20"/>
  <c r="O82" i="20"/>
  <c r="O79" i="20" s="1"/>
  <c r="N82" i="20"/>
  <c r="M82" i="20"/>
  <c r="M79" i="20" s="1"/>
  <c r="L82" i="20"/>
  <c r="J82" i="20" s="1"/>
  <c r="L81" i="20"/>
  <c r="J81" i="20" s="1"/>
  <c r="L80" i="20"/>
  <c r="J80" i="20" s="1"/>
  <c r="AO79" i="20"/>
  <c r="K79" i="20"/>
  <c r="L78" i="20"/>
  <c r="L72" i="20" s="1"/>
  <c r="AO76" i="20"/>
  <c r="AN76" i="20"/>
  <c r="AJ76" i="20"/>
  <c r="AI76" i="20"/>
  <c r="AH76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AA73" i="20"/>
  <c r="AA72" i="20" s="1"/>
  <c r="Z73" i="20"/>
  <c r="Z72" i="20" s="1"/>
  <c r="Y73" i="20"/>
  <c r="Y72" i="20" s="1"/>
  <c r="X73" i="20"/>
  <c r="W73" i="20"/>
  <c r="W72" i="20" s="1"/>
  <c r="V73" i="20"/>
  <c r="V72" i="20" s="1"/>
  <c r="U73" i="20"/>
  <c r="U72" i="20" s="1"/>
  <c r="T73" i="20"/>
  <c r="T72" i="20" s="1"/>
  <c r="S73" i="20"/>
  <c r="S72" i="20" s="1"/>
  <c r="R73" i="20"/>
  <c r="R72" i="20" s="1"/>
  <c r="Q73" i="20"/>
  <c r="Q72" i="20" s="1"/>
  <c r="AO72" i="20"/>
  <c r="AN72" i="20"/>
  <c r="AJ72" i="20"/>
  <c r="AI72" i="20"/>
  <c r="AH72" i="20"/>
  <c r="AG72" i="20"/>
  <c r="AF72" i="20"/>
  <c r="AE72" i="20"/>
  <c r="AD72" i="20"/>
  <c r="AC72" i="20"/>
  <c r="AB72" i="20"/>
  <c r="X72" i="20"/>
  <c r="P72" i="20"/>
  <c r="AK72" i="20" s="1"/>
  <c r="AL72" i="20" s="1"/>
  <c r="O72" i="20"/>
  <c r="N72" i="20"/>
  <c r="M72" i="20"/>
  <c r="AF70" i="20"/>
  <c r="AF69" i="20" s="1"/>
  <c r="AF68" i="20" s="1"/>
  <c r="AF65" i="20" s="1"/>
  <c r="AA70" i="20"/>
  <c r="AA68" i="20" s="1"/>
  <c r="AA65" i="20" s="1"/>
  <c r="R70" i="20"/>
  <c r="R69" i="20" s="1"/>
  <c r="R68" i="20" s="1"/>
  <c r="R65" i="20" s="1"/>
  <c r="Q70" i="20"/>
  <c r="Q68" i="20" s="1"/>
  <c r="AG69" i="20"/>
  <c r="AG68" i="20" s="1"/>
  <c r="AG65" i="20" s="1"/>
  <c r="AB69" i="20"/>
  <c r="AB68" i="20" s="1"/>
  <c r="AB65" i="20" s="1"/>
  <c r="Y69" i="20"/>
  <c r="Y68" i="20" s="1"/>
  <c r="W69" i="20"/>
  <c r="V69" i="20"/>
  <c r="V68" i="20" s="1"/>
  <c r="V65" i="20" s="1"/>
  <c r="U69" i="20"/>
  <c r="U68" i="20" s="1"/>
  <c r="T69" i="20"/>
  <c r="T68" i="20" s="1"/>
  <c r="T65" i="20" s="1"/>
  <c r="S69" i="20"/>
  <c r="AO68" i="20"/>
  <c r="AO65" i="20" s="1"/>
  <c r="AN68" i="20"/>
  <c r="AN65" i="20" s="1"/>
  <c r="AJ68" i="20"/>
  <c r="AJ65" i="20" s="1"/>
  <c r="AI68" i="20"/>
  <c r="AI65" i="20" s="1"/>
  <c r="AH68" i="20"/>
  <c r="AH65" i="20" s="1"/>
  <c r="AE68" i="20"/>
  <c r="AE65" i="20" s="1"/>
  <c r="AD68" i="20"/>
  <c r="AD65" i="20" s="1"/>
  <c r="AC68" i="20"/>
  <c r="AC65" i="20" s="1"/>
  <c r="Z68" i="20"/>
  <c r="X68" i="20"/>
  <c r="X65" i="20" s="1"/>
  <c r="W68" i="20"/>
  <c r="W65" i="20" s="1"/>
  <c r="S68" i="20"/>
  <c r="S65" i="20" s="1"/>
  <c r="P68" i="20"/>
  <c r="O68" i="20"/>
  <c r="O65" i="20" s="1"/>
  <c r="N68" i="20"/>
  <c r="N65" i="20" s="1"/>
  <c r="M68" i="20"/>
  <c r="L68" i="20"/>
  <c r="L65" i="20" s="1"/>
  <c r="L67" i="20"/>
  <c r="L66" i="20"/>
  <c r="U65" i="20"/>
  <c r="M65" i="20"/>
  <c r="K65" i="20"/>
  <c r="K12" i="20" s="1"/>
  <c r="J65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J61" i="20"/>
  <c r="AA60" i="20"/>
  <c r="V60" i="20"/>
  <c r="Q60" i="20"/>
  <c r="AD59" i="20"/>
  <c r="AC59" i="20"/>
  <c r="AB59" i="20"/>
  <c r="Y59" i="20"/>
  <c r="X59" i="20"/>
  <c r="W59" i="20"/>
  <c r="V59" i="20"/>
  <c r="U59" i="20"/>
  <c r="T59" i="20"/>
  <c r="S59" i="20"/>
  <c r="R59" i="20"/>
  <c r="J59" i="20"/>
  <c r="AO58" i="20"/>
  <c r="AN58" i="20"/>
  <c r="AJ58" i="20"/>
  <c r="AJ52" i="20" s="1"/>
  <c r="AI58" i="20"/>
  <c r="AH58" i="20"/>
  <c r="AG58" i="20"/>
  <c r="AF58" i="20"/>
  <c r="AE58" i="20"/>
  <c r="AD58" i="20"/>
  <c r="AC58" i="20"/>
  <c r="AB58" i="20"/>
  <c r="Y58" i="20"/>
  <c r="Y52" i="20" s="1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J58" i="20" s="1"/>
  <c r="L57" i="20"/>
  <c r="J57" i="20" s="1"/>
  <c r="L56" i="20"/>
  <c r="J56" i="20" s="1"/>
  <c r="AO55" i="20"/>
  <c r="AO52" i="20" s="1"/>
  <c r="AN55" i="20"/>
  <c r="AN52" i="20" s="1"/>
  <c r="AI55" i="20"/>
  <c r="AH55" i="20"/>
  <c r="AG55" i="20"/>
  <c r="AG52" i="20" s="1"/>
  <c r="AF55" i="20"/>
  <c r="AE55" i="20"/>
  <c r="AD55" i="20"/>
  <c r="AC55" i="20"/>
  <c r="AB55" i="20"/>
  <c r="AA55" i="20"/>
  <c r="Y55" i="20"/>
  <c r="X55" i="20"/>
  <c r="W55" i="20"/>
  <c r="V55" i="20"/>
  <c r="U55" i="20"/>
  <c r="T55" i="20"/>
  <c r="S55" i="20"/>
  <c r="R55" i="20"/>
  <c r="Q55" i="20"/>
  <c r="Q52" i="20" s="1"/>
  <c r="P55" i="20"/>
  <c r="O55" i="20"/>
  <c r="N55" i="20"/>
  <c r="M55" i="20"/>
  <c r="J54" i="20"/>
  <c r="J53" i="20"/>
  <c r="AM52" i="20"/>
  <c r="AI52" i="20"/>
  <c r="AA52" i="20"/>
  <c r="V52" i="20"/>
  <c r="N52" i="20"/>
  <c r="AJ51" i="20"/>
  <c r="AI51" i="20"/>
  <c r="AH51" i="20"/>
  <c r="AG51" i="20"/>
  <c r="AA49" i="20"/>
  <c r="Q49" i="20"/>
  <c r="AC48" i="20"/>
  <c r="AC47" i="20" s="1"/>
  <c r="AC45" i="20" s="1"/>
  <c r="AB48" i="20"/>
  <c r="Z48" i="20"/>
  <c r="Y48" i="20"/>
  <c r="Y47" i="20" s="1"/>
  <c r="Y45" i="20" s="1"/>
  <c r="Y13" i="20" s="1"/>
  <c r="X48" i="20"/>
  <c r="X47" i="20" s="1"/>
  <c r="X45" i="20" s="1"/>
  <c r="W48" i="20"/>
  <c r="V48" i="20"/>
  <c r="U48" i="20"/>
  <c r="T48" i="20"/>
  <c r="T47" i="20" s="1"/>
  <c r="T44" i="20" s="1"/>
  <c r="S48" i="20"/>
  <c r="R48" i="20"/>
  <c r="R47" i="20" s="1"/>
  <c r="AB47" i="20"/>
  <c r="AB45" i="20" s="1"/>
  <c r="W47" i="20"/>
  <c r="V47" i="20"/>
  <c r="V45" i="20" s="1"/>
  <c r="U47" i="20"/>
  <c r="U44" i="20" s="1"/>
  <c r="S47" i="20"/>
  <c r="S45" i="20" s="1"/>
  <c r="Q47" i="20"/>
  <c r="Q44" i="20" s="1"/>
  <c r="P47" i="20"/>
  <c r="P44" i="20" s="1"/>
  <c r="O47" i="20"/>
  <c r="O44" i="20" s="1"/>
  <c r="N47" i="20"/>
  <c r="M47" i="20"/>
  <c r="L47" i="20"/>
  <c r="AO45" i="20"/>
  <c r="AO13" i="20" s="1"/>
  <c r="AN45" i="20"/>
  <c r="AN13" i="20" s="1"/>
  <c r="AM45" i="20"/>
  <c r="AJ45" i="20"/>
  <c r="AI45" i="20"/>
  <c r="AH45" i="20"/>
  <c r="AG45" i="20"/>
  <c r="AF45" i="20"/>
  <c r="AE45" i="20"/>
  <c r="AD45" i="20"/>
  <c r="AA45" i="20"/>
  <c r="W45" i="20"/>
  <c r="O45" i="20"/>
  <c r="N45" i="20"/>
  <c r="K45" i="20"/>
  <c r="J45" i="20"/>
  <c r="V44" i="20"/>
  <c r="S44" i="20"/>
  <c r="N44" i="20"/>
  <c r="L44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AA38" i="20"/>
  <c r="AA37" i="20" s="1"/>
  <c r="AA36" i="20" s="1"/>
  <c r="Q38" i="20"/>
  <c r="Q37" i="20" s="1"/>
  <c r="Q36" i="20" s="1"/>
  <c r="AE37" i="20"/>
  <c r="AE36" i="20" s="1"/>
  <c r="Y37" i="20"/>
  <c r="Y36" i="20" s="1"/>
  <c r="X37" i="20"/>
  <c r="X36" i="20" s="1"/>
  <c r="L37" i="20"/>
  <c r="L36" i="20" s="1"/>
  <c r="AO36" i="20"/>
  <c r="AN36" i="20"/>
  <c r="AN15" i="20" s="1"/>
  <c r="AJ36" i="20"/>
  <c r="AI36" i="20"/>
  <c r="AH36" i="20"/>
  <c r="AG36" i="20"/>
  <c r="AF36" i="20"/>
  <c r="AD36" i="20"/>
  <c r="AC36" i="20"/>
  <c r="AB36" i="20"/>
  <c r="W36" i="20"/>
  <c r="V36" i="20"/>
  <c r="U36" i="20"/>
  <c r="T36" i="20"/>
  <c r="S36" i="20"/>
  <c r="R36" i="20"/>
  <c r="P36" i="20"/>
  <c r="O36" i="20"/>
  <c r="N36" i="20"/>
  <c r="M36" i="20"/>
  <c r="M15" i="20" s="1"/>
  <c r="M11" i="20" s="1"/>
  <c r="AO33" i="20"/>
  <c r="AN33" i="20"/>
  <c r="AM33" i="20"/>
  <c r="AJ33" i="20"/>
  <c r="AI33" i="20"/>
  <c r="AH33" i="20"/>
  <c r="AG33" i="20"/>
  <c r="AG32" i="20" s="1"/>
  <c r="AF33" i="20"/>
  <c r="AE33" i="20"/>
  <c r="AD33" i="20"/>
  <c r="AC33" i="20"/>
  <c r="AB33" i="20"/>
  <c r="AB15" i="20" s="1"/>
  <c r="AB11" i="20" s="1"/>
  <c r="AA33" i="20"/>
  <c r="Y33" i="20"/>
  <c r="X33" i="20"/>
  <c r="W33" i="20"/>
  <c r="V33" i="20"/>
  <c r="U33" i="20"/>
  <c r="T33" i="20"/>
  <c r="S33" i="20"/>
  <c r="R33" i="20"/>
  <c r="Q33" i="20"/>
  <c r="P33" i="20"/>
  <c r="AK33" i="20" s="1"/>
  <c r="O33" i="20"/>
  <c r="O15" i="20" s="1"/>
  <c r="O11" i="20" s="1"/>
  <c r="N33" i="20"/>
  <c r="N15" i="20" s="1"/>
  <c r="N11" i="20" s="1"/>
  <c r="M33" i="20"/>
  <c r="L33" i="20"/>
  <c r="J33" i="20" s="1"/>
  <c r="J15" i="20" s="1"/>
  <c r="J11" i="20" s="1"/>
  <c r="Q32" i="20"/>
  <c r="P32" i="20" s="1"/>
  <c r="U31" i="20"/>
  <c r="T31" i="20" s="1"/>
  <c r="T30" i="20" s="1"/>
  <c r="T17" i="20" s="1"/>
  <c r="AJ30" i="20"/>
  <c r="AI30" i="20"/>
  <c r="AH30" i="20"/>
  <c r="AE30" i="20"/>
  <c r="AD30" i="20"/>
  <c r="AC30" i="20"/>
  <c r="AB30" i="20"/>
  <c r="AA30" i="20"/>
  <c r="Y30" i="20"/>
  <c r="W30" i="20"/>
  <c r="W17" i="20" s="1"/>
  <c r="W13" i="20" s="1"/>
  <c r="V30" i="20"/>
  <c r="S30" i="20"/>
  <c r="R30" i="20"/>
  <c r="N30" i="20"/>
  <c r="N17" i="20" s="1"/>
  <c r="N13" i="20" s="1"/>
  <c r="L30" i="20"/>
  <c r="L19" i="20" s="1"/>
  <c r="AF29" i="20"/>
  <c r="AA29" i="20"/>
  <c r="R29" i="20"/>
  <c r="R28" i="20" s="1"/>
  <c r="R18" i="20" s="1"/>
  <c r="R14" i="20" s="1"/>
  <c r="P29" i="20"/>
  <c r="AJ28" i="20"/>
  <c r="AI28" i="20"/>
  <c r="AI18" i="20" s="1"/>
  <c r="AH28" i="20"/>
  <c r="AH18" i="20" s="1"/>
  <c r="AH14" i="20" s="1"/>
  <c r="AG28" i="20"/>
  <c r="AG18" i="20" s="1"/>
  <c r="AG14" i="20" s="1"/>
  <c r="AG9" i="20" s="1"/>
  <c r="AF28" i="20"/>
  <c r="AE28" i="20"/>
  <c r="AE18" i="20" s="1"/>
  <c r="AD28" i="20"/>
  <c r="AD18" i="20" s="1"/>
  <c r="AD14" i="20" s="1"/>
  <c r="AC28" i="20"/>
  <c r="AC18" i="20" s="1"/>
  <c r="AC14" i="20" s="1"/>
  <c r="AB28" i="20"/>
  <c r="AA28" i="20"/>
  <c r="AA18" i="20" s="1"/>
  <c r="Y28" i="20"/>
  <c r="Y18" i="20" s="1"/>
  <c r="Y14" i="20" s="1"/>
  <c r="Y9" i="20" s="1"/>
  <c r="W28" i="20"/>
  <c r="W18" i="20" s="1"/>
  <c r="W14" i="20" s="1"/>
  <c r="W9" i="20" s="1"/>
  <c r="V28" i="20"/>
  <c r="U28" i="20"/>
  <c r="T28" i="20"/>
  <c r="T18" i="20" s="1"/>
  <c r="T14" i="20" s="1"/>
  <c r="S28" i="20"/>
  <c r="S18" i="20" s="1"/>
  <c r="Q28" i="20"/>
  <c r="J28" i="20"/>
  <c r="J18" i="20" s="1"/>
  <c r="AF27" i="20"/>
  <c r="AA27" i="20"/>
  <c r="R27" i="20"/>
  <c r="P27" i="20" s="1"/>
  <c r="Q27" i="20"/>
  <c r="AF26" i="20"/>
  <c r="AA26" i="20"/>
  <c r="Q26" i="20"/>
  <c r="AF25" i="20"/>
  <c r="AA25" i="20"/>
  <c r="Q25" i="20"/>
  <c r="AF24" i="20"/>
  <c r="AA24" i="20"/>
  <c r="Q24" i="20"/>
  <c r="P24" i="20"/>
  <c r="AF23" i="20"/>
  <c r="AA23" i="20"/>
  <c r="T23" i="20"/>
  <c r="T20" i="20" s="1"/>
  <c r="R23" i="20"/>
  <c r="AF22" i="20"/>
  <c r="AA22" i="20"/>
  <c r="R22" i="20"/>
  <c r="P22" i="20"/>
  <c r="AF21" i="20"/>
  <c r="R21" i="20"/>
  <c r="AJ20" i="20"/>
  <c r="AJ19" i="20" s="1"/>
  <c r="AI20" i="20"/>
  <c r="AH20" i="20"/>
  <c r="AG20" i="20"/>
  <c r="AE20" i="20"/>
  <c r="AE19" i="20" s="1"/>
  <c r="AD20" i="20"/>
  <c r="AD15" i="20" s="1"/>
  <c r="AD11" i="20" s="1"/>
  <c r="AC20" i="20"/>
  <c r="AB20" i="20"/>
  <c r="Y20" i="20"/>
  <c r="Y19" i="20" s="1"/>
  <c r="X20" i="20"/>
  <c r="X19" i="20" s="1"/>
  <c r="W20" i="20"/>
  <c r="V20" i="20"/>
  <c r="U20" i="20"/>
  <c r="U15" i="20" s="1"/>
  <c r="U11" i="20" s="1"/>
  <c r="S20" i="20"/>
  <c r="K20" i="20"/>
  <c r="K19" i="20" s="1"/>
  <c r="AO19" i="20"/>
  <c r="AN19" i="20"/>
  <c r="AG19" i="20"/>
  <c r="P19" i="20"/>
  <c r="O19" i="20"/>
  <c r="N19" i="20"/>
  <c r="M19" i="20"/>
  <c r="AO18" i="20"/>
  <c r="AO14" i="20" s="1"/>
  <c r="AN18" i="20"/>
  <c r="AN14" i="20" s="1"/>
  <c r="AN9" i="20" s="1"/>
  <c r="AM18" i="20"/>
  <c r="AL18" i="20"/>
  <c r="AL14" i="20" s="1"/>
  <c r="AK18" i="20"/>
  <c r="AK14" i="20" s="1"/>
  <c r="AK9" i="20" s="1"/>
  <c r="AJ18" i="20"/>
  <c r="AJ14" i="20" s="1"/>
  <c r="AJ9" i="20" s="1"/>
  <c r="AF18" i="20"/>
  <c r="AB18" i="20"/>
  <c r="AB14" i="20" s="1"/>
  <c r="AB9" i="20" s="1"/>
  <c r="X18" i="20"/>
  <c r="X14" i="20" s="1"/>
  <c r="V18" i="20"/>
  <c r="V14" i="20" s="1"/>
  <c r="U18" i="20"/>
  <c r="U14" i="20" s="1"/>
  <c r="Q18" i="20"/>
  <c r="Q14" i="20" s="1"/>
  <c r="P18" i="20"/>
  <c r="P14" i="20" s="1"/>
  <c r="O18" i="20"/>
  <c r="N18" i="20"/>
  <c r="M18" i="20"/>
  <c r="M14" i="20" s="1"/>
  <c r="L18" i="20"/>
  <c r="L14" i="20" s="1"/>
  <c r="L9" i="20" s="1"/>
  <c r="K18" i="20"/>
  <c r="AJ17" i="20"/>
  <c r="AI17" i="20"/>
  <c r="AH17" i="20"/>
  <c r="AE17" i="20"/>
  <c r="AD17" i="20"/>
  <c r="AC17" i="20"/>
  <c r="AB17" i="20"/>
  <c r="AA17" i="20"/>
  <c r="Y17" i="20"/>
  <c r="X17" i="20"/>
  <c r="V17" i="20"/>
  <c r="S17" i="20"/>
  <c r="R17" i="20"/>
  <c r="P17" i="20"/>
  <c r="P13" i="20" s="1"/>
  <c r="O17" i="20"/>
  <c r="M17" i="20"/>
  <c r="Y15" i="20"/>
  <c r="Y11" i="20" s="1"/>
  <c r="K15" i="20"/>
  <c r="AM14" i="20"/>
  <c r="AI14" i="20"/>
  <c r="AI9" i="20" s="1"/>
  <c r="AF14" i="20"/>
  <c r="AE14" i="20"/>
  <c r="AE9" i="20" s="1"/>
  <c r="AA14" i="20"/>
  <c r="AA9" i="20" s="1"/>
  <c r="S14" i="20"/>
  <c r="S9" i="20" s="1"/>
  <c r="O14" i="20"/>
  <c r="N14" i="20"/>
  <c r="K14" i="20"/>
  <c r="K9" i="20" s="1"/>
  <c r="J14" i="20"/>
  <c r="J9" i="20" s="1"/>
  <c r="AM13" i="20"/>
  <c r="AJ13" i="20"/>
  <c r="AA13" i="20"/>
  <c r="K13" i="20"/>
  <c r="J13" i="20"/>
  <c r="AN11" i="20"/>
  <c r="K11" i="20"/>
  <c r="K6" i="20" s="1"/>
  <c r="AQ10" i="20"/>
  <c r="AQ9" i="20"/>
  <c r="AF9" i="20"/>
  <c r="Z9" i="20"/>
  <c r="O9" i="20"/>
  <c r="AQ8" i="20"/>
  <c r="Z8" i="20"/>
  <c r="J8" i="20"/>
  <c r="AQ7" i="20"/>
  <c r="Z7" i="20"/>
  <c r="AQ6" i="20"/>
  <c r="Z6" i="20"/>
  <c r="Z257" i="6"/>
  <c r="Q272" i="6"/>
  <c r="G17" i="11"/>
  <c r="D17" i="8"/>
  <c r="G17" i="8"/>
  <c r="G20" i="11"/>
  <c r="G20" i="8"/>
  <c r="O20" i="8" s="1"/>
  <c r="N20" i="8" s="1"/>
  <c r="Q286" i="19"/>
  <c r="AA295" i="19"/>
  <c r="Q295" i="19"/>
  <c r="Q294" i="19"/>
  <c r="AA294" i="19"/>
  <c r="J313" i="19"/>
  <c r="R312" i="19"/>
  <c r="Q312" i="19"/>
  <c r="AO311" i="19"/>
  <c r="AN311" i="19"/>
  <c r="AM311" i="19"/>
  <c r="AL311" i="19"/>
  <c r="AK311" i="19"/>
  <c r="AJ311" i="19"/>
  <c r="AI311" i="19"/>
  <c r="AH311" i="19"/>
  <c r="AG311" i="19"/>
  <c r="AF311" i="19"/>
  <c r="AE311" i="19"/>
  <c r="AD311" i="19"/>
  <c r="AC311" i="19"/>
  <c r="AB311" i="19"/>
  <c r="AA311" i="19"/>
  <c r="Y311" i="19"/>
  <c r="X311" i="19"/>
  <c r="W311" i="19"/>
  <c r="V311" i="19"/>
  <c r="U311" i="19"/>
  <c r="T311" i="19"/>
  <c r="S311" i="19"/>
  <c r="R311" i="19"/>
  <c r="Q311" i="19"/>
  <c r="P311" i="19"/>
  <c r="O311" i="19"/>
  <c r="N311" i="19"/>
  <c r="M311" i="19"/>
  <c r="L311" i="19"/>
  <c r="J311" i="19" s="1"/>
  <c r="J310" i="19"/>
  <c r="R309" i="19"/>
  <c r="Q309" i="19"/>
  <c r="AO308" i="19"/>
  <c r="AN308" i="19"/>
  <c r="AM308" i="19"/>
  <c r="AL308" i="19"/>
  <c r="AK308" i="19"/>
  <c r="AJ308" i="19"/>
  <c r="AI308" i="19"/>
  <c r="AH308" i="19"/>
  <c r="AG308" i="19"/>
  <c r="AF308" i="19"/>
  <c r="AE308" i="19"/>
  <c r="AD308" i="19"/>
  <c r="AC308" i="19"/>
  <c r="AB308" i="19"/>
  <c r="AA308" i="19"/>
  <c r="Y308" i="19"/>
  <c r="X308" i="19"/>
  <c r="W308" i="19"/>
  <c r="V308" i="19"/>
  <c r="U308" i="19"/>
  <c r="T308" i="19"/>
  <c r="S308" i="19"/>
  <c r="R308" i="19"/>
  <c r="Q308" i="19"/>
  <c r="P308" i="19"/>
  <c r="O308" i="19"/>
  <c r="N308" i="19"/>
  <c r="M308" i="19"/>
  <c r="L308" i="19"/>
  <c r="J308" i="19" s="1"/>
  <c r="J300" i="19"/>
  <c r="R299" i="19"/>
  <c r="Q299" i="19"/>
  <c r="AO298" i="19"/>
  <c r="AN298" i="19"/>
  <c r="AM298" i="19"/>
  <c r="AL298" i="19"/>
  <c r="AK298" i="19"/>
  <c r="AJ298" i="19"/>
  <c r="AI298" i="19"/>
  <c r="AH298" i="19"/>
  <c r="AG298" i="19"/>
  <c r="AF298" i="19"/>
  <c r="AE298" i="19"/>
  <c r="AD298" i="19"/>
  <c r="AC298" i="19"/>
  <c r="AB298" i="19"/>
  <c r="AA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J298" i="19" s="1"/>
  <c r="W295" i="19"/>
  <c r="AK293" i="19"/>
  <c r="AJ293" i="19"/>
  <c r="AJ247" i="19" s="1"/>
  <c r="AI293" i="19"/>
  <c r="AH293" i="19"/>
  <c r="AG293" i="19"/>
  <c r="AF293" i="19"/>
  <c r="AE293" i="19"/>
  <c r="AE289" i="19" s="1"/>
  <c r="AE288" i="19" s="1"/>
  <c r="AD293" i="19"/>
  <c r="AC293" i="19"/>
  <c r="AC288" i="19" s="1"/>
  <c r="AB293" i="19"/>
  <c r="AA292" i="19"/>
  <c r="V292" i="19"/>
  <c r="V289" i="19" s="1"/>
  <c r="V288" i="19" s="1"/>
  <c r="Q292" i="19"/>
  <c r="P292" i="19"/>
  <c r="R290" i="19"/>
  <c r="P290" i="19" s="1"/>
  <c r="AD289" i="19"/>
  <c r="AD288" i="19" s="1"/>
  <c r="Z289" i="19"/>
  <c r="Z288" i="19" s="1"/>
  <c r="Y289" i="19"/>
  <c r="X289" i="19"/>
  <c r="X288" i="19" s="1"/>
  <c r="W289" i="19"/>
  <c r="W288" i="19" s="1"/>
  <c r="U289" i="19"/>
  <c r="T289" i="19"/>
  <c r="T288" i="19" s="1"/>
  <c r="S289" i="19"/>
  <c r="S288" i="19" s="1"/>
  <c r="Q289" i="19"/>
  <c r="J289" i="19"/>
  <c r="AQ288" i="19"/>
  <c r="AO288" i="19"/>
  <c r="AN288" i="19"/>
  <c r="AL288" i="19"/>
  <c r="AK288" i="19"/>
  <c r="AJ288" i="19"/>
  <c r="AI288" i="19"/>
  <c r="AH288" i="19"/>
  <c r="AG288" i="19"/>
  <c r="AF288" i="19"/>
  <c r="Y288" i="19"/>
  <c r="U288" i="19"/>
  <c r="P288" i="19"/>
  <c r="O288" i="19"/>
  <c r="N288" i="19"/>
  <c r="M288" i="19"/>
  <c r="L288" i="19"/>
  <c r="J288" i="19" s="1"/>
  <c r="J287" i="19"/>
  <c r="R286" i="19"/>
  <c r="P286" i="19" s="1"/>
  <c r="AO285" i="19"/>
  <c r="AN285" i="19"/>
  <c r="AM285" i="19"/>
  <c r="AL285" i="19"/>
  <c r="AK285" i="19"/>
  <c r="AJ285" i="19"/>
  <c r="AI285" i="19"/>
  <c r="AH285" i="19"/>
  <c r="AG285" i="19"/>
  <c r="AF285" i="19"/>
  <c r="AE285" i="19"/>
  <c r="AD285" i="19"/>
  <c r="AC285" i="19"/>
  <c r="AB285" i="19"/>
  <c r="AA285" i="19"/>
  <c r="Z285" i="19"/>
  <c r="Y285" i="19"/>
  <c r="X285" i="19"/>
  <c r="W285" i="19"/>
  <c r="V285" i="19"/>
  <c r="U285" i="19"/>
  <c r="T285" i="19"/>
  <c r="S285" i="19"/>
  <c r="Q285" i="19"/>
  <c r="P285" i="19"/>
  <c r="O285" i="19"/>
  <c r="N285" i="19"/>
  <c r="M285" i="19"/>
  <c r="L285" i="19"/>
  <c r="J285" i="19" s="1"/>
  <c r="J284" i="19"/>
  <c r="Q283" i="19"/>
  <c r="AA282" i="19"/>
  <c r="AA279" i="19" s="1"/>
  <c r="AA278" i="19" s="1"/>
  <c r="R282" i="19"/>
  <c r="Q282" i="19"/>
  <c r="Q281" i="19"/>
  <c r="R280" i="19"/>
  <c r="P280" i="19" s="1"/>
  <c r="Q280" i="19"/>
  <c r="AJ279" i="19"/>
  <c r="AI279" i="19"/>
  <c r="AI278" i="19" s="1"/>
  <c r="AH279" i="19"/>
  <c r="AH278" i="19" s="1"/>
  <c r="AG279" i="19"/>
  <c r="AG278" i="19" s="1"/>
  <c r="AF279" i="19"/>
  <c r="AF278" i="19" s="1"/>
  <c r="AE279" i="19"/>
  <c r="AE278" i="19" s="1"/>
  <c r="AD279" i="19"/>
  <c r="AC279" i="19"/>
  <c r="AB279" i="19"/>
  <c r="Y279" i="19"/>
  <c r="W279" i="19"/>
  <c r="W278" i="19" s="1"/>
  <c r="V279" i="19"/>
  <c r="V278" i="19" s="1"/>
  <c r="U279" i="19"/>
  <c r="U278" i="19" s="1"/>
  <c r="T279" i="19"/>
  <c r="S279" i="19"/>
  <c r="S278" i="19" s="1"/>
  <c r="R279" i="19"/>
  <c r="R278" i="19" s="1"/>
  <c r="Q279" i="19"/>
  <c r="Q278" i="19" s="1"/>
  <c r="J279" i="19"/>
  <c r="AO278" i="19"/>
  <c r="AN278" i="19"/>
  <c r="AJ278" i="19"/>
  <c r="AD278" i="19"/>
  <c r="AC278" i="19"/>
  <c r="AB278" i="19"/>
  <c r="Y278" i="19"/>
  <c r="X278" i="19"/>
  <c r="T278" i="19"/>
  <c r="P278" i="19"/>
  <c r="AK278" i="19" s="1"/>
  <c r="AL278" i="19" s="1"/>
  <c r="O278" i="19"/>
  <c r="N278" i="19"/>
  <c r="M278" i="19"/>
  <c r="L278" i="19"/>
  <c r="J278" i="19" s="1"/>
  <c r="J277" i="19"/>
  <c r="AA276" i="19"/>
  <c r="T276" i="19"/>
  <c r="P276" i="19" s="1"/>
  <c r="Q276" i="19"/>
  <c r="AF275" i="19"/>
  <c r="AF274" i="19" s="1"/>
  <c r="AF273" i="19" s="1"/>
  <c r="T275" i="19"/>
  <c r="T274" i="19" s="1"/>
  <c r="T273" i="19" s="1"/>
  <c r="Q275" i="19"/>
  <c r="AJ274" i="19"/>
  <c r="AJ273" i="19" s="1"/>
  <c r="AI274" i="19"/>
  <c r="AI273" i="19" s="1"/>
  <c r="AH274" i="19"/>
  <c r="AG274" i="19"/>
  <c r="AG273" i="19" s="1"/>
  <c r="AE274" i="19"/>
  <c r="AE273" i="19" s="1"/>
  <c r="AD274" i="19"/>
  <c r="AC274" i="19"/>
  <c r="AC273" i="19" s="1"/>
  <c r="AB274" i="19"/>
  <c r="AB273" i="19" s="1"/>
  <c r="AA274" i="19"/>
  <c r="AA273" i="19" s="1"/>
  <c r="Y274" i="19"/>
  <c r="W274" i="19"/>
  <c r="W273" i="19" s="1"/>
  <c r="V274" i="19"/>
  <c r="V273" i="19" s="1"/>
  <c r="U274" i="19"/>
  <c r="U273" i="19" s="1"/>
  <c r="S274" i="19"/>
  <c r="S273" i="19" s="1"/>
  <c r="AO273" i="19"/>
  <c r="AN273" i="19"/>
  <c r="AM273" i="19"/>
  <c r="AK273" i="19"/>
  <c r="AL273" i="19" s="1"/>
  <c r="AH273" i="19"/>
  <c r="AD273" i="19"/>
  <c r="Y273" i="19"/>
  <c r="X273" i="19"/>
  <c r="O273" i="19"/>
  <c r="N273" i="19"/>
  <c r="M273" i="19"/>
  <c r="L273" i="19"/>
  <c r="J273" i="19" s="1"/>
  <c r="J272" i="19"/>
  <c r="AF271" i="19"/>
  <c r="AF270" i="19" s="1"/>
  <c r="AF269" i="19" s="1"/>
  <c r="AA271" i="19"/>
  <c r="U271" i="19"/>
  <c r="Q271" i="19" s="1"/>
  <c r="P271" i="19"/>
  <c r="AJ270" i="19"/>
  <c r="AJ269" i="19" s="1"/>
  <c r="AI270" i="19"/>
  <c r="AI269" i="19" s="1"/>
  <c r="AH270" i="19"/>
  <c r="AG270" i="19"/>
  <c r="AG269" i="19" s="1"/>
  <c r="AD270" i="19"/>
  <c r="AD269" i="19" s="1"/>
  <c r="AC270" i="19"/>
  <c r="AC269" i="19" s="1"/>
  <c r="AB270" i="19"/>
  <c r="Y270" i="19"/>
  <c r="X270" i="19"/>
  <c r="X269" i="19" s="1"/>
  <c r="W270" i="19"/>
  <c r="W269" i="19" s="1"/>
  <c r="V270" i="19"/>
  <c r="S270" i="19"/>
  <c r="R270" i="19"/>
  <c r="J270" i="19"/>
  <c r="AO269" i="19"/>
  <c r="AN269" i="19"/>
  <c r="AH269" i="19"/>
  <c r="AE269" i="19"/>
  <c r="AB269" i="19"/>
  <c r="AA269" i="19"/>
  <c r="Y269" i="19"/>
  <c r="V269" i="19"/>
  <c r="S269" i="19"/>
  <c r="R269" i="19"/>
  <c r="Q269" i="19"/>
  <c r="P269" i="19"/>
  <c r="O269" i="19"/>
  <c r="N269" i="19"/>
  <c r="M269" i="19"/>
  <c r="L269" i="19"/>
  <c r="J269" i="19" s="1"/>
  <c r="AK267" i="19"/>
  <c r="AL267" i="19" s="1"/>
  <c r="O267" i="19"/>
  <c r="N267" i="19"/>
  <c r="M267" i="19"/>
  <c r="L267" i="19"/>
  <c r="AA266" i="19"/>
  <c r="V266" i="19"/>
  <c r="V265" i="19" s="1"/>
  <c r="Q266" i="19"/>
  <c r="AI265" i="19"/>
  <c r="AH265" i="19"/>
  <c r="AH260" i="19" s="1"/>
  <c r="AG265" i="19"/>
  <c r="AF265" i="19"/>
  <c r="AF260" i="19" s="1"/>
  <c r="AE265" i="19"/>
  <c r="AD265" i="19"/>
  <c r="AC265" i="19"/>
  <c r="AB265" i="19"/>
  <c r="Y265" i="19"/>
  <c r="X265" i="19"/>
  <c r="W265" i="19"/>
  <c r="U265" i="19"/>
  <c r="T265" i="19"/>
  <c r="T247" i="19" s="1"/>
  <c r="S265" i="19"/>
  <c r="S247" i="19" s="1"/>
  <c r="R265" i="19"/>
  <c r="AA263" i="19"/>
  <c r="T263" i="19"/>
  <c r="Q263" i="19"/>
  <c r="AA262" i="19"/>
  <c r="T262" i="19"/>
  <c r="R262" i="19"/>
  <c r="Q262" i="19"/>
  <c r="AE261" i="19"/>
  <c r="AD261" i="19"/>
  <c r="AC261" i="19"/>
  <c r="AB261" i="19"/>
  <c r="AB260" i="19" s="1"/>
  <c r="Y261" i="19"/>
  <c r="X261" i="19"/>
  <c r="W261" i="19"/>
  <c r="W260" i="19" s="1"/>
  <c r="V261" i="19"/>
  <c r="U261" i="19"/>
  <c r="S261" i="19"/>
  <c r="R261" i="19"/>
  <c r="R260" i="19" s="1"/>
  <c r="AQ260" i="19"/>
  <c r="AG260" i="19"/>
  <c r="AC260" i="19"/>
  <c r="AA260" i="19"/>
  <c r="Z260" i="19"/>
  <c r="U260" i="19"/>
  <c r="Q260" i="19"/>
  <c r="P260" i="19"/>
  <c r="O260" i="19"/>
  <c r="N260" i="19"/>
  <c r="M260" i="19"/>
  <c r="L260" i="19"/>
  <c r="J260" i="19" s="1"/>
  <c r="AF259" i="19"/>
  <c r="AF258" i="19" s="1"/>
  <c r="AF257" i="19" s="1"/>
  <c r="AA259" i="19"/>
  <c r="AA258" i="19" s="1"/>
  <c r="AA257" i="19" s="1"/>
  <c r="V259" i="19"/>
  <c r="V258" i="19" s="1"/>
  <c r="V257" i="19" s="1"/>
  <c r="R259" i="19"/>
  <c r="Q259" i="19"/>
  <c r="P259" i="19" s="1"/>
  <c r="AO258" i="19"/>
  <c r="AO257" i="19" s="1"/>
  <c r="AN258" i="19"/>
  <c r="AN257" i="19" s="1"/>
  <c r="AM258" i="19"/>
  <c r="AM257" i="19" s="1"/>
  <c r="AL258" i="19"/>
  <c r="AL257" i="19" s="1"/>
  <c r="AK258" i="19"/>
  <c r="AK257" i="19" s="1"/>
  <c r="AJ258" i="19"/>
  <c r="AI258" i="19"/>
  <c r="AI257" i="19" s="1"/>
  <c r="AH258" i="19"/>
  <c r="AH257" i="19" s="1"/>
  <c r="AG258" i="19"/>
  <c r="AE258" i="19"/>
  <c r="AE257" i="19" s="1"/>
  <c r="AD258" i="19"/>
  <c r="AD257" i="19" s="1"/>
  <c r="AC258" i="19"/>
  <c r="AC257" i="19" s="1"/>
  <c r="AB258" i="19"/>
  <c r="Y258" i="19"/>
  <c r="Y257" i="19" s="1"/>
  <c r="W258" i="19"/>
  <c r="W257" i="19" s="1"/>
  <c r="U258" i="19"/>
  <c r="T258" i="19"/>
  <c r="S258" i="19"/>
  <c r="S257" i="19" s="1"/>
  <c r="R258" i="19"/>
  <c r="R257" i="19" s="1"/>
  <c r="Q258" i="19"/>
  <c r="Q257" i="19" s="1"/>
  <c r="AJ257" i="19"/>
  <c r="AG257" i="19"/>
  <c r="AB257" i="19"/>
  <c r="X257" i="19"/>
  <c r="U257" i="19"/>
  <c r="T257" i="19"/>
  <c r="P257" i="19"/>
  <c r="M257" i="19"/>
  <c r="L257" i="19"/>
  <c r="J257" i="19" s="1"/>
  <c r="AA255" i="19"/>
  <c r="X255" i="19"/>
  <c r="X253" i="19" s="1"/>
  <c r="X252" i="19" s="1"/>
  <c r="V255" i="19"/>
  <c r="Q255" i="19"/>
  <c r="AA254" i="19"/>
  <c r="AA253" i="19" s="1"/>
  <c r="AA252" i="19" s="1"/>
  <c r="Q254" i="19"/>
  <c r="AE253" i="19"/>
  <c r="AD253" i="19"/>
  <c r="AC253" i="19"/>
  <c r="AC252" i="19" s="1"/>
  <c r="AB253" i="19"/>
  <c r="AB252" i="19" s="1"/>
  <c r="Y253" i="19"/>
  <c r="Y252" i="19" s="1"/>
  <c r="W253" i="19"/>
  <c r="W252" i="19" s="1"/>
  <c r="V253" i="19"/>
  <c r="V252" i="19" s="1"/>
  <c r="U253" i="19"/>
  <c r="T253" i="19"/>
  <c r="T252" i="19" s="1"/>
  <c r="S253" i="19"/>
  <c r="S252" i="19" s="1"/>
  <c r="R253" i="19"/>
  <c r="R252" i="19" s="1"/>
  <c r="AO252" i="19"/>
  <c r="AN252" i="19"/>
  <c r="AM252" i="19"/>
  <c r="AL252" i="19"/>
  <c r="AK252" i="19"/>
  <c r="AJ252" i="19"/>
  <c r="AI252" i="19"/>
  <c r="AH252" i="19"/>
  <c r="AG252" i="19"/>
  <c r="AF252" i="19"/>
  <c r="AE252" i="19"/>
  <c r="AD252" i="19"/>
  <c r="U252" i="19"/>
  <c r="P252" i="19"/>
  <c r="O252" i="19"/>
  <c r="N252" i="19"/>
  <c r="M252" i="19"/>
  <c r="L252" i="19"/>
  <c r="AA251" i="19"/>
  <c r="AA250" i="19" s="1"/>
  <c r="Q251" i="19"/>
  <c r="Q250" i="19" s="1"/>
  <c r="AI250" i="19"/>
  <c r="AI249" i="19" s="1"/>
  <c r="AH250" i="19"/>
  <c r="AH249" i="19" s="1"/>
  <c r="AG250" i="19"/>
  <c r="AG249" i="19" s="1"/>
  <c r="AF250" i="19"/>
  <c r="AE250" i="19"/>
  <c r="AD250" i="19"/>
  <c r="AD249" i="19" s="1"/>
  <c r="AC250" i="19"/>
  <c r="AC249" i="19" s="1"/>
  <c r="AB250" i="19"/>
  <c r="Y250" i="19"/>
  <c r="X250" i="19"/>
  <c r="X249" i="19" s="1"/>
  <c r="W250" i="19"/>
  <c r="W249" i="19" s="1"/>
  <c r="V250" i="19"/>
  <c r="U250" i="19"/>
  <c r="U249" i="19" s="1"/>
  <c r="T250" i="19"/>
  <c r="T249" i="19" s="1"/>
  <c r="S250" i="19"/>
  <c r="R250" i="19"/>
  <c r="AO249" i="19"/>
  <c r="AN249" i="19"/>
  <c r="AN246" i="19" s="1"/>
  <c r="AM249" i="19"/>
  <c r="AL249" i="19"/>
  <c r="AK249" i="19"/>
  <c r="AJ249" i="19"/>
  <c r="AF249" i="19"/>
  <c r="AE249" i="19"/>
  <c r="AB249" i="19"/>
  <c r="Y249" i="19"/>
  <c r="V249" i="19"/>
  <c r="S249" i="19"/>
  <c r="R249" i="19"/>
  <c r="O249" i="19"/>
  <c r="N249" i="19"/>
  <c r="M249" i="19"/>
  <c r="L249" i="19"/>
  <c r="L248" i="19"/>
  <c r="AM247" i="19"/>
  <c r="AL247" i="19"/>
  <c r="AK247" i="19"/>
  <c r="AH247" i="19"/>
  <c r="AG247" i="19"/>
  <c r="AC247" i="19"/>
  <c r="X247" i="19"/>
  <c r="W247" i="19"/>
  <c r="U247" i="19"/>
  <c r="R247" i="19"/>
  <c r="P247" i="19"/>
  <c r="O247" i="19"/>
  <c r="N247" i="19"/>
  <c r="M247" i="19"/>
  <c r="L247" i="19"/>
  <c r="K246" i="19"/>
  <c r="L245" i="19"/>
  <c r="AO243" i="19"/>
  <c r="AN243" i="19"/>
  <c r="AM243" i="19"/>
  <c r="AL243" i="19"/>
  <c r="AK243" i="19"/>
  <c r="AG243" i="19"/>
  <c r="AF243" i="19"/>
  <c r="AE243" i="19"/>
  <c r="AD243" i="19"/>
  <c r="AC243" i="19"/>
  <c r="AB243" i="19"/>
  <c r="Y243" i="19"/>
  <c r="Y242" i="19" s="1"/>
  <c r="X243" i="19"/>
  <c r="X242" i="19" s="1"/>
  <c r="W243" i="19"/>
  <c r="V243" i="19"/>
  <c r="V242" i="19" s="1"/>
  <c r="U243" i="19"/>
  <c r="U242" i="19" s="1"/>
  <c r="T243" i="19"/>
  <c r="T242" i="19" s="1"/>
  <c r="S243" i="19"/>
  <c r="R243" i="19"/>
  <c r="R242" i="19" s="1"/>
  <c r="O243" i="19"/>
  <c r="L243" i="19" s="1"/>
  <c r="AO242" i="19"/>
  <c r="AN242" i="19"/>
  <c r="AJ242" i="19"/>
  <c r="AI242" i="19"/>
  <c r="AH242" i="19"/>
  <c r="AG242" i="19"/>
  <c r="AF242" i="19"/>
  <c r="AE242" i="19"/>
  <c r="AD242" i="19"/>
  <c r="AC242" i="19"/>
  <c r="AB242" i="19"/>
  <c r="AA242" i="19"/>
  <c r="Z242" i="19"/>
  <c r="W242" i="19"/>
  <c r="S242" i="19"/>
  <c r="Q242" i="19"/>
  <c r="P242" i="19"/>
  <c r="N242" i="19"/>
  <c r="M242" i="19"/>
  <c r="R240" i="19"/>
  <c r="L240" i="19"/>
  <c r="AO239" i="19"/>
  <c r="AN239" i="19"/>
  <c r="AM239" i="19"/>
  <c r="AL239" i="19"/>
  <c r="AK239" i="19"/>
  <c r="AG239" i="19"/>
  <c r="AG238" i="19" s="1"/>
  <c r="AF239" i="19"/>
  <c r="AF238" i="19" s="1"/>
  <c r="AE239" i="19"/>
  <c r="AE238" i="19" s="1"/>
  <c r="AE232" i="19" s="1"/>
  <c r="AD239" i="19"/>
  <c r="AC239" i="19"/>
  <c r="AC238" i="19" s="1"/>
  <c r="AC232" i="19" s="1"/>
  <c r="AB239" i="19"/>
  <c r="AB238" i="19" s="1"/>
  <c r="AB232" i="19" s="1"/>
  <c r="AA239" i="19"/>
  <c r="AA238" i="19" s="1"/>
  <c r="AA232" i="19" s="1"/>
  <c r="Y239" i="19"/>
  <c r="X239" i="19"/>
  <c r="X238" i="19" s="1"/>
  <c r="X232" i="19" s="1"/>
  <c r="W239" i="19"/>
  <c r="W238" i="19" s="1"/>
  <c r="W232" i="19" s="1"/>
  <c r="V239" i="19"/>
  <c r="V238" i="19" s="1"/>
  <c r="V232" i="19" s="1"/>
  <c r="U239" i="19"/>
  <c r="T239" i="19"/>
  <c r="S239" i="19"/>
  <c r="S238" i="19" s="1"/>
  <c r="S232" i="19" s="1"/>
  <c r="Q239" i="19"/>
  <c r="O239" i="19"/>
  <c r="O238" i="19" s="1"/>
  <c r="O232" i="19" s="1"/>
  <c r="L239" i="19"/>
  <c r="L238" i="19" s="1"/>
  <c r="L232" i="19" s="1"/>
  <c r="AO238" i="19"/>
  <c r="AN238" i="19"/>
  <c r="AJ238" i="19"/>
  <c r="AI238" i="19"/>
  <c r="AH238" i="19"/>
  <c r="AD238" i="19"/>
  <c r="AD232" i="19" s="1"/>
  <c r="Z238" i="19"/>
  <c r="Y238" i="19"/>
  <c r="Y232" i="19" s="1"/>
  <c r="U238" i="19"/>
  <c r="U232" i="19" s="1"/>
  <c r="T238" i="19"/>
  <c r="Q238" i="19"/>
  <c r="Q232" i="19" s="1"/>
  <c r="N238" i="19"/>
  <c r="N232" i="19" s="1"/>
  <c r="M238" i="19"/>
  <c r="M232" i="19" s="1"/>
  <c r="AO235" i="19"/>
  <c r="AN235" i="19"/>
  <c r="AM235" i="19"/>
  <c r="AL235" i="19"/>
  <c r="AK235" i="19"/>
  <c r="AJ235" i="19"/>
  <c r="AI235" i="19"/>
  <c r="AH235" i="19"/>
  <c r="AG235" i="19"/>
  <c r="AF235" i="19"/>
  <c r="AE235" i="19"/>
  <c r="AD235" i="19"/>
  <c r="AC235" i="19"/>
  <c r="AB235" i="19"/>
  <c r="AA235" i="19"/>
  <c r="Y235" i="19"/>
  <c r="X235" i="19"/>
  <c r="W235" i="19"/>
  <c r="V235" i="19"/>
  <c r="U235" i="19"/>
  <c r="T235" i="19"/>
  <c r="S235" i="19"/>
  <c r="R235" i="19"/>
  <c r="Q235" i="19"/>
  <c r="P235" i="19"/>
  <c r="O235" i="19"/>
  <c r="N235" i="19"/>
  <c r="M235" i="19"/>
  <c r="L235" i="19"/>
  <c r="L234" i="19"/>
  <c r="L233" i="19"/>
  <c r="T232" i="19"/>
  <c r="K232" i="19"/>
  <c r="L231" i="19"/>
  <c r="AO229" i="19"/>
  <c r="AN229" i="19"/>
  <c r="AM229" i="19"/>
  <c r="AL229" i="19"/>
  <c r="AK229" i="19"/>
  <c r="AJ229" i="19"/>
  <c r="AI229" i="19"/>
  <c r="AH229" i="19"/>
  <c r="AG229" i="19"/>
  <c r="AF229" i="19"/>
  <c r="AE229" i="19"/>
  <c r="AD229" i="19"/>
  <c r="AC229" i="19"/>
  <c r="AB229" i="19"/>
  <c r="AA229" i="19"/>
  <c r="Y229" i="19"/>
  <c r="X229" i="19"/>
  <c r="W229" i="19"/>
  <c r="V229" i="19"/>
  <c r="U229" i="19"/>
  <c r="T229" i="19"/>
  <c r="S229" i="19"/>
  <c r="R229" i="19"/>
  <c r="Q229" i="19"/>
  <c r="P229" i="19"/>
  <c r="O229" i="19"/>
  <c r="N229" i="19"/>
  <c r="M229" i="19"/>
  <c r="L229" i="19"/>
  <c r="AO227" i="19"/>
  <c r="AN227" i="19"/>
  <c r="AM227" i="19"/>
  <c r="AL227" i="19"/>
  <c r="AK227" i="19"/>
  <c r="AJ227" i="19"/>
  <c r="AI227" i="19"/>
  <c r="AH227" i="19"/>
  <c r="AG227" i="19"/>
  <c r="AF227" i="19"/>
  <c r="AE227" i="19"/>
  <c r="AD227" i="19"/>
  <c r="AC227" i="19"/>
  <c r="AB227" i="19"/>
  <c r="AA227" i="19"/>
  <c r="Y227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AO225" i="19"/>
  <c r="AN225" i="19"/>
  <c r="AM225" i="19"/>
  <c r="AL225" i="19"/>
  <c r="AK225" i="19"/>
  <c r="AJ225" i="19"/>
  <c r="AI225" i="19"/>
  <c r="AH225" i="19"/>
  <c r="AG225" i="19"/>
  <c r="AF225" i="19"/>
  <c r="AE225" i="19"/>
  <c r="AD225" i="19"/>
  <c r="AC225" i="19"/>
  <c r="AB225" i="19"/>
  <c r="AA225" i="19"/>
  <c r="Y225" i="19"/>
  <c r="X225" i="19"/>
  <c r="W225" i="19"/>
  <c r="V225" i="19"/>
  <c r="U225" i="19"/>
  <c r="T225" i="19"/>
  <c r="S225" i="19"/>
  <c r="R225" i="19"/>
  <c r="Q225" i="19"/>
  <c r="P225" i="19"/>
  <c r="O225" i="19"/>
  <c r="N225" i="19"/>
  <c r="M225" i="19"/>
  <c r="L225" i="19"/>
  <c r="Q224" i="19"/>
  <c r="Q223" i="19"/>
  <c r="Q222" i="19"/>
  <c r="Q221" i="19"/>
  <c r="AJ220" i="19"/>
  <c r="AJ219" i="19" s="1"/>
  <c r="AI220" i="19"/>
  <c r="AI219" i="19" s="1"/>
  <c r="AH220" i="19"/>
  <c r="AH219" i="19" s="1"/>
  <c r="AG220" i="19"/>
  <c r="AG219" i="19" s="1"/>
  <c r="AF220" i="19"/>
  <c r="AE220" i="19"/>
  <c r="AE219" i="19" s="1"/>
  <c r="AD220" i="19"/>
  <c r="AC220" i="19"/>
  <c r="AC219" i="19" s="1"/>
  <c r="AB220" i="19"/>
  <c r="AB219" i="19" s="1"/>
  <c r="AA220" i="19"/>
  <c r="AA219" i="19" s="1"/>
  <c r="Y220" i="19"/>
  <c r="Y219" i="19" s="1"/>
  <c r="W220" i="19"/>
  <c r="V220" i="19"/>
  <c r="U220" i="19"/>
  <c r="U219" i="19" s="1"/>
  <c r="T220" i="19"/>
  <c r="S220" i="19"/>
  <c r="R220" i="19"/>
  <c r="Q220" i="19"/>
  <c r="Q219" i="19" s="1"/>
  <c r="AO219" i="19"/>
  <c r="AN219" i="19"/>
  <c r="AM219" i="19"/>
  <c r="AL219" i="19"/>
  <c r="AK219" i="19"/>
  <c r="AF219" i="19"/>
  <c r="AD219" i="19"/>
  <c r="X219" i="19"/>
  <c r="W219" i="19"/>
  <c r="V219" i="19"/>
  <c r="T219" i="19"/>
  <c r="S219" i="19"/>
  <c r="R219" i="19"/>
  <c r="P219" i="19"/>
  <c r="O219" i="19"/>
  <c r="N219" i="19"/>
  <c r="M219" i="19"/>
  <c r="L219" i="19"/>
  <c r="Q218" i="19"/>
  <c r="Q217" i="19"/>
  <c r="Q216" i="19"/>
  <c r="Q215" i="19"/>
  <c r="AO214" i="19"/>
  <c r="AO213" i="19" s="1"/>
  <c r="AN214" i="19"/>
  <c r="AM214" i="19"/>
  <c r="AM213" i="19" s="1"/>
  <c r="AL214" i="19"/>
  <c r="AK214" i="19"/>
  <c r="AK213" i="19" s="1"/>
  <c r="AJ214" i="19"/>
  <c r="AI214" i="19"/>
  <c r="AI213" i="19" s="1"/>
  <c r="AH214" i="19"/>
  <c r="AH213" i="19" s="1"/>
  <c r="AG214" i="19"/>
  <c r="AG213" i="19" s="1"/>
  <c r="AF214" i="19"/>
  <c r="AE214" i="19"/>
  <c r="AE213" i="19" s="1"/>
  <c r="AD214" i="19"/>
  <c r="AD213" i="19" s="1"/>
  <c r="AC214" i="19"/>
  <c r="AC213" i="19" s="1"/>
  <c r="AB214" i="19"/>
  <c r="AB213" i="19" s="1"/>
  <c r="AA214" i="19"/>
  <c r="AA213" i="19" s="1"/>
  <c r="Y214" i="19"/>
  <c r="Y213" i="19" s="1"/>
  <c r="W214" i="19"/>
  <c r="W213" i="19" s="1"/>
  <c r="V214" i="19"/>
  <c r="V213" i="19" s="1"/>
  <c r="U214" i="19"/>
  <c r="T214" i="19"/>
  <c r="T213" i="19" s="1"/>
  <c r="S214" i="19"/>
  <c r="S213" i="19" s="1"/>
  <c r="R214" i="19"/>
  <c r="R213" i="19" s="1"/>
  <c r="AN213" i="19"/>
  <c r="AL213" i="19"/>
  <c r="AJ213" i="19"/>
  <c r="AF213" i="19"/>
  <c r="X213" i="19"/>
  <c r="U213" i="19"/>
  <c r="P213" i="19"/>
  <c r="O213" i="19"/>
  <c r="N213" i="19"/>
  <c r="M213" i="19"/>
  <c r="M205" i="19" s="1"/>
  <c r="L213" i="19"/>
  <c r="AF211" i="19"/>
  <c r="AF209" i="19" s="1"/>
  <c r="AF208" i="19" s="1"/>
  <c r="AA211" i="19"/>
  <c r="U211" i="19"/>
  <c r="AA210" i="19"/>
  <c r="V210" i="19"/>
  <c r="Q210" i="19" s="1"/>
  <c r="AO209" i="19"/>
  <c r="AO208" i="19" s="1"/>
  <c r="AO205" i="19" s="1"/>
  <c r="AN209" i="19"/>
  <c r="AN208" i="19" s="1"/>
  <c r="AN205" i="19" s="1"/>
  <c r="AM209" i="19"/>
  <c r="AL209" i="19"/>
  <c r="AK209" i="19"/>
  <c r="AJ209" i="19"/>
  <c r="AJ208" i="19" s="1"/>
  <c r="AI209" i="19"/>
  <c r="AH209" i="19"/>
  <c r="AG209" i="19"/>
  <c r="AG208" i="19" s="1"/>
  <c r="AE209" i="19"/>
  <c r="AE208" i="19" s="1"/>
  <c r="AD209" i="19"/>
  <c r="AC209" i="19"/>
  <c r="AC208" i="19" s="1"/>
  <c r="AB209" i="19"/>
  <c r="AB208" i="19" s="1"/>
  <c r="Y209" i="19"/>
  <c r="Y208" i="19" s="1"/>
  <c r="X209" i="19"/>
  <c r="W209" i="19"/>
  <c r="W208" i="19" s="1"/>
  <c r="U209" i="19"/>
  <c r="U208" i="19" s="1"/>
  <c r="S209" i="19"/>
  <c r="S208" i="19" s="1"/>
  <c r="R209" i="19"/>
  <c r="R208" i="19" s="1"/>
  <c r="AI208" i="19"/>
  <c r="AI205" i="19" s="1"/>
  <c r="AH208" i="19"/>
  <c r="AD208" i="19"/>
  <c r="AA208" i="19"/>
  <c r="X208" i="19"/>
  <c r="X205" i="19" s="1"/>
  <c r="Q208" i="19"/>
  <c r="P208" i="19"/>
  <c r="O208" i="19"/>
  <c r="O205" i="19" s="1"/>
  <c r="N208" i="19"/>
  <c r="N205" i="19" s="1"/>
  <c r="M208" i="19"/>
  <c r="L208" i="19"/>
  <c r="AJ206" i="19"/>
  <c r="AG206" i="19"/>
  <c r="AG158" i="19" s="1"/>
  <c r="AF206" i="19"/>
  <c r="AF158" i="19" s="1"/>
  <c r="AB206" i="19"/>
  <c r="X206" i="19"/>
  <c r="W206" i="19"/>
  <c r="W158" i="19" s="1"/>
  <c r="S206" i="19"/>
  <c r="P206" i="19"/>
  <c r="O206" i="19"/>
  <c r="O158" i="19" s="1"/>
  <c r="K205" i="19"/>
  <c r="J205" i="19"/>
  <c r="P201" i="19"/>
  <c r="P198" i="19"/>
  <c r="P195" i="19"/>
  <c r="AA193" i="19"/>
  <c r="X193" i="19"/>
  <c r="Q193" i="19"/>
  <c r="AA192" i="19"/>
  <c r="X192" i="19"/>
  <c r="Q192" i="19"/>
  <c r="AA191" i="19"/>
  <c r="AA190" i="19"/>
  <c r="T190" i="19"/>
  <c r="R190" i="19"/>
  <c r="Q190" i="19"/>
  <c r="X189" i="19"/>
  <c r="Q189" i="19"/>
  <c r="AJ188" i="19"/>
  <c r="AJ187" i="19" s="1"/>
  <c r="AI188" i="19"/>
  <c r="AI187" i="19" s="1"/>
  <c r="AH188" i="19"/>
  <c r="AH187" i="19" s="1"/>
  <c r="AG188" i="19"/>
  <c r="AG187" i="19" s="1"/>
  <c r="AF188" i="19"/>
  <c r="AF187" i="19" s="1"/>
  <c r="AE188" i="19"/>
  <c r="AD188" i="19"/>
  <c r="AD187" i="19" s="1"/>
  <c r="AC188" i="19"/>
  <c r="AC187" i="19" s="1"/>
  <c r="AB188" i="19"/>
  <c r="AB187" i="19" s="1"/>
  <c r="S188" i="19"/>
  <c r="S187" i="19" s="1"/>
  <c r="R188" i="19"/>
  <c r="R187" i="19" s="1"/>
  <c r="AO187" i="19"/>
  <c r="AN187" i="19"/>
  <c r="AM187" i="19"/>
  <c r="AL187" i="19"/>
  <c r="AK187" i="19"/>
  <c r="AE187" i="19"/>
  <c r="Y187" i="19"/>
  <c r="X187" i="19"/>
  <c r="W187" i="19"/>
  <c r="V187" i="19"/>
  <c r="U187" i="19"/>
  <c r="T187" i="19"/>
  <c r="Q187" i="19"/>
  <c r="P187" i="19"/>
  <c r="O187" i="19"/>
  <c r="N187" i="19"/>
  <c r="M187" i="19"/>
  <c r="L187" i="19"/>
  <c r="AA186" i="19"/>
  <c r="Q186" i="19"/>
  <c r="AG185" i="19"/>
  <c r="AF185" i="19"/>
  <c r="AE185" i="19"/>
  <c r="AD185" i="19"/>
  <c r="AC185" i="19"/>
  <c r="AB185" i="19"/>
  <c r="AA185" i="19"/>
  <c r="Y185" i="19"/>
  <c r="Y184" i="19" s="1"/>
  <c r="X185" i="19"/>
  <c r="W185" i="19"/>
  <c r="W184" i="19" s="1"/>
  <c r="V185" i="19"/>
  <c r="V184" i="19" s="1"/>
  <c r="U185" i="19"/>
  <c r="U184" i="19" s="1"/>
  <c r="T185" i="19"/>
  <c r="S185" i="19"/>
  <c r="S184" i="19" s="1"/>
  <c r="R185" i="19"/>
  <c r="R184" i="19" s="1"/>
  <c r="Q185" i="19"/>
  <c r="AO184" i="19"/>
  <c r="AN184" i="19"/>
  <c r="AM184" i="19"/>
  <c r="AL184" i="19"/>
  <c r="AK184" i="19"/>
  <c r="AJ184" i="19"/>
  <c r="AI184" i="19"/>
  <c r="AH184" i="19"/>
  <c r="AG184" i="19"/>
  <c r="AF184" i="19"/>
  <c r="AE184" i="19"/>
  <c r="AD184" i="19"/>
  <c r="AC184" i="19"/>
  <c r="AB184" i="19"/>
  <c r="X184" i="19"/>
  <c r="T184" i="19"/>
  <c r="O184" i="19"/>
  <c r="N184" i="19"/>
  <c r="M184" i="19"/>
  <c r="L184" i="19"/>
  <c r="AA183" i="19"/>
  <c r="AA181" i="19" s="1"/>
  <c r="Q183" i="19"/>
  <c r="Q180" i="19" s="1"/>
  <c r="AE181" i="19"/>
  <c r="AD181" i="19"/>
  <c r="AD180" i="19" s="1"/>
  <c r="AC181" i="19"/>
  <c r="AC180" i="19" s="1"/>
  <c r="AB181" i="19"/>
  <c r="AB180" i="19" s="1"/>
  <c r="Y181" i="19"/>
  <c r="Y180" i="19" s="1"/>
  <c r="X181" i="19"/>
  <c r="X180" i="19" s="1"/>
  <c r="W181" i="19"/>
  <c r="V181" i="19"/>
  <c r="V180" i="19" s="1"/>
  <c r="U181" i="19"/>
  <c r="U180" i="19" s="1"/>
  <c r="T181" i="19"/>
  <c r="T180" i="19" s="1"/>
  <c r="AO180" i="19"/>
  <c r="AN180" i="19"/>
  <c r="AM180" i="19"/>
  <c r="AL180" i="19"/>
  <c r="AK180" i="19"/>
  <c r="AJ180" i="19"/>
  <c r="AI180" i="19"/>
  <c r="AH180" i="19"/>
  <c r="AG180" i="19"/>
  <c r="AF180" i="19"/>
  <c r="AE180" i="19"/>
  <c r="AA180" i="19"/>
  <c r="Z180" i="19"/>
  <c r="W180" i="19"/>
  <c r="S180" i="19"/>
  <c r="R180" i="19"/>
  <c r="P180" i="19"/>
  <c r="P160" i="19" s="1"/>
  <c r="P156" i="19" s="1"/>
  <c r="O180" i="19"/>
  <c r="N180" i="19"/>
  <c r="M180" i="19"/>
  <c r="L180" i="19"/>
  <c r="AF179" i="19"/>
  <c r="R179" i="19"/>
  <c r="Q179" i="19"/>
  <c r="AA178" i="19"/>
  <c r="AF177" i="19"/>
  <c r="AA177" i="19"/>
  <c r="Q177" i="19"/>
  <c r="AF176" i="19"/>
  <c r="AA176" i="19"/>
  <c r="R176" i="19"/>
  <c r="Q176" i="19"/>
  <c r="AF175" i="19"/>
  <c r="Q175" i="19"/>
  <c r="AF174" i="19"/>
  <c r="Q174" i="19"/>
  <c r="AF173" i="19"/>
  <c r="R173" i="19"/>
  <c r="Q173" i="19"/>
  <c r="AO172" i="19"/>
  <c r="AN172" i="19"/>
  <c r="AN171" i="19" s="1"/>
  <c r="AN160" i="19" s="1"/>
  <c r="AN156" i="19" s="1"/>
  <c r="AM172" i="19"/>
  <c r="AL172" i="19"/>
  <c r="AK172" i="19"/>
  <c r="AH172" i="19"/>
  <c r="AH171" i="19" s="1"/>
  <c r="AG172" i="19"/>
  <c r="AE172" i="19"/>
  <c r="AE171" i="19" s="1"/>
  <c r="AD172" i="19"/>
  <c r="AC172" i="19"/>
  <c r="AC171" i="19" s="1"/>
  <c r="AB172" i="19"/>
  <c r="Y172" i="19"/>
  <c r="W172" i="19"/>
  <c r="W171" i="19" s="1"/>
  <c r="V172" i="19"/>
  <c r="U172" i="19"/>
  <c r="T172" i="19"/>
  <c r="S172" i="19"/>
  <c r="S171" i="19" s="1"/>
  <c r="AO171" i="19"/>
  <c r="AL171" i="19"/>
  <c r="AJ171" i="19"/>
  <c r="AI171" i="19"/>
  <c r="AD171" i="19"/>
  <c r="AB171" i="19"/>
  <c r="Y171" i="19"/>
  <c r="X171" i="19"/>
  <c r="V171" i="19"/>
  <c r="U171" i="19"/>
  <c r="T171" i="19"/>
  <c r="Q171" i="19"/>
  <c r="O171" i="19"/>
  <c r="N171" i="19"/>
  <c r="M171" i="19"/>
  <c r="L171" i="19"/>
  <c r="J171" i="19" s="1"/>
  <c r="J160" i="19" s="1"/>
  <c r="J156" i="19" s="1"/>
  <c r="AA169" i="19"/>
  <c r="R169" i="19"/>
  <c r="R168" i="19" s="1"/>
  <c r="R167" i="19" s="1"/>
  <c r="Q169" i="19"/>
  <c r="AG168" i="19"/>
  <c r="AG167" i="19" s="1"/>
  <c r="AF168" i="19"/>
  <c r="AF167" i="19" s="1"/>
  <c r="AE168" i="19"/>
  <c r="AD168" i="19"/>
  <c r="AC168" i="19"/>
  <c r="AC167" i="19" s="1"/>
  <c r="AB168" i="19"/>
  <c r="Y168" i="19"/>
  <c r="X168" i="19"/>
  <c r="X167" i="19" s="1"/>
  <c r="W168" i="19"/>
  <c r="W167" i="19" s="1"/>
  <c r="V168" i="19"/>
  <c r="V167" i="19" s="1"/>
  <c r="U168" i="19"/>
  <c r="U167" i="19" s="1"/>
  <c r="T168" i="19"/>
  <c r="T167" i="19" s="1"/>
  <c r="S168" i="19"/>
  <c r="AO167" i="19"/>
  <c r="AN167" i="19"/>
  <c r="AJ167" i="19"/>
  <c r="AI167" i="19"/>
  <c r="AH167" i="19"/>
  <c r="AE167" i="19"/>
  <c r="AD167" i="19"/>
  <c r="AB167" i="19"/>
  <c r="AA167" i="19"/>
  <c r="Y167" i="19"/>
  <c r="S167" i="19"/>
  <c r="Q167" i="19"/>
  <c r="Q160" i="19" s="1"/>
  <c r="Q156" i="19" s="1"/>
  <c r="P167" i="19"/>
  <c r="O167" i="19"/>
  <c r="N167" i="19"/>
  <c r="M167" i="19"/>
  <c r="M160" i="19" s="1"/>
  <c r="M156" i="19" s="1"/>
  <c r="L167" i="19"/>
  <c r="K167" i="19"/>
  <c r="AA166" i="19"/>
  <c r="AA165" i="19" s="1"/>
  <c r="T166" i="19"/>
  <c r="T165" i="19" s="1"/>
  <c r="T164" i="19" s="1"/>
  <c r="R166" i="19"/>
  <c r="Q166" i="19"/>
  <c r="Q165" i="19" s="1"/>
  <c r="AK165" i="19"/>
  <c r="AJ165" i="19"/>
  <c r="AI165" i="19"/>
  <c r="AH165" i="19"/>
  <c r="AH164" i="19" s="1"/>
  <c r="AG165" i="19"/>
  <c r="AG164" i="19" s="1"/>
  <c r="AF165" i="19"/>
  <c r="AF164" i="19" s="1"/>
  <c r="AE165" i="19"/>
  <c r="AD165" i="19"/>
  <c r="AD164" i="19" s="1"/>
  <c r="AC165" i="19"/>
  <c r="AC164" i="19" s="1"/>
  <c r="AB165" i="19"/>
  <c r="AB164" i="19" s="1"/>
  <c r="Y165" i="19"/>
  <c r="Y164" i="19" s="1"/>
  <c r="X165" i="19"/>
  <c r="X164" i="19" s="1"/>
  <c r="W165" i="19"/>
  <c r="W164" i="19" s="1"/>
  <c r="V165" i="19"/>
  <c r="V164" i="19" s="1"/>
  <c r="U165" i="19"/>
  <c r="U164" i="19" s="1"/>
  <c r="S165" i="19"/>
  <c r="S164" i="19" s="1"/>
  <c r="R165" i="19"/>
  <c r="R164" i="19" s="1"/>
  <c r="AO164" i="19"/>
  <c r="AO160" i="19" s="1"/>
  <c r="AO156" i="19" s="1"/>
  <c r="AN164" i="19"/>
  <c r="AM164" i="19"/>
  <c r="AK164" i="19"/>
  <c r="AL164" i="19" s="1"/>
  <c r="AJ164" i="19"/>
  <c r="AJ160" i="19" s="1"/>
  <c r="AJ156" i="19" s="1"/>
  <c r="AI164" i="19"/>
  <c r="AE164" i="19"/>
  <c r="O164" i="19"/>
  <c r="N164" i="19"/>
  <c r="M164" i="19"/>
  <c r="L164" i="19"/>
  <c r="L163" i="19"/>
  <c r="P162" i="19"/>
  <c r="N162" i="19"/>
  <c r="M162" i="19"/>
  <c r="L162" i="19"/>
  <c r="L161" i="19"/>
  <c r="K160" i="19"/>
  <c r="K156" i="19" s="1"/>
  <c r="AO159" i="19"/>
  <c r="AN159" i="19"/>
  <c r="AM159" i="19"/>
  <c r="AL159" i="19"/>
  <c r="AK159" i="19"/>
  <c r="AJ159" i="19"/>
  <c r="AI159" i="19"/>
  <c r="AH159" i="19"/>
  <c r="AG159" i="19"/>
  <c r="AF159" i="19"/>
  <c r="AE159" i="19"/>
  <c r="AD159" i="19"/>
  <c r="AC159" i="19"/>
  <c r="AB159" i="19"/>
  <c r="AA159" i="19"/>
  <c r="Y159" i="19"/>
  <c r="X159" i="19"/>
  <c r="W159" i="19"/>
  <c r="V159" i="19"/>
  <c r="V9" i="19" s="1"/>
  <c r="U159" i="19"/>
  <c r="T159" i="19"/>
  <c r="S159" i="19"/>
  <c r="R159" i="19"/>
  <c r="Q159" i="19"/>
  <c r="P159" i="19"/>
  <c r="O159" i="19"/>
  <c r="N159" i="19"/>
  <c r="N9" i="19" s="1"/>
  <c r="M159" i="19"/>
  <c r="K159" i="19"/>
  <c r="J159" i="19"/>
  <c r="AO158" i="19"/>
  <c r="AN158" i="19"/>
  <c r="AM158" i="19"/>
  <c r="AL158" i="19"/>
  <c r="AK158" i="19"/>
  <c r="AJ158" i="19"/>
  <c r="K158" i="19"/>
  <c r="J158" i="19"/>
  <c r="K157" i="19"/>
  <c r="K155" i="19" s="1"/>
  <c r="AA151" i="19"/>
  <c r="R151" i="19"/>
  <c r="Q151" i="19"/>
  <c r="AA150" i="19"/>
  <c r="T150" i="19"/>
  <c r="T149" i="19" s="1"/>
  <c r="T148" i="19" s="1"/>
  <c r="Q150" i="19"/>
  <c r="AE149" i="19"/>
  <c r="AE148" i="19" s="1"/>
  <c r="AD149" i="19"/>
  <c r="AD148" i="19" s="1"/>
  <c r="AC149" i="19"/>
  <c r="AC148" i="19" s="1"/>
  <c r="AB149" i="19"/>
  <c r="Y149" i="19"/>
  <c r="X149" i="19"/>
  <c r="X148" i="19" s="1"/>
  <c r="W149" i="19"/>
  <c r="W148" i="19" s="1"/>
  <c r="V149" i="19"/>
  <c r="V148" i="19" s="1"/>
  <c r="U149" i="19"/>
  <c r="U148" i="19" s="1"/>
  <c r="S149" i="19"/>
  <c r="S148" i="19" s="1"/>
  <c r="R149" i="19"/>
  <c r="R148" i="19" s="1"/>
  <c r="AO148" i="19"/>
  <c r="AN148" i="19"/>
  <c r="AJ148" i="19"/>
  <c r="AI148" i="19"/>
  <c r="AH148" i="19"/>
  <c r="AG148" i="19"/>
  <c r="AF148" i="19"/>
  <c r="AB148" i="19"/>
  <c r="Y148" i="19"/>
  <c r="Q148" i="19"/>
  <c r="AM148" i="19" s="1"/>
  <c r="P148" i="19"/>
  <c r="O148" i="19"/>
  <c r="N148" i="19"/>
  <c r="M148" i="19"/>
  <c r="L148" i="19"/>
  <c r="AA146" i="19"/>
  <c r="AA144" i="19" s="1"/>
  <c r="AA143" i="19" s="1"/>
  <c r="R146" i="19"/>
  <c r="R144" i="19" s="1"/>
  <c r="R143" i="19" s="1"/>
  <c r="Q146" i="19"/>
  <c r="AA145" i="19"/>
  <c r="T145" i="19"/>
  <c r="Q145" i="19"/>
  <c r="AE144" i="19"/>
  <c r="AE143" i="19" s="1"/>
  <c r="AD144" i="19"/>
  <c r="AC144" i="19"/>
  <c r="AC143" i="19" s="1"/>
  <c r="AB144" i="19"/>
  <c r="AB143" i="19" s="1"/>
  <c r="Y144" i="19"/>
  <c r="X144" i="19"/>
  <c r="X143" i="19" s="1"/>
  <c r="W144" i="19"/>
  <c r="W143" i="19" s="1"/>
  <c r="V144" i="19"/>
  <c r="V143" i="19" s="1"/>
  <c r="U144" i="19"/>
  <c r="T144" i="19"/>
  <c r="T143" i="19" s="1"/>
  <c r="S144" i="19"/>
  <c r="S143" i="19" s="1"/>
  <c r="AO143" i="19"/>
  <c r="AN143" i="19"/>
  <c r="AJ143" i="19"/>
  <c r="AI143" i="19"/>
  <c r="AH143" i="19"/>
  <c r="AG143" i="19"/>
  <c r="AF143" i="19"/>
  <c r="AD143" i="19"/>
  <c r="Y143" i="19"/>
  <c r="U143" i="19"/>
  <c r="Q143" i="19"/>
  <c r="P143" i="19"/>
  <c r="O143" i="19"/>
  <c r="N143" i="19"/>
  <c r="M143" i="19"/>
  <c r="L143" i="19"/>
  <c r="AA141" i="19"/>
  <c r="R141" i="19"/>
  <c r="R139" i="19" s="1"/>
  <c r="R138" i="19" s="1"/>
  <c r="R129" i="19" s="1"/>
  <c r="Q141" i="19"/>
  <c r="AA140" i="19"/>
  <c r="T140" i="19"/>
  <c r="T139" i="19" s="1"/>
  <c r="T138" i="19" s="1"/>
  <c r="Q140" i="19"/>
  <c r="AE139" i="19"/>
  <c r="AE138" i="19" s="1"/>
  <c r="AD139" i="19"/>
  <c r="AD138" i="19" s="1"/>
  <c r="AD129" i="19" s="1"/>
  <c r="AD119" i="19" s="1"/>
  <c r="AC139" i="19"/>
  <c r="AC138" i="19" s="1"/>
  <c r="AB139" i="19"/>
  <c r="AB138" i="19" s="1"/>
  <c r="AB129" i="19" s="1"/>
  <c r="Y139" i="19"/>
  <c r="Y138" i="19" s="1"/>
  <c r="Y129" i="19" s="1"/>
  <c r="Y119" i="19" s="1"/>
  <c r="X139" i="19"/>
  <c r="X138" i="19" s="1"/>
  <c r="W139" i="19"/>
  <c r="V139" i="19"/>
  <c r="V138" i="19" s="1"/>
  <c r="U139" i="19"/>
  <c r="U138" i="19" s="1"/>
  <c r="U129" i="19" s="1"/>
  <c r="S139" i="19"/>
  <c r="AO138" i="19"/>
  <c r="AN138" i="19"/>
  <c r="AN129" i="19" s="1"/>
  <c r="AJ138" i="19"/>
  <c r="AI138" i="19"/>
  <c r="AH138" i="19"/>
  <c r="AH129" i="19" s="1"/>
  <c r="AH119" i="19" s="1"/>
  <c r="AG138" i="19"/>
  <c r="AF138" i="19"/>
  <c r="W138" i="19"/>
  <c r="W129" i="19" s="1"/>
  <c r="W119" i="19" s="1"/>
  <c r="S138" i="19"/>
  <c r="S129" i="19" s="1"/>
  <c r="Q138" i="19"/>
  <c r="P138" i="19"/>
  <c r="P129" i="19" s="1"/>
  <c r="O138" i="19"/>
  <c r="O129" i="19" s="1"/>
  <c r="N138" i="19"/>
  <c r="N129" i="19" s="1"/>
  <c r="M138" i="19"/>
  <c r="M129" i="19" s="1"/>
  <c r="L138" i="19"/>
  <c r="L129" i="19" s="1"/>
  <c r="AA135" i="19"/>
  <c r="Z135" i="19"/>
  <c r="Y135" i="19"/>
  <c r="X135" i="19"/>
  <c r="W135" i="19"/>
  <c r="V135" i="19"/>
  <c r="U135" i="19"/>
  <c r="T135" i="19"/>
  <c r="S135" i="19"/>
  <c r="R135" i="19"/>
  <c r="Q135" i="19"/>
  <c r="P135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L131" i="19"/>
  <c r="L130" i="19"/>
  <c r="AO129" i="19"/>
  <c r="AI129" i="19"/>
  <c r="J129" i="19"/>
  <c r="L128" i="19"/>
  <c r="K128" i="19"/>
  <c r="AA127" i="19"/>
  <c r="T127" i="19"/>
  <c r="T126" i="19" s="1"/>
  <c r="T125" i="19" s="1"/>
  <c r="R127" i="19"/>
  <c r="R126" i="19" s="1"/>
  <c r="R125" i="19" s="1"/>
  <c r="Q127" i="19"/>
  <c r="Q126" i="19" s="1"/>
  <c r="AI126" i="19"/>
  <c r="AH126" i="19"/>
  <c r="AG126" i="19"/>
  <c r="AG125" i="19" s="1"/>
  <c r="AF126" i="19"/>
  <c r="AF125" i="19" s="1"/>
  <c r="AE126" i="19"/>
  <c r="AD126" i="19"/>
  <c r="AD125" i="19" s="1"/>
  <c r="AC126" i="19"/>
  <c r="AC125" i="19" s="1"/>
  <c r="AB126" i="19"/>
  <c r="AB125" i="19" s="1"/>
  <c r="AA126" i="19"/>
  <c r="Y126" i="19"/>
  <c r="X126" i="19"/>
  <c r="X125" i="19" s="1"/>
  <c r="W126" i="19"/>
  <c r="W125" i="19" s="1"/>
  <c r="V126" i="19"/>
  <c r="U126" i="19"/>
  <c r="U125" i="19" s="1"/>
  <c r="S126" i="19"/>
  <c r="S125" i="19" s="1"/>
  <c r="AO125" i="19"/>
  <c r="AN125" i="19"/>
  <c r="AM125" i="19"/>
  <c r="AL125" i="19"/>
  <c r="AK125" i="19"/>
  <c r="AJ125" i="19"/>
  <c r="AI125" i="19"/>
  <c r="AH125" i="19"/>
  <c r="AE125" i="19"/>
  <c r="AA125" i="19"/>
  <c r="Y125" i="19"/>
  <c r="V125" i="19"/>
  <c r="O125" i="19"/>
  <c r="N125" i="19"/>
  <c r="M125" i="19"/>
  <c r="L125" i="19"/>
  <c r="AI124" i="19"/>
  <c r="AI120" i="19" s="1"/>
  <c r="AH124" i="19"/>
  <c r="AH120" i="19" s="1"/>
  <c r="AD124" i="19"/>
  <c r="W124" i="19"/>
  <c r="P124" i="19"/>
  <c r="P120" i="19" s="1"/>
  <c r="V123" i="19"/>
  <c r="U123" i="19"/>
  <c r="AA122" i="19"/>
  <c r="V122" i="19"/>
  <c r="Q122" i="19"/>
  <c r="AD121" i="19"/>
  <c r="AC121" i="19"/>
  <c r="AB121" i="19"/>
  <c r="AB120" i="19" s="1"/>
  <c r="Y121" i="19"/>
  <c r="X121" i="19"/>
  <c r="W121" i="19"/>
  <c r="S121" i="19"/>
  <c r="S120" i="19" s="1"/>
  <c r="R121" i="19"/>
  <c r="R120" i="19" s="1"/>
  <c r="AO120" i="19"/>
  <c r="AN120" i="19"/>
  <c r="AM120" i="19"/>
  <c r="AL120" i="19"/>
  <c r="W120" i="19"/>
  <c r="Q120" i="19"/>
  <c r="O120" i="19"/>
  <c r="N120" i="19"/>
  <c r="M120" i="19"/>
  <c r="L120" i="19"/>
  <c r="AI119" i="19"/>
  <c r="R118" i="19"/>
  <c r="R117" i="19" s="1"/>
  <c r="R116" i="19" s="1"/>
  <c r="Q118" i="19"/>
  <c r="AJ117" i="19"/>
  <c r="AI117" i="19"/>
  <c r="AH117" i="19"/>
  <c r="AG117" i="19"/>
  <c r="AF117" i="19"/>
  <c r="AE117" i="19"/>
  <c r="AD117" i="19"/>
  <c r="AC117" i="19"/>
  <c r="AB117" i="19"/>
  <c r="AA117" i="19"/>
  <c r="Y117" i="19"/>
  <c r="X117" i="19"/>
  <c r="W117" i="19"/>
  <c r="V117" i="19"/>
  <c r="U117" i="19"/>
  <c r="T117" i="19"/>
  <c r="S117" i="19"/>
  <c r="AO116" i="19"/>
  <c r="AN116" i="19"/>
  <c r="AL116" i="19"/>
  <c r="AJ116" i="19"/>
  <c r="AI116" i="19"/>
  <c r="AH116" i="19"/>
  <c r="AG116" i="19"/>
  <c r="AF116" i="19"/>
  <c r="AE116" i="19"/>
  <c r="AD116" i="19"/>
  <c r="AC116" i="19"/>
  <c r="AB116" i="19"/>
  <c r="AA116" i="19"/>
  <c r="Y116" i="19"/>
  <c r="X116" i="19"/>
  <c r="W116" i="19"/>
  <c r="V116" i="19"/>
  <c r="U116" i="19"/>
  <c r="T116" i="19"/>
  <c r="S116" i="19"/>
  <c r="Q116" i="19"/>
  <c r="P116" i="19"/>
  <c r="O116" i="19"/>
  <c r="N116" i="19"/>
  <c r="M116" i="19"/>
  <c r="L116" i="19"/>
  <c r="AA115" i="19"/>
  <c r="R115" i="19"/>
  <c r="R114" i="19" s="1"/>
  <c r="R113" i="19" s="1"/>
  <c r="Q115" i="19"/>
  <c r="Q114" i="19" s="1"/>
  <c r="AJ114" i="19"/>
  <c r="AJ113" i="19" s="1"/>
  <c r="AI114" i="19"/>
  <c r="AH114" i="19"/>
  <c r="AH113" i="19" s="1"/>
  <c r="AG114" i="19"/>
  <c r="AG113" i="19" s="1"/>
  <c r="AF114" i="19"/>
  <c r="AF113" i="19" s="1"/>
  <c r="AE114" i="19"/>
  <c r="AE113" i="19" s="1"/>
  <c r="AD114" i="19"/>
  <c r="AC114" i="19"/>
  <c r="AC113" i="19" s="1"/>
  <c r="AB114" i="19"/>
  <c r="AB113" i="19" s="1"/>
  <c r="AA114" i="19"/>
  <c r="Y114" i="19"/>
  <c r="X114" i="19"/>
  <c r="X113" i="19" s="1"/>
  <c r="W114" i="19"/>
  <c r="V114" i="19"/>
  <c r="V113" i="19" s="1"/>
  <c r="U114" i="19"/>
  <c r="U113" i="19" s="1"/>
  <c r="T114" i="19"/>
  <c r="T113" i="19" s="1"/>
  <c r="S114" i="19"/>
  <c r="S113" i="19" s="1"/>
  <c r="AO113" i="19"/>
  <c r="AN113" i="19"/>
  <c r="AM113" i="19"/>
  <c r="AL113" i="19"/>
  <c r="AK113" i="19"/>
  <c r="AI113" i="19"/>
  <c r="AD113" i="19"/>
  <c r="Y113" i="19"/>
  <c r="W113" i="19"/>
  <c r="O113" i="19"/>
  <c r="N113" i="19"/>
  <c r="M113" i="19"/>
  <c r="L113" i="19"/>
  <c r="AF111" i="19"/>
  <c r="AA111" i="19"/>
  <c r="T111" i="19"/>
  <c r="L111" i="19"/>
  <c r="AF110" i="19"/>
  <c r="T110" i="19"/>
  <c r="Q110" i="19"/>
  <c r="L110" i="19"/>
  <c r="AJ109" i="19"/>
  <c r="AJ108" i="19" s="1"/>
  <c r="AI109" i="19"/>
  <c r="AI108" i="19" s="1"/>
  <c r="AH109" i="19"/>
  <c r="AH108" i="19" s="1"/>
  <c r="AG109" i="19"/>
  <c r="AG108" i="19" s="1"/>
  <c r="AF109" i="19"/>
  <c r="AF108" i="19" s="1"/>
  <c r="AE109" i="19"/>
  <c r="AE108" i="19" s="1"/>
  <c r="AD109" i="19"/>
  <c r="AD108" i="19" s="1"/>
  <c r="AC109" i="19"/>
  <c r="AC108" i="19" s="1"/>
  <c r="AB109" i="19"/>
  <c r="AB108" i="19" s="1"/>
  <c r="AA109" i="19"/>
  <c r="AA108" i="19" s="1"/>
  <c r="Y109" i="19"/>
  <c r="Y108" i="19" s="1"/>
  <c r="W109" i="19"/>
  <c r="W108" i="19" s="1"/>
  <c r="V109" i="19"/>
  <c r="V108" i="19" s="1"/>
  <c r="U109" i="19"/>
  <c r="U108" i="19" s="1"/>
  <c r="S109" i="19"/>
  <c r="S108" i="19" s="1"/>
  <c r="AO108" i="19"/>
  <c r="AN108" i="19"/>
  <c r="AL108" i="19"/>
  <c r="X108" i="19"/>
  <c r="R108" i="19"/>
  <c r="Q108" i="19"/>
  <c r="P108" i="19"/>
  <c r="O108" i="19"/>
  <c r="N108" i="19"/>
  <c r="M108" i="19"/>
  <c r="L108" i="19"/>
  <c r="AF106" i="19"/>
  <c r="Q106" i="19"/>
  <c r="AF105" i="19"/>
  <c r="AA105" i="19"/>
  <c r="AA103" i="19" s="1"/>
  <c r="AA102" i="19" s="1"/>
  <c r="R105" i="19"/>
  <c r="Q105" i="19"/>
  <c r="AF104" i="19"/>
  <c r="AF103" i="19" s="1"/>
  <c r="AF102" i="19" s="1"/>
  <c r="Q104" i="19"/>
  <c r="AJ103" i="19"/>
  <c r="AJ102" i="19" s="1"/>
  <c r="AI103" i="19"/>
  <c r="AI102" i="19" s="1"/>
  <c r="AH103" i="19"/>
  <c r="AH102" i="19" s="1"/>
  <c r="AG103" i="19"/>
  <c r="AG102" i="19" s="1"/>
  <c r="AE103" i="19"/>
  <c r="AE102" i="19" s="1"/>
  <c r="AD103" i="19"/>
  <c r="AD102" i="19" s="1"/>
  <c r="AC103" i="19"/>
  <c r="AC102" i="19" s="1"/>
  <c r="AB103" i="19"/>
  <c r="AB102" i="19" s="1"/>
  <c r="Y103" i="19"/>
  <c r="Y102" i="19" s="1"/>
  <c r="W103" i="19"/>
  <c r="W102" i="19" s="1"/>
  <c r="V103" i="19"/>
  <c r="V102" i="19" s="1"/>
  <c r="U103" i="19"/>
  <c r="T103" i="19"/>
  <c r="T102" i="19" s="1"/>
  <c r="S103" i="19"/>
  <c r="S102" i="19" s="1"/>
  <c r="R103" i="19"/>
  <c r="R102" i="19" s="1"/>
  <c r="P103" i="19"/>
  <c r="AO102" i="19"/>
  <c r="AN102" i="19"/>
  <c r="AL102" i="19"/>
  <c r="X102" i="19"/>
  <c r="U102" i="19"/>
  <c r="P102" i="19"/>
  <c r="O102" i="19"/>
  <c r="N102" i="19"/>
  <c r="M102" i="19"/>
  <c r="L102" i="19"/>
  <c r="AF101" i="19"/>
  <c r="AF100" i="19" s="1"/>
  <c r="AF99" i="19" s="1"/>
  <c r="Q101" i="19"/>
  <c r="Q100" i="19" s="1"/>
  <c r="Q99" i="19" s="1"/>
  <c r="AJ100" i="19"/>
  <c r="AJ99" i="19" s="1"/>
  <c r="AI100" i="19"/>
  <c r="AI99" i="19" s="1"/>
  <c r="AH100" i="19"/>
  <c r="AH99" i="19" s="1"/>
  <c r="AG100" i="19"/>
  <c r="AG99" i="19" s="1"/>
  <c r="AE100" i="19"/>
  <c r="AD100" i="19"/>
  <c r="AD99" i="19" s="1"/>
  <c r="AC100" i="19"/>
  <c r="AC99" i="19" s="1"/>
  <c r="AB100" i="19"/>
  <c r="AB99" i="19" s="1"/>
  <c r="AA100" i="19"/>
  <c r="AA99" i="19" s="1"/>
  <c r="Y100" i="19"/>
  <c r="Y99" i="19" s="1"/>
  <c r="X100" i="19"/>
  <c r="W100" i="19"/>
  <c r="W99" i="19" s="1"/>
  <c r="V100" i="19"/>
  <c r="V99" i="19" s="1"/>
  <c r="U100" i="19"/>
  <c r="U99" i="19" s="1"/>
  <c r="T100" i="19"/>
  <c r="T99" i="19" s="1"/>
  <c r="S100" i="19"/>
  <c r="S99" i="19" s="1"/>
  <c r="R100" i="19"/>
  <c r="R99" i="19" s="1"/>
  <c r="AO99" i="19"/>
  <c r="AN99" i="19"/>
  <c r="AL99" i="19"/>
  <c r="AE99" i="19"/>
  <c r="X99" i="19"/>
  <c r="P99" i="19"/>
  <c r="O99" i="19"/>
  <c r="N99" i="19"/>
  <c r="M99" i="19"/>
  <c r="L99" i="19"/>
  <c r="AA98" i="19"/>
  <c r="AA97" i="19" s="1"/>
  <c r="U98" i="19"/>
  <c r="AD97" i="19"/>
  <c r="AD96" i="19" s="1"/>
  <c r="AC97" i="19"/>
  <c r="AC96" i="19" s="1"/>
  <c r="AB97" i="19"/>
  <c r="AB96" i="19" s="1"/>
  <c r="Y97" i="19"/>
  <c r="Y96" i="19" s="1"/>
  <c r="X97" i="19"/>
  <c r="X96" i="19" s="1"/>
  <c r="W97" i="19"/>
  <c r="W96" i="19" s="1"/>
  <c r="V97" i="19"/>
  <c r="V96" i="19" s="1"/>
  <c r="T97" i="19"/>
  <c r="S97" i="19"/>
  <c r="S96" i="19" s="1"/>
  <c r="R97" i="19"/>
  <c r="R96" i="19" s="1"/>
  <c r="AO96" i="19"/>
  <c r="AN96" i="19"/>
  <c r="AM96" i="19"/>
  <c r="AL96" i="19"/>
  <c r="AK96" i="19"/>
  <c r="AJ96" i="19"/>
  <c r="AI96" i="19"/>
  <c r="AH96" i="19"/>
  <c r="AG96" i="19"/>
  <c r="AF96" i="19"/>
  <c r="AE96" i="19"/>
  <c r="T96" i="19"/>
  <c r="O96" i="19"/>
  <c r="N96" i="19"/>
  <c r="M96" i="19"/>
  <c r="L96" i="19"/>
  <c r="AA95" i="19"/>
  <c r="AA94" i="19" s="1"/>
  <c r="U95" i="19"/>
  <c r="Q95" i="19" s="1"/>
  <c r="Q94" i="19" s="1"/>
  <c r="AE94" i="19"/>
  <c r="AD94" i="19"/>
  <c r="AD93" i="19" s="1"/>
  <c r="AC94" i="19"/>
  <c r="AC93" i="19" s="1"/>
  <c r="AB94" i="19"/>
  <c r="AB93" i="19" s="1"/>
  <c r="Y94" i="19"/>
  <c r="X94" i="19"/>
  <c r="X93" i="19" s="1"/>
  <c r="W94" i="19"/>
  <c r="W93" i="19" s="1"/>
  <c r="V94" i="19"/>
  <c r="V93" i="19" s="1"/>
  <c r="T94" i="19"/>
  <c r="T93" i="19" s="1"/>
  <c r="S94" i="19"/>
  <c r="S93" i="19" s="1"/>
  <c r="R94" i="19"/>
  <c r="R93" i="19" s="1"/>
  <c r="AO93" i="19"/>
  <c r="AN93" i="19"/>
  <c r="AM93" i="19"/>
  <c r="AL93" i="19"/>
  <c r="AK93" i="19"/>
  <c r="AJ93" i="19"/>
  <c r="AI93" i="19"/>
  <c r="AH93" i="19"/>
  <c r="AG93" i="19"/>
  <c r="AF93" i="19"/>
  <c r="AE93" i="19"/>
  <c r="Y93" i="19"/>
  <c r="O93" i="19"/>
  <c r="N93" i="19"/>
  <c r="M93" i="19"/>
  <c r="L93" i="19"/>
  <c r="AK92" i="19"/>
  <c r="AL92" i="19" s="1"/>
  <c r="L92" i="19"/>
  <c r="J91" i="19"/>
  <c r="AF90" i="19"/>
  <c r="AA90" i="19"/>
  <c r="R90" i="19"/>
  <c r="Q90" i="19"/>
  <c r="T89" i="19"/>
  <c r="Q89" i="19"/>
  <c r="AA88" i="19"/>
  <c r="T88" i="19"/>
  <c r="Q88" i="19"/>
  <c r="AK87" i="19"/>
  <c r="AJ87" i="19"/>
  <c r="AJ86" i="19" s="1"/>
  <c r="AI87" i="19"/>
  <c r="AI86" i="19" s="1"/>
  <c r="AH87" i="19"/>
  <c r="AH86" i="19" s="1"/>
  <c r="AG87" i="19"/>
  <c r="AG86" i="19" s="1"/>
  <c r="AF87" i="19"/>
  <c r="AF86" i="19" s="1"/>
  <c r="AE87" i="19"/>
  <c r="AE86" i="19" s="1"/>
  <c r="AD87" i="19"/>
  <c r="AD86" i="19" s="1"/>
  <c r="AC87" i="19"/>
  <c r="AC86" i="19" s="1"/>
  <c r="AB87" i="19"/>
  <c r="AB86" i="19" s="1"/>
  <c r="Y87" i="19"/>
  <c r="Y86" i="19" s="1"/>
  <c r="X87" i="19"/>
  <c r="W87" i="19"/>
  <c r="W86" i="19" s="1"/>
  <c r="V87" i="19"/>
  <c r="V86" i="19" s="1"/>
  <c r="U87" i="19"/>
  <c r="U86" i="19" s="1"/>
  <c r="S87" i="19"/>
  <c r="S86" i="19" s="1"/>
  <c r="R87" i="19"/>
  <c r="J87" i="19"/>
  <c r="AO86" i="19"/>
  <c r="AO79" i="19" s="1"/>
  <c r="AN86" i="19"/>
  <c r="AN79" i="19" s="1"/>
  <c r="AA86" i="19"/>
  <c r="X86" i="19"/>
  <c r="R86" i="19"/>
  <c r="Q86" i="19"/>
  <c r="P86" i="19"/>
  <c r="O86" i="19"/>
  <c r="N86" i="19"/>
  <c r="M86" i="19"/>
  <c r="L86" i="19"/>
  <c r="J86" i="19" s="1"/>
  <c r="AF84" i="19"/>
  <c r="AF83" i="19" s="1"/>
  <c r="AF82" i="19" s="1"/>
  <c r="AF79" i="19" s="1"/>
  <c r="AA84" i="19"/>
  <c r="AA83" i="19" s="1"/>
  <c r="AA82" i="19" s="1"/>
  <c r="X84" i="19"/>
  <c r="V84" i="19"/>
  <c r="V83" i="19" s="1"/>
  <c r="V82" i="19" s="1"/>
  <c r="R84" i="19"/>
  <c r="R83" i="19" s="1"/>
  <c r="R82" i="19" s="1"/>
  <c r="Q84" i="19"/>
  <c r="P84" i="19" s="1"/>
  <c r="AJ83" i="19"/>
  <c r="AI83" i="19"/>
  <c r="AI82" i="19" s="1"/>
  <c r="AH83" i="19"/>
  <c r="AH82" i="19" s="1"/>
  <c r="AH79" i="19" s="1"/>
  <c r="AG83" i="19"/>
  <c r="AG82" i="19" s="1"/>
  <c r="AE83" i="19"/>
  <c r="AD83" i="19"/>
  <c r="AD82" i="19" s="1"/>
  <c r="AC83" i="19"/>
  <c r="AC82" i="19" s="1"/>
  <c r="AB83" i="19"/>
  <c r="Y83" i="19"/>
  <c r="X83" i="19"/>
  <c r="W83" i="19"/>
  <c r="U83" i="19"/>
  <c r="T83" i="19"/>
  <c r="S83" i="19"/>
  <c r="Q83" i="19"/>
  <c r="AL82" i="19"/>
  <c r="AJ82" i="19"/>
  <c r="AJ79" i="19" s="1"/>
  <c r="AE82" i="19"/>
  <c r="AB82" i="19"/>
  <c r="Y82" i="19"/>
  <c r="X82" i="19"/>
  <c r="W82" i="19"/>
  <c r="U82" i="19"/>
  <c r="T82" i="19"/>
  <c r="S82" i="19"/>
  <c r="Q82" i="19"/>
  <c r="AM82" i="19" s="1"/>
  <c r="O82" i="19"/>
  <c r="N82" i="19"/>
  <c r="M82" i="19"/>
  <c r="L82" i="19"/>
  <c r="J82" i="19" s="1"/>
  <c r="L81" i="19"/>
  <c r="J81" i="19" s="1"/>
  <c r="L80" i="19"/>
  <c r="J80" i="19" s="1"/>
  <c r="K79" i="19"/>
  <c r="L78" i="19"/>
  <c r="L72" i="19" s="1"/>
  <c r="AO76" i="19"/>
  <c r="AN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AA73" i="19"/>
  <c r="AA72" i="19" s="1"/>
  <c r="Z73" i="19"/>
  <c r="Z72" i="19" s="1"/>
  <c r="Y73" i="19"/>
  <c r="X73" i="19"/>
  <c r="X72" i="19" s="1"/>
  <c r="W73" i="19"/>
  <c r="W72" i="19" s="1"/>
  <c r="V73" i="19"/>
  <c r="V72" i="19" s="1"/>
  <c r="U73" i="19"/>
  <c r="T73" i="19"/>
  <c r="T72" i="19" s="1"/>
  <c r="S73" i="19"/>
  <c r="S72" i="19" s="1"/>
  <c r="R73" i="19"/>
  <c r="R72" i="19" s="1"/>
  <c r="Q73" i="19"/>
  <c r="Q72" i="19" s="1"/>
  <c r="AO72" i="19"/>
  <c r="AN72" i="19"/>
  <c r="AJ72" i="19"/>
  <c r="AI72" i="19"/>
  <c r="AH72" i="19"/>
  <c r="AG72" i="19"/>
  <c r="AF72" i="19"/>
  <c r="AE72" i="19"/>
  <c r="AD72" i="19"/>
  <c r="AC72" i="19"/>
  <c r="AB72" i="19"/>
  <c r="Y72" i="19"/>
  <c r="U72" i="19"/>
  <c r="P72" i="19"/>
  <c r="O72" i="19"/>
  <c r="N72" i="19"/>
  <c r="M72" i="19"/>
  <c r="AF70" i="19"/>
  <c r="AF69" i="19" s="1"/>
  <c r="AF68" i="19" s="1"/>
  <c r="AF65" i="19" s="1"/>
  <c r="AA70" i="19"/>
  <c r="R70" i="19"/>
  <c r="R69" i="19" s="1"/>
  <c r="R68" i="19" s="1"/>
  <c r="Q70" i="19"/>
  <c r="Q68" i="19" s="1"/>
  <c r="Q65" i="19" s="1"/>
  <c r="AG69" i="19"/>
  <c r="AG68" i="19" s="1"/>
  <c r="AG65" i="19" s="1"/>
  <c r="AB69" i="19"/>
  <c r="AB68" i="19" s="1"/>
  <c r="AB65" i="19" s="1"/>
  <c r="Y69" i="19"/>
  <c r="W69" i="19"/>
  <c r="W68" i="19" s="1"/>
  <c r="W65" i="19" s="1"/>
  <c r="V69" i="19"/>
  <c r="V68" i="19" s="1"/>
  <c r="V65" i="19" s="1"/>
  <c r="U69" i="19"/>
  <c r="T69" i="19"/>
  <c r="T68" i="19" s="1"/>
  <c r="T65" i="19" s="1"/>
  <c r="S69" i="19"/>
  <c r="S68" i="19" s="1"/>
  <c r="S65" i="19" s="1"/>
  <c r="AO68" i="19"/>
  <c r="AO65" i="19" s="1"/>
  <c r="AN68" i="19"/>
  <c r="AJ68" i="19"/>
  <c r="AI68" i="19"/>
  <c r="AI65" i="19" s="1"/>
  <c r="AH68" i="19"/>
  <c r="AH65" i="19" s="1"/>
  <c r="AE68" i="19"/>
  <c r="AD68" i="19"/>
  <c r="AD65" i="19" s="1"/>
  <c r="AC68" i="19"/>
  <c r="AC65" i="19" s="1"/>
  <c r="AA68" i="19"/>
  <c r="AA65" i="19" s="1"/>
  <c r="Z68" i="19"/>
  <c r="Y68" i="19"/>
  <c r="Y65" i="19" s="1"/>
  <c r="X68" i="19"/>
  <c r="U68" i="19"/>
  <c r="U65" i="19" s="1"/>
  <c r="P68" i="19"/>
  <c r="O68" i="19"/>
  <c r="O65" i="19" s="1"/>
  <c r="N68" i="19"/>
  <c r="N65" i="19" s="1"/>
  <c r="M68" i="19"/>
  <c r="M65" i="19" s="1"/>
  <c r="L68" i="19"/>
  <c r="L65" i="19" s="1"/>
  <c r="L67" i="19"/>
  <c r="L66" i="19"/>
  <c r="AN65" i="19"/>
  <c r="AJ65" i="19"/>
  <c r="AE65" i="19"/>
  <c r="X65" i="19"/>
  <c r="P65" i="19"/>
  <c r="K65" i="19"/>
  <c r="J65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J61" i="19"/>
  <c r="AA60" i="19"/>
  <c r="V60" i="19"/>
  <c r="Q60" i="19"/>
  <c r="AD59" i="19"/>
  <c r="AC59" i="19"/>
  <c r="AB59" i="19"/>
  <c r="Y59" i="19"/>
  <c r="X59" i="19"/>
  <c r="W59" i="19"/>
  <c r="V59" i="19"/>
  <c r="U59" i="19"/>
  <c r="T59" i="19"/>
  <c r="S59" i="19"/>
  <c r="R59" i="19"/>
  <c r="J59" i="19"/>
  <c r="AO58" i="19"/>
  <c r="AN58" i="19"/>
  <c r="AJ58" i="19"/>
  <c r="AI58" i="19"/>
  <c r="AH58" i="19"/>
  <c r="AH52" i="19" s="1"/>
  <c r="AG58" i="19"/>
  <c r="AF58" i="19"/>
  <c r="AE58" i="19"/>
  <c r="AD58" i="19"/>
  <c r="AC58" i="19"/>
  <c r="AB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J58" i="19" s="1"/>
  <c r="L57" i="19"/>
  <c r="J57" i="19" s="1"/>
  <c r="L56" i="19"/>
  <c r="J56" i="19" s="1"/>
  <c r="AO55" i="19"/>
  <c r="AO52" i="19" s="1"/>
  <c r="AO12" i="19" s="1"/>
  <c r="AN55" i="19"/>
  <c r="AN52" i="19" s="1"/>
  <c r="AN12" i="19" s="1"/>
  <c r="AI55" i="19"/>
  <c r="AH55" i="19"/>
  <c r="AG55" i="19"/>
  <c r="AF55" i="19"/>
  <c r="AF52" i="19" s="1"/>
  <c r="AE55" i="19"/>
  <c r="AD55" i="19"/>
  <c r="AC55" i="19"/>
  <c r="AB55" i="19"/>
  <c r="AB52" i="19" s="1"/>
  <c r="AA55" i="19"/>
  <c r="Y55" i="19"/>
  <c r="X55" i="19"/>
  <c r="W55" i="19"/>
  <c r="V55" i="19"/>
  <c r="U55" i="19"/>
  <c r="T55" i="19"/>
  <c r="S55" i="19"/>
  <c r="S52" i="19" s="1"/>
  <c r="R55" i="19"/>
  <c r="Q55" i="19"/>
  <c r="P55" i="19"/>
  <c r="O55" i="19"/>
  <c r="N55" i="19"/>
  <c r="M55" i="19"/>
  <c r="J54" i="19"/>
  <c r="J53" i="19"/>
  <c r="AM52" i="19"/>
  <c r="AJ52" i="19"/>
  <c r="AA52" i="19"/>
  <c r="W52" i="19"/>
  <c r="V52" i="19"/>
  <c r="R52" i="19"/>
  <c r="O52" i="19"/>
  <c r="N52" i="19"/>
  <c r="AJ51" i="19"/>
  <c r="AI51" i="19"/>
  <c r="AH51" i="19"/>
  <c r="AG51" i="19"/>
  <c r="AA49" i="19"/>
  <c r="Q49" i="19"/>
  <c r="AC48" i="19"/>
  <c r="AC47" i="19" s="1"/>
  <c r="AC45" i="19" s="1"/>
  <c r="AB48" i="19"/>
  <c r="AB47" i="19" s="1"/>
  <c r="AB45" i="19" s="1"/>
  <c r="Z48" i="19"/>
  <c r="Y48" i="19"/>
  <c r="Y47" i="19" s="1"/>
  <c r="Y45" i="19" s="1"/>
  <c r="X48" i="19"/>
  <c r="X47" i="19" s="1"/>
  <c r="X45" i="19" s="1"/>
  <c r="W48" i="19"/>
  <c r="V48" i="19"/>
  <c r="V47" i="19" s="1"/>
  <c r="U48" i="19"/>
  <c r="U47" i="19" s="1"/>
  <c r="U44" i="19" s="1"/>
  <c r="T48" i="19"/>
  <c r="T47" i="19" s="1"/>
  <c r="S48" i="19"/>
  <c r="R48" i="19"/>
  <c r="R47" i="19" s="1"/>
  <c r="W47" i="19"/>
  <c r="W45" i="19" s="1"/>
  <c r="S47" i="19"/>
  <c r="S44" i="19" s="1"/>
  <c r="Q47" i="19"/>
  <c r="Q44" i="19" s="1"/>
  <c r="P47" i="19"/>
  <c r="O47" i="19"/>
  <c r="O45" i="19" s="1"/>
  <c r="N47" i="19"/>
  <c r="N45" i="19" s="1"/>
  <c r="M47" i="19"/>
  <c r="M45" i="19" s="1"/>
  <c r="L47" i="19"/>
  <c r="AO45" i="19"/>
  <c r="AO13" i="19" s="1"/>
  <c r="AN45" i="19"/>
  <c r="AN13" i="19" s="1"/>
  <c r="AN8" i="19" s="1"/>
  <c r="AM45" i="19"/>
  <c r="AM13" i="19" s="1"/>
  <c r="AJ45" i="19"/>
  <c r="AI45" i="19"/>
  <c r="AH45" i="19"/>
  <c r="AG45" i="19"/>
  <c r="AF45" i="19"/>
  <c r="AE45" i="19"/>
  <c r="AD45" i="19"/>
  <c r="AA45" i="19"/>
  <c r="K45" i="19"/>
  <c r="J45" i="19"/>
  <c r="J13" i="19" s="1"/>
  <c r="J8" i="19" s="1"/>
  <c r="P44" i="19"/>
  <c r="M44" i="19"/>
  <c r="L44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AA38" i="19"/>
  <c r="AA37" i="19" s="1"/>
  <c r="AA36" i="19" s="1"/>
  <c r="Q38" i="19"/>
  <c r="AE37" i="19"/>
  <c r="Y37" i="19"/>
  <c r="Y36" i="19" s="1"/>
  <c r="X37" i="19"/>
  <c r="Q37" i="19"/>
  <c r="Q36" i="19" s="1"/>
  <c r="L37" i="19"/>
  <c r="L36" i="19" s="1"/>
  <c r="AO36" i="19"/>
  <c r="AN36" i="19"/>
  <c r="AJ36" i="19"/>
  <c r="AI36" i="19"/>
  <c r="AH36" i="19"/>
  <c r="AG36" i="19"/>
  <c r="AF36" i="19"/>
  <c r="AE36" i="19"/>
  <c r="AD36" i="19"/>
  <c r="AC36" i="19"/>
  <c r="AB36" i="19"/>
  <c r="X36" i="19"/>
  <c r="W36" i="19"/>
  <c r="V36" i="19"/>
  <c r="U36" i="19"/>
  <c r="T36" i="19"/>
  <c r="S36" i="19"/>
  <c r="R36" i="19"/>
  <c r="P36" i="19"/>
  <c r="O36" i="19"/>
  <c r="N36" i="19"/>
  <c r="M36" i="19"/>
  <c r="AO33" i="19"/>
  <c r="AN33" i="19"/>
  <c r="AN15" i="19" s="1"/>
  <c r="AN11" i="19" s="1"/>
  <c r="AM33" i="19"/>
  <c r="AJ33" i="19"/>
  <c r="AI33" i="19"/>
  <c r="AH33" i="19"/>
  <c r="AG33" i="19"/>
  <c r="AF33" i="19"/>
  <c r="AE33" i="19"/>
  <c r="AD33" i="19"/>
  <c r="AC33" i="19"/>
  <c r="AB33" i="19"/>
  <c r="AA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M15" i="19" s="1"/>
  <c r="M11" i="19" s="1"/>
  <c r="L33" i="19"/>
  <c r="J33" i="19" s="1"/>
  <c r="J15" i="19" s="1"/>
  <c r="J11" i="19" s="1"/>
  <c r="AG32" i="19"/>
  <c r="AF32" i="19" s="1"/>
  <c r="Q32" i="19"/>
  <c r="P32" i="19" s="1"/>
  <c r="U31" i="19"/>
  <c r="T31" i="19" s="1"/>
  <c r="T30" i="19" s="1"/>
  <c r="AJ30" i="19"/>
  <c r="AJ17" i="19" s="1"/>
  <c r="AJ13" i="19" s="1"/>
  <c r="AJ8" i="19" s="1"/>
  <c r="AI30" i="19"/>
  <c r="AI17" i="19" s="1"/>
  <c r="AI13" i="19" s="1"/>
  <c r="AH30" i="19"/>
  <c r="AE30" i="19"/>
  <c r="AE17" i="19" s="1"/>
  <c r="AE13" i="19" s="1"/>
  <c r="AD30" i="19"/>
  <c r="AD17" i="19" s="1"/>
  <c r="AD13" i="19" s="1"/>
  <c r="AC30" i="19"/>
  <c r="AB30" i="19"/>
  <c r="AA30" i="19"/>
  <c r="AA17" i="19" s="1"/>
  <c r="AA13" i="19" s="1"/>
  <c r="Y30" i="19"/>
  <c r="Y17" i="19" s="1"/>
  <c r="W30" i="19"/>
  <c r="W17" i="19" s="1"/>
  <c r="V30" i="19"/>
  <c r="U30" i="19"/>
  <c r="U17" i="19" s="1"/>
  <c r="U13" i="19" s="1"/>
  <c r="S30" i="19"/>
  <c r="S17" i="19" s="1"/>
  <c r="R30" i="19"/>
  <c r="R17" i="19" s="1"/>
  <c r="N30" i="19"/>
  <c r="N17" i="19" s="1"/>
  <c r="L30" i="19"/>
  <c r="L19" i="19" s="1"/>
  <c r="AF29" i="19"/>
  <c r="AA29" i="19"/>
  <c r="R29" i="19"/>
  <c r="R28" i="19" s="1"/>
  <c r="R18" i="19" s="1"/>
  <c r="R14" i="19" s="1"/>
  <c r="P29" i="19"/>
  <c r="AJ28" i="19"/>
  <c r="AI28" i="19"/>
  <c r="AH28" i="19"/>
  <c r="AH18" i="19" s="1"/>
  <c r="AH14" i="19" s="1"/>
  <c r="AH9" i="19" s="1"/>
  <c r="AG28" i="19"/>
  <c r="AG18" i="19" s="1"/>
  <c r="AG14" i="19" s="1"/>
  <c r="AG9" i="19" s="1"/>
  <c r="AF28" i="19"/>
  <c r="AE28" i="19"/>
  <c r="AD28" i="19"/>
  <c r="AC28" i="19"/>
  <c r="AB28" i="19"/>
  <c r="AA28" i="19"/>
  <c r="Y28" i="19"/>
  <c r="W28" i="19"/>
  <c r="V28" i="19"/>
  <c r="U28" i="19"/>
  <c r="T28" i="19"/>
  <c r="T18" i="19" s="1"/>
  <c r="T14" i="19" s="1"/>
  <c r="T9" i="19" s="1"/>
  <c r="S28" i="19"/>
  <c r="Q28" i="19"/>
  <c r="Q18" i="19" s="1"/>
  <c r="Q14" i="19" s="1"/>
  <c r="J28" i="19"/>
  <c r="J18" i="19" s="1"/>
  <c r="J14" i="19" s="1"/>
  <c r="J9" i="19" s="1"/>
  <c r="AF27" i="19"/>
  <c r="AA27" i="19"/>
  <c r="R27" i="19"/>
  <c r="Q27" i="19"/>
  <c r="P27" i="19"/>
  <c r="AF26" i="19"/>
  <c r="AA26" i="19"/>
  <c r="Q26" i="19"/>
  <c r="AF25" i="19"/>
  <c r="AA25" i="19"/>
  <c r="Q25" i="19"/>
  <c r="AF24" i="19"/>
  <c r="AA24" i="19"/>
  <c r="Q24" i="19"/>
  <c r="P24" i="19"/>
  <c r="AF23" i="19"/>
  <c r="AA23" i="19"/>
  <c r="T23" i="19"/>
  <c r="T20" i="19" s="1"/>
  <c r="T15" i="19" s="1"/>
  <c r="T11" i="19" s="1"/>
  <c r="R23" i="19"/>
  <c r="AF22" i="19"/>
  <c r="AA22" i="19"/>
  <c r="R22" i="19"/>
  <c r="P22" i="19"/>
  <c r="AF21" i="19"/>
  <c r="R21" i="19"/>
  <c r="AJ20" i="19"/>
  <c r="AI20" i="19"/>
  <c r="AH20" i="19"/>
  <c r="AG20" i="19"/>
  <c r="AG15" i="19" s="1"/>
  <c r="AG11" i="19" s="1"/>
  <c r="AE20" i="19"/>
  <c r="AE19" i="19" s="1"/>
  <c r="AD20" i="19"/>
  <c r="AC20" i="19"/>
  <c r="AC15" i="19" s="1"/>
  <c r="AC11" i="19" s="1"/>
  <c r="AB20" i="19"/>
  <c r="Y20" i="19"/>
  <c r="X20" i="19"/>
  <c r="W20" i="19"/>
  <c r="W15" i="19" s="1"/>
  <c r="W11" i="19" s="1"/>
  <c r="V20" i="19"/>
  <c r="V19" i="19" s="1"/>
  <c r="U20" i="19"/>
  <c r="S20" i="19"/>
  <c r="K20" i="19"/>
  <c r="K19" i="19" s="1"/>
  <c r="AO19" i="19"/>
  <c r="AN19" i="19"/>
  <c r="AI19" i="19"/>
  <c r="AH19" i="19"/>
  <c r="AB19" i="19"/>
  <c r="X19" i="19"/>
  <c r="P19" i="19"/>
  <c r="O19" i="19"/>
  <c r="N19" i="19"/>
  <c r="M19" i="19"/>
  <c r="AO18" i="19"/>
  <c r="AN18" i="19"/>
  <c r="AM18" i="19"/>
  <c r="AM14" i="19" s="1"/>
  <c r="AL18" i="19"/>
  <c r="AK18" i="19"/>
  <c r="AJ18" i="19"/>
  <c r="AI18" i="19"/>
  <c r="AI14" i="19" s="1"/>
  <c r="AI9" i="19" s="1"/>
  <c r="AF18" i="19"/>
  <c r="AE18" i="19"/>
  <c r="AB18" i="19"/>
  <c r="AA18" i="19"/>
  <c r="AA14" i="19" s="1"/>
  <c r="AA9" i="19" s="1"/>
  <c r="X18" i="19"/>
  <c r="V18" i="19"/>
  <c r="P18" i="19"/>
  <c r="O18" i="19"/>
  <c r="O14" i="19" s="1"/>
  <c r="O9" i="19" s="1"/>
  <c r="N18" i="19"/>
  <c r="M18" i="19"/>
  <c r="L18" i="19"/>
  <c r="K18" i="19"/>
  <c r="K14" i="19" s="1"/>
  <c r="K9" i="19" s="1"/>
  <c r="AH17" i="19"/>
  <c r="AC17" i="19"/>
  <c r="AB17" i="19"/>
  <c r="X17" i="19"/>
  <c r="V17" i="19"/>
  <c r="P17" i="19"/>
  <c r="P13" i="19" s="1"/>
  <c r="O17" i="19"/>
  <c r="O13" i="19" s="1"/>
  <c r="O8" i="19" s="1"/>
  <c r="M17" i="19"/>
  <c r="M13" i="19" s="1"/>
  <c r="AB15" i="19"/>
  <c r="AB11" i="19" s="1"/>
  <c r="O15" i="19"/>
  <c r="O11" i="19" s="1"/>
  <c r="AO14" i="19"/>
  <c r="AO9" i="19" s="1"/>
  <c r="AN14" i="19"/>
  <c r="AN9" i="19" s="1"/>
  <c r="AL14" i="19"/>
  <c r="AK14" i="19"/>
  <c r="AK9" i="19" s="1"/>
  <c r="AJ14" i="19"/>
  <c r="AF14" i="19"/>
  <c r="AF9" i="19" s="1"/>
  <c r="AE14" i="19"/>
  <c r="AB14" i="19"/>
  <c r="X14" i="19"/>
  <c r="V14" i="19"/>
  <c r="P14" i="19"/>
  <c r="N14" i="19"/>
  <c r="M14" i="19"/>
  <c r="AH13" i="19"/>
  <c r="K13" i="19"/>
  <c r="K8" i="19" s="1"/>
  <c r="K12" i="19"/>
  <c r="AQ10" i="19"/>
  <c r="AQ9" i="19"/>
  <c r="AJ9" i="19"/>
  <c r="AB9" i="19"/>
  <c r="Z9" i="19"/>
  <c r="X9" i="19"/>
  <c r="P9" i="19"/>
  <c r="AQ8" i="19"/>
  <c r="Z8" i="19"/>
  <c r="AQ7" i="19"/>
  <c r="Z7" i="19"/>
  <c r="AQ6" i="19"/>
  <c r="Z6" i="19"/>
  <c r="AF129" i="19" l="1"/>
  <c r="AF119" i="19" s="1"/>
  <c r="AF124" i="19"/>
  <c r="AF120" i="19" s="1"/>
  <c r="AD260" i="19"/>
  <c r="AD247" i="19"/>
  <c r="Q274" i="19"/>
  <c r="Y15" i="21"/>
  <c r="Y11" i="21" s="1"/>
  <c r="AJ12" i="21"/>
  <c r="AF246" i="21"/>
  <c r="P259" i="21"/>
  <c r="Q258" i="21"/>
  <c r="Q257" i="21" s="1"/>
  <c r="AJ19" i="22"/>
  <c r="AJ18" i="22"/>
  <c r="AJ14" i="22" s="1"/>
  <c r="AJ9" i="22" s="1"/>
  <c r="T45" i="22"/>
  <c r="T44" i="22"/>
  <c r="T45" i="19"/>
  <c r="T44" i="19"/>
  <c r="AJ129" i="19"/>
  <c r="AJ119" i="19" s="1"/>
  <c r="AJ124" i="19"/>
  <c r="AJ120" i="19" s="1"/>
  <c r="AJ19" i="19"/>
  <c r="AJ15" i="19"/>
  <c r="AJ11" i="19" s="1"/>
  <c r="AJ6" i="19" s="1"/>
  <c r="Y124" i="19"/>
  <c r="O13" i="20"/>
  <c r="Y260" i="20"/>
  <c r="Y155" i="20" s="1"/>
  <c r="X160" i="21"/>
  <c r="X156" i="21" s="1"/>
  <c r="P240" i="19"/>
  <c r="P239" i="19" s="1"/>
  <c r="P238" i="19" s="1"/>
  <c r="R239" i="19"/>
  <c r="R238" i="19" s="1"/>
  <c r="R232" i="19" s="1"/>
  <c r="R157" i="19" s="1"/>
  <c r="AF32" i="22"/>
  <c r="AG31" i="22"/>
  <c r="X13" i="19"/>
  <c r="L76" i="19"/>
  <c r="Y120" i="19"/>
  <c r="T211" i="19"/>
  <c r="T209" i="19" s="1"/>
  <c r="T208" i="19" s="1"/>
  <c r="Q211" i="19"/>
  <c r="AI19" i="20"/>
  <c r="AI15" i="20"/>
  <c r="AI11" i="20" s="1"/>
  <c r="AN232" i="20"/>
  <c r="AN157" i="20" s="1"/>
  <c r="AN155" i="20" s="1"/>
  <c r="W19" i="21"/>
  <c r="W10" i="21" s="1"/>
  <c r="M45" i="21"/>
  <c r="M13" i="21" s="1"/>
  <c r="M44" i="21"/>
  <c r="R44" i="21"/>
  <c r="R45" i="21"/>
  <c r="R13" i="21" s="1"/>
  <c r="R8" i="21" s="1"/>
  <c r="AJ205" i="21"/>
  <c r="T211" i="21"/>
  <c r="T209" i="21" s="1"/>
  <c r="T208" i="21" s="1"/>
  <c r="U209" i="21"/>
  <c r="U208" i="21" s="1"/>
  <c r="U97" i="22"/>
  <c r="U96" i="22" s="1"/>
  <c r="U79" i="22" s="1"/>
  <c r="U12" i="22" s="1"/>
  <c r="AH207" i="22"/>
  <c r="R20" i="19"/>
  <c r="AA20" i="19"/>
  <c r="R9" i="19"/>
  <c r="AD52" i="19"/>
  <c r="O79" i="19"/>
  <c r="AA149" i="19"/>
  <c r="AA148" i="19" s="1"/>
  <c r="AA188" i="19"/>
  <c r="AA187" i="19" s="1"/>
  <c r="S158" i="19"/>
  <c r="AI13" i="20"/>
  <c r="M9" i="20"/>
  <c r="Q9" i="20"/>
  <c r="AD9" i="20"/>
  <c r="AH9" i="20"/>
  <c r="U52" i="20"/>
  <c r="AG205" i="20"/>
  <c r="AQ5" i="21"/>
  <c r="T9" i="21"/>
  <c r="S52" i="21"/>
  <c r="AA172" i="21"/>
  <c r="AA171" i="21" s="1"/>
  <c r="Q271" i="21"/>
  <c r="W52" i="22"/>
  <c r="AN52" i="22"/>
  <c r="AN12" i="22" s="1"/>
  <c r="AN10" i="22" s="1"/>
  <c r="S160" i="22"/>
  <c r="AM244" i="22"/>
  <c r="AM248" i="22"/>
  <c r="U262" i="22"/>
  <c r="U157" i="22" s="1"/>
  <c r="AE9" i="19"/>
  <c r="I22" i="19"/>
  <c r="AH15" i="19"/>
  <c r="AH11" i="19" s="1"/>
  <c r="AO8" i="19"/>
  <c r="AH160" i="19"/>
  <c r="AH156" i="19" s="1"/>
  <c r="M246" i="19"/>
  <c r="S260" i="19"/>
  <c r="AL9" i="20"/>
  <c r="AE52" i="20"/>
  <c r="AM79" i="20"/>
  <c r="AF103" i="20"/>
  <c r="AF102" i="20" s="1"/>
  <c r="AA149" i="20"/>
  <c r="AA148" i="20" s="1"/>
  <c r="AH205" i="20"/>
  <c r="N206" i="20"/>
  <c r="AA246" i="20"/>
  <c r="AK9" i="21"/>
  <c r="S19" i="21"/>
  <c r="AB158" i="21"/>
  <c r="AB205" i="21"/>
  <c r="N246" i="21"/>
  <c r="N157" i="21" s="1"/>
  <c r="N155" i="21" s="1"/>
  <c r="AG246" i="21"/>
  <c r="AB260" i="21"/>
  <c r="AI13" i="22"/>
  <c r="V19" i="22"/>
  <c r="R20" i="22"/>
  <c r="AA20" i="22"/>
  <c r="AA19" i="22" s="1"/>
  <c r="AJ207" i="22"/>
  <c r="P242" i="22"/>
  <c r="P241" i="22" s="1"/>
  <c r="P240" i="22" s="1"/>
  <c r="U272" i="22"/>
  <c r="U271" i="22" s="1"/>
  <c r="Z10" i="22"/>
  <c r="K15" i="19"/>
  <c r="K11" i="19" s="1"/>
  <c r="AG19" i="19"/>
  <c r="X15" i="19"/>
  <c r="X11" i="19" s="1"/>
  <c r="AK47" i="19"/>
  <c r="Q103" i="19"/>
  <c r="Q102" i="19" s="1"/>
  <c r="AK102" i="19" s="1"/>
  <c r="AM108" i="19"/>
  <c r="AK143" i="19"/>
  <c r="AL143" i="19" s="1"/>
  <c r="L160" i="19"/>
  <c r="L156" i="19" s="1"/>
  <c r="X158" i="19"/>
  <c r="Y205" i="19"/>
  <c r="AE205" i="19"/>
  <c r="AJ205" i="19"/>
  <c r="O242" i="19"/>
  <c r="R289" i="19"/>
  <c r="R288" i="19" s="1"/>
  <c r="AE13" i="20"/>
  <c r="U9" i="20"/>
  <c r="W19" i="20"/>
  <c r="AC19" i="20"/>
  <c r="AH15" i="20"/>
  <c r="AH11" i="20" s="1"/>
  <c r="AF20" i="20"/>
  <c r="AF19" i="20" s="1"/>
  <c r="AO15" i="20"/>
  <c r="AO11" i="20" s="1"/>
  <c r="AN8" i="20"/>
  <c r="AB160" i="20"/>
  <c r="AB156" i="20" s="1"/>
  <c r="AB6" i="20" s="1"/>
  <c r="AJ160" i="20"/>
  <c r="AJ156" i="20" s="1"/>
  <c r="O246" i="20"/>
  <c r="R289" i="20"/>
  <c r="R288" i="20" s="1"/>
  <c r="K9" i="21"/>
  <c r="X9" i="21"/>
  <c r="P158" i="21"/>
  <c r="P8" i="21" s="1"/>
  <c r="AD205" i="21"/>
  <c r="AG9" i="22"/>
  <c r="K7" i="22"/>
  <c r="AG79" i="22"/>
  <c r="O240" i="22"/>
  <c r="O234" i="22" s="1"/>
  <c r="X129" i="22"/>
  <c r="X119" i="22" s="1"/>
  <c r="X124" i="22"/>
  <c r="AB205" i="19"/>
  <c r="Q214" i="19"/>
  <c r="Q213" i="19" s="1"/>
  <c r="N206" i="19"/>
  <c r="R206" i="19"/>
  <c r="R158" i="19" s="1"/>
  <c r="V206" i="19"/>
  <c r="AA206" i="19"/>
  <c r="AE206" i="19"/>
  <c r="AE158" i="19" s="1"/>
  <c r="AE8" i="19" s="1"/>
  <c r="AI206" i="19"/>
  <c r="AI158" i="19" s="1"/>
  <c r="AI8" i="19" s="1"/>
  <c r="AH232" i="19"/>
  <c r="AH157" i="19" s="1"/>
  <c r="AH7" i="19" s="1"/>
  <c r="AF246" i="19"/>
  <c r="W246" i="19"/>
  <c r="AC246" i="19"/>
  <c r="AG246" i="19"/>
  <c r="T261" i="19"/>
  <c r="T260" i="19" s="1"/>
  <c r="T271" i="19"/>
  <c r="T270" i="19" s="1"/>
  <c r="T269" i="19" s="1"/>
  <c r="R285" i="19"/>
  <c r="Q293" i="19"/>
  <c r="Q247" i="19" s="1"/>
  <c r="AJ15" i="20"/>
  <c r="AJ11" i="20" s="1"/>
  <c r="AH19" i="20"/>
  <c r="AB19" i="20"/>
  <c r="AK116" i="20"/>
  <c r="R172" i="20"/>
  <c r="R171" i="20" s="1"/>
  <c r="AA172" i="20"/>
  <c r="AA171" i="20" s="1"/>
  <c r="AK208" i="20"/>
  <c r="AI246" i="20"/>
  <c r="AE15" i="21"/>
  <c r="AE11" i="21" s="1"/>
  <c r="AB13" i="21"/>
  <c r="AB8" i="21" s="1"/>
  <c r="X13" i="21"/>
  <c r="X8" i="21" s="1"/>
  <c r="AK120" i="21"/>
  <c r="R205" i="21"/>
  <c r="Q214" i="21"/>
  <c r="Q213" i="21" s="1"/>
  <c r="Q205" i="21" s="1"/>
  <c r="AM242" i="21"/>
  <c r="P262" i="21"/>
  <c r="U260" i="21"/>
  <c r="AK269" i="21"/>
  <c r="U30" i="22"/>
  <c r="U17" i="22" s="1"/>
  <c r="U13" i="22" s="1"/>
  <c r="R52" i="22"/>
  <c r="AG52" i="22"/>
  <c r="AM76" i="22"/>
  <c r="AK102" i="22"/>
  <c r="AM108" i="22"/>
  <c r="K157" i="22"/>
  <c r="AA190" i="22"/>
  <c r="AA189" i="22" s="1"/>
  <c r="M248" i="22"/>
  <c r="M159" i="22" s="1"/>
  <c r="W248" i="22"/>
  <c r="AM262" i="22"/>
  <c r="AI79" i="19"/>
  <c r="T87" i="19"/>
  <c r="T86" i="19" s="1"/>
  <c r="Q79" i="19"/>
  <c r="T109" i="19"/>
  <c r="T108" i="19" s="1"/>
  <c r="AK120" i="19"/>
  <c r="AF232" i="19"/>
  <c r="L55" i="20"/>
  <c r="J55" i="20" s="1"/>
  <c r="AK58" i="20"/>
  <c r="AL58" i="20" s="1"/>
  <c r="V206" i="20"/>
  <c r="AE206" i="20"/>
  <c r="AE158" i="20" s="1"/>
  <c r="AE8" i="20" s="1"/>
  <c r="L246" i="20"/>
  <c r="R20" i="21"/>
  <c r="R19" i="21" s="1"/>
  <c r="AA20" i="21"/>
  <c r="X52" i="21"/>
  <c r="AO52" i="21"/>
  <c r="AO12" i="21" s="1"/>
  <c r="AM72" i="21"/>
  <c r="Q211" i="21"/>
  <c r="V206" i="21"/>
  <c r="V158" i="21" s="1"/>
  <c r="AA206" i="21"/>
  <c r="AE206" i="21"/>
  <c r="AE158" i="21" s="1"/>
  <c r="AE8" i="21" s="1"/>
  <c r="AI206" i="21"/>
  <c r="AI158" i="21" s="1"/>
  <c r="AI8" i="21" s="1"/>
  <c r="W246" i="21"/>
  <c r="AK116" i="22"/>
  <c r="X120" i="22"/>
  <c r="AG207" i="22"/>
  <c r="Q222" i="22"/>
  <c r="Q221" i="22" s="1"/>
  <c r="O208" i="22"/>
  <c r="O160" i="22" s="1"/>
  <c r="AF208" i="22"/>
  <c r="AF160" i="22" s="1"/>
  <c r="T208" i="22"/>
  <c r="T160" i="22" s="1"/>
  <c r="AC208" i="22"/>
  <c r="R45" i="20"/>
  <c r="R44" i="20"/>
  <c r="AK86" i="21"/>
  <c r="P79" i="21"/>
  <c r="U94" i="21"/>
  <c r="U93" i="21" s="1"/>
  <c r="Q95" i="21"/>
  <c r="Q94" i="21" s="1"/>
  <c r="T129" i="21"/>
  <c r="T119" i="21" s="1"/>
  <c r="T124" i="21"/>
  <c r="Y19" i="19"/>
  <c r="AD19" i="19"/>
  <c r="U15" i="19"/>
  <c r="U11" i="19" s="1"/>
  <c r="AD15" i="19"/>
  <c r="AD11" i="19" s="1"/>
  <c r="L15" i="19"/>
  <c r="L11" i="19" s="1"/>
  <c r="P10" i="19"/>
  <c r="T52" i="19"/>
  <c r="X52" i="19"/>
  <c r="AJ12" i="19"/>
  <c r="AH12" i="19"/>
  <c r="M79" i="19"/>
  <c r="AB79" i="19"/>
  <c r="AB12" i="19" s="1"/>
  <c r="AB10" i="19" s="1"/>
  <c r="M9" i="19"/>
  <c r="AL9" i="19"/>
  <c r="P158" i="19"/>
  <c r="P8" i="19" s="1"/>
  <c r="AD205" i="19"/>
  <c r="AH205" i="19"/>
  <c r="Q205" i="19"/>
  <c r="N158" i="19"/>
  <c r="N155" i="19" s="1"/>
  <c r="O246" i="19"/>
  <c r="AE246" i="19"/>
  <c r="AE157" i="19" s="1"/>
  <c r="AM246" i="19"/>
  <c r="AH246" i="19"/>
  <c r="Y260" i="19"/>
  <c r="AA246" i="19"/>
  <c r="Z155" i="19"/>
  <c r="AA293" i="19"/>
  <c r="AA288" i="19" s="1"/>
  <c r="W15" i="20"/>
  <c r="W11" i="20" s="1"/>
  <c r="AF15" i="20"/>
  <c r="AF11" i="20" s="1"/>
  <c r="AD13" i="20"/>
  <c r="AH13" i="20"/>
  <c r="AH8" i="20" s="1"/>
  <c r="AB13" i="20"/>
  <c r="O52" i="20"/>
  <c r="S52" i="20"/>
  <c r="W52" i="20"/>
  <c r="AC52" i="20"/>
  <c r="P158" i="20"/>
  <c r="Y205" i="20"/>
  <c r="T205" i="20"/>
  <c r="Q214" i="20"/>
  <c r="Q213" i="20" s="1"/>
  <c r="N158" i="20"/>
  <c r="L156" i="20"/>
  <c r="J246" i="20"/>
  <c r="V246" i="20"/>
  <c r="AD246" i="20"/>
  <c r="Q293" i="20"/>
  <c r="L15" i="21"/>
  <c r="L11" i="21" s="1"/>
  <c r="O79" i="21"/>
  <c r="AJ19" i="21"/>
  <c r="AJ18" i="21"/>
  <c r="AJ14" i="21" s="1"/>
  <c r="AJ9" i="21" s="1"/>
  <c r="AC19" i="19"/>
  <c r="AG31" i="19"/>
  <c r="N15" i="19"/>
  <c r="N11" i="19" s="1"/>
  <c r="AO15" i="19"/>
  <c r="AO11" i="19" s="1"/>
  <c r="AB13" i="19"/>
  <c r="AB8" i="19" s="1"/>
  <c r="AK55" i="19"/>
  <c r="M52" i="19"/>
  <c r="U52" i="19"/>
  <c r="Y52" i="19"/>
  <c r="AC52" i="19"/>
  <c r="AG52" i="19"/>
  <c r="L14" i="19"/>
  <c r="L9" i="19" s="1"/>
  <c r="AK76" i="19"/>
  <c r="AL76" i="19" s="1"/>
  <c r="W79" i="19"/>
  <c r="W12" i="19" s="1"/>
  <c r="Y79" i="19"/>
  <c r="R79" i="19"/>
  <c r="AK116" i="19"/>
  <c r="V121" i="19"/>
  <c r="AD120" i="19"/>
  <c r="AD79" i="19" s="1"/>
  <c r="AD12" i="19" s="1"/>
  <c r="AM138" i="19"/>
  <c r="AM129" i="19" s="1"/>
  <c r="K7" i="19"/>
  <c r="AK167" i="19"/>
  <c r="AF172" i="19"/>
  <c r="AF171" i="19" s="1"/>
  <c r="R172" i="19"/>
  <c r="R171" i="19" s="1"/>
  <c r="AA172" i="19"/>
  <c r="AA171" i="19" s="1"/>
  <c r="AA155" i="19" s="1"/>
  <c r="R205" i="19"/>
  <c r="L206" i="19"/>
  <c r="T206" i="19"/>
  <c r="AC206" i="19"/>
  <c r="AC158" i="19" s="1"/>
  <c r="N246" i="19"/>
  <c r="V246" i="19"/>
  <c r="AB246" i="19"/>
  <c r="P246" i="19"/>
  <c r="AO246" i="19"/>
  <c r="AM260" i="19"/>
  <c r="X260" i="19"/>
  <c r="AI246" i="19"/>
  <c r="R274" i="19"/>
  <c r="R273" i="19" s="1"/>
  <c r="AJ246" i="19"/>
  <c r="AQ155" i="19"/>
  <c r="AB247" i="19"/>
  <c r="AB158" i="19" s="1"/>
  <c r="AF247" i="19"/>
  <c r="V15" i="20"/>
  <c r="V11" i="20" s="1"/>
  <c r="AC15" i="20"/>
  <c r="AC11" i="20" s="1"/>
  <c r="AG15" i="20"/>
  <c r="AG11" i="20" s="1"/>
  <c r="Z10" i="20"/>
  <c r="V13" i="20"/>
  <c r="X13" i="20"/>
  <c r="AC13" i="20"/>
  <c r="AC8" i="20" s="1"/>
  <c r="R52" i="20"/>
  <c r="T52" i="20"/>
  <c r="X52" i="20"/>
  <c r="AB52" i="20"/>
  <c r="AF52" i="20"/>
  <c r="O12" i="20"/>
  <c r="O10" i="20" s="1"/>
  <c r="N79" i="20"/>
  <c r="Q103" i="20"/>
  <c r="Q102" i="20" s="1"/>
  <c r="Q79" i="20" s="1"/>
  <c r="AK120" i="20"/>
  <c r="AM143" i="20"/>
  <c r="AH160" i="20"/>
  <c r="AH156" i="20" s="1"/>
  <c r="AM167" i="20"/>
  <c r="AM160" i="20" s="1"/>
  <c r="AM156" i="20" s="1"/>
  <c r="AI160" i="20"/>
  <c r="AI156" i="20" s="1"/>
  <c r="AD205" i="20"/>
  <c r="U209" i="20"/>
  <c r="U208" i="20" s="1"/>
  <c r="U205" i="20" s="1"/>
  <c r="AB205" i="20"/>
  <c r="AB157" i="20" s="1"/>
  <c r="AO157" i="20"/>
  <c r="W205" i="20"/>
  <c r="L206" i="20"/>
  <c r="T206" i="20"/>
  <c r="T158" i="20" s="1"/>
  <c r="X206" i="20"/>
  <c r="X158" i="20" s="1"/>
  <c r="AC206" i="20"/>
  <c r="AC158" i="20" s="1"/>
  <c r="AG206" i="20"/>
  <c r="AG158" i="20" s="1"/>
  <c r="M206" i="20"/>
  <c r="M158" i="20" s="1"/>
  <c r="Q206" i="20"/>
  <c r="U206" i="20"/>
  <c r="U158" i="20" s="1"/>
  <c r="Y206" i="20"/>
  <c r="AD206" i="20"/>
  <c r="AD158" i="20" s="1"/>
  <c r="AD8" i="20" s="1"/>
  <c r="AH206" i="20"/>
  <c r="AH158" i="20" s="1"/>
  <c r="K157" i="20"/>
  <c r="Q258" i="20"/>
  <c r="Q257" i="20" s="1"/>
  <c r="AM260" i="20"/>
  <c r="U260" i="20"/>
  <c r="U270" i="20"/>
  <c r="U269" i="20" s="1"/>
  <c r="U246" i="20" s="1"/>
  <c r="T271" i="20"/>
  <c r="T270" i="20" s="1"/>
  <c r="T269" i="20" s="1"/>
  <c r="AO246" i="20"/>
  <c r="AG246" i="20"/>
  <c r="Q274" i="20"/>
  <c r="AN246" i="20"/>
  <c r="T15" i="21"/>
  <c r="T11" i="21" s="1"/>
  <c r="AI15" i="21"/>
  <c r="AI11" i="21" s="1"/>
  <c r="N13" i="21"/>
  <c r="AG31" i="21"/>
  <c r="AM36" i="21"/>
  <c r="AM15" i="21" s="1"/>
  <c r="AM11" i="21" s="1"/>
  <c r="AJ13" i="21"/>
  <c r="AJ8" i="21" s="1"/>
  <c r="AC13" i="21"/>
  <c r="L52" i="21"/>
  <c r="J52" i="21" s="1"/>
  <c r="AJ157" i="21"/>
  <c r="AJ7" i="21" s="1"/>
  <c r="AH19" i="21"/>
  <c r="AF20" i="21"/>
  <c r="AF19" i="21" s="1"/>
  <c r="Q20" i="21"/>
  <c r="AN15" i="21"/>
  <c r="AN11" i="21" s="1"/>
  <c r="O15" i="21"/>
  <c r="O11" i="21" s="1"/>
  <c r="N52" i="21"/>
  <c r="R52" i="21"/>
  <c r="V52" i="21"/>
  <c r="AI12" i="21"/>
  <c r="O52" i="21"/>
  <c r="W52" i="21"/>
  <c r="AG52" i="21"/>
  <c r="AM76" i="21"/>
  <c r="AF79" i="21"/>
  <c r="AF12" i="21" s="1"/>
  <c r="M79" i="21"/>
  <c r="AM86" i="21"/>
  <c r="AM79" i="21" s="1"/>
  <c r="AK108" i="21"/>
  <c r="Z10" i="21"/>
  <c r="Z5" i="21" s="1"/>
  <c r="AA139" i="21"/>
  <c r="AA138" i="21" s="1"/>
  <c r="AA129" i="21" s="1"/>
  <c r="AA144" i="21"/>
  <c r="AA143" i="21" s="1"/>
  <c r="J8" i="21"/>
  <c r="N160" i="21"/>
  <c r="N156" i="21" s="1"/>
  <c r="AJ160" i="21"/>
  <c r="AJ156" i="21" s="1"/>
  <c r="AN160" i="21"/>
  <c r="AN156" i="21" s="1"/>
  <c r="AC205" i="21"/>
  <c r="AG205" i="21"/>
  <c r="L206" i="21"/>
  <c r="L158" i="21" s="1"/>
  <c r="T206" i="21"/>
  <c r="T158" i="21" s="1"/>
  <c r="AC206" i="21"/>
  <c r="O238" i="21"/>
  <c r="O232" i="21" s="1"/>
  <c r="AJ232" i="21"/>
  <c r="M246" i="21"/>
  <c r="M157" i="21" s="1"/>
  <c r="AB246" i="21"/>
  <c r="AJ246" i="21"/>
  <c r="AH246" i="21"/>
  <c r="X246" i="21"/>
  <c r="X157" i="21" s="1"/>
  <c r="P246" i="21"/>
  <c r="AO232" i="21"/>
  <c r="AM260" i="21"/>
  <c r="AF260" i="21"/>
  <c r="AF232" i="21" s="1"/>
  <c r="U19" i="22"/>
  <c r="AI19" i="22"/>
  <c r="Q30" i="22"/>
  <c r="Q17" i="22" s="1"/>
  <c r="Q13" i="22" s="1"/>
  <c r="N15" i="22"/>
  <c r="N11" i="22" s="1"/>
  <c r="V15" i="22"/>
  <c r="V11" i="22" s="1"/>
  <c r="AI15" i="22"/>
  <c r="AI11" i="22" s="1"/>
  <c r="AI6" i="22" s="1"/>
  <c r="AO15" i="22"/>
  <c r="AO11" i="22" s="1"/>
  <c r="T15" i="22"/>
  <c r="T11" i="22" s="1"/>
  <c r="X15" i="22"/>
  <c r="X11" i="22" s="1"/>
  <c r="X13" i="22"/>
  <c r="X8" i="22" s="1"/>
  <c r="AC13" i="22"/>
  <c r="AC52" i="22"/>
  <c r="AD52" i="22"/>
  <c r="AF52" i="22"/>
  <c r="AH52" i="22"/>
  <c r="L76" i="22"/>
  <c r="M79" i="22"/>
  <c r="U121" i="22"/>
  <c r="U120" i="22" s="1"/>
  <c r="Q123" i="22"/>
  <c r="V121" i="22"/>
  <c r="AM140" i="22"/>
  <c r="AM129" i="22" s="1"/>
  <c r="AA151" i="22"/>
  <c r="AA150" i="22" s="1"/>
  <c r="AN162" i="22"/>
  <c r="AN158" i="22" s="1"/>
  <c r="AN6" i="22" s="1"/>
  <c r="AJ162" i="22"/>
  <c r="AJ158" i="22" s="1"/>
  <c r="AJ6" i="22" s="1"/>
  <c r="AF174" i="22"/>
  <c r="AF173" i="22" s="1"/>
  <c r="AF162" i="22" s="1"/>
  <c r="AF158" i="22" s="1"/>
  <c r="R174" i="22"/>
  <c r="R173" i="22" s="1"/>
  <c r="AA174" i="22"/>
  <c r="AA173" i="22" s="1"/>
  <c r="O162" i="22"/>
  <c r="O158" i="22" s="1"/>
  <c r="O6" i="22" s="1"/>
  <c r="AH8" i="22"/>
  <c r="R207" i="22"/>
  <c r="U211" i="22"/>
  <c r="U210" i="22" s="1"/>
  <c r="X207" i="22"/>
  <c r="AB207" i="22"/>
  <c r="N208" i="22"/>
  <c r="N160" i="22" s="1"/>
  <c r="R208" i="22"/>
  <c r="R160" i="22" s="1"/>
  <c r="V208" i="22"/>
  <c r="AA208" i="22"/>
  <c r="AE208" i="22"/>
  <c r="AE160" i="22" s="1"/>
  <c r="AE8" i="22" s="1"/>
  <c r="AI208" i="22"/>
  <c r="AI160" i="22" s="1"/>
  <c r="Q208" i="22"/>
  <c r="AD208" i="22"/>
  <c r="AD160" i="22" s="1"/>
  <c r="U248" i="22"/>
  <c r="L248" i="22"/>
  <c r="Q260" i="22"/>
  <c r="Q259" i="22" s="1"/>
  <c r="P264" i="22"/>
  <c r="AB262" i="22"/>
  <c r="AK271" i="22"/>
  <c r="AI249" i="22"/>
  <c r="AH205" i="21"/>
  <c r="N158" i="21"/>
  <c r="AI246" i="21"/>
  <c r="AM246" i="21"/>
  <c r="AH232" i="21"/>
  <c r="AD8" i="22"/>
  <c r="X10" i="22"/>
  <c r="Q19" i="22"/>
  <c r="AK19" i="22" s="1"/>
  <c r="AL19" i="22" s="1"/>
  <c r="W15" i="22"/>
  <c r="W11" i="22" s="1"/>
  <c r="AJ15" i="22"/>
  <c r="AJ11" i="22" s="1"/>
  <c r="U15" i="22"/>
  <c r="U11" i="22" s="1"/>
  <c r="W13" i="22"/>
  <c r="AB13" i="22"/>
  <c r="M52" i="22"/>
  <c r="U52" i="22"/>
  <c r="Y52" i="22"/>
  <c r="AM72" i="22"/>
  <c r="P8" i="22"/>
  <c r="X9" i="22"/>
  <c r="AC9" i="22"/>
  <c r="AO9" i="22"/>
  <c r="N162" i="22"/>
  <c r="N158" i="22" s="1"/>
  <c r="AH162" i="22"/>
  <c r="AH158" i="22" s="1"/>
  <c r="L162" i="22"/>
  <c r="L158" i="22" s="1"/>
  <c r="L6" i="22" s="1"/>
  <c r="L160" i="22"/>
  <c r="AF207" i="22"/>
  <c r="AC207" i="22"/>
  <c r="Q216" i="22"/>
  <c r="Q215" i="22" s="1"/>
  <c r="Q207" i="22" s="1"/>
  <c r="AC262" i="22"/>
  <c r="AH249" i="22"/>
  <c r="Q295" i="22"/>
  <c r="Q249" i="22" s="1"/>
  <c r="AN10" i="19"/>
  <c r="AN6" i="19"/>
  <c r="AJ10" i="19"/>
  <c r="Y13" i="19"/>
  <c r="S79" i="19"/>
  <c r="S12" i="19" s="1"/>
  <c r="T158" i="19"/>
  <c r="S246" i="19"/>
  <c r="R246" i="19"/>
  <c r="J6" i="22"/>
  <c r="AH10" i="19"/>
  <c r="AH6" i="19"/>
  <c r="R15" i="19"/>
  <c r="R11" i="19" s="1"/>
  <c r="R19" i="19"/>
  <c r="R10" i="19" s="1"/>
  <c r="AA15" i="19"/>
  <c r="AA11" i="19" s="1"/>
  <c r="AA19" i="19"/>
  <c r="N13" i="19"/>
  <c r="N8" i="19" s="1"/>
  <c r="L17" i="19"/>
  <c r="L13" i="19" s="1"/>
  <c r="R44" i="19"/>
  <c r="R45" i="19"/>
  <c r="R13" i="19" s="1"/>
  <c r="R8" i="19" s="1"/>
  <c r="V45" i="19"/>
  <c r="V13" i="19" s="1"/>
  <c r="V44" i="19"/>
  <c r="N8" i="20"/>
  <c r="AC13" i="19"/>
  <c r="W19" i="19"/>
  <c r="W10" i="19" s="1"/>
  <c r="AF12" i="19"/>
  <c r="T123" i="19"/>
  <c r="T121" i="19" s="1"/>
  <c r="Q123" i="19"/>
  <c r="R160" i="19"/>
  <c r="R156" i="19" s="1"/>
  <c r="AD246" i="19"/>
  <c r="AD157" i="19" s="1"/>
  <c r="AI6" i="20"/>
  <c r="I22" i="20"/>
  <c r="S19" i="20"/>
  <c r="S10" i="20" s="1"/>
  <c r="AK36" i="20"/>
  <c r="AL36" i="20" s="1"/>
  <c r="P15" i="20"/>
  <c r="P11" i="20" s="1"/>
  <c r="P6" i="20" s="1"/>
  <c r="AK47" i="21"/>
  <c r="AK45" i="21" s="1"/>
  <c r="AK13" i="21" s="1"/>
  <c r="AK8" i="21" s="1"/>
  <c r="P10" i="21"/>
  <c r="P44" i="21"/>
  <c r="AM68" i="21"/>
  <c r="AM65" i="21" s="1"/>
  <c r="Q65" i="21"/>
  <c r="J82" i="21"/>
  <c r="L79" i="21"/>
  <c r="J79" i="21" s="1"/>
  <c r="J12" i="21" s="1"/>
  <c r="U97" i="21"/>
  <c r="U96" i="21" s="1"/>
  <c r="Q98" i="21"/>
  <c r="Q97" i="21" s="1"/>
  <c r="AF31" i="22"/>
  <c r="AF30" i="22" s="1"/>
  <c r="AF17" i="22" s="1"/>
  <c r="AF13" i="22" s="1"/>
  <c r="AF8" i="22" s="1"/>
  <c r="AG30" i="22"/>
  <c r="AG17" i="22" s="1"/>
  <c r="AG13" i="22" s="1"/>
  <c r="AG8" i="22" s="1"/>
  <c r="AK36" i="22"/>
  <c r="AL36" i="22" s="1"/>
  <c r="P15" i="22"/>
  <c r="P11" i="22" s="1"/>
  <c r="P6" i="22" s="1"/>
  <c r="AK58" i="22"/>
  <c r="AL58" i="22" s="1"/>
  <c r="Q52" i="22"/>
  <c r="AC18" i="19"/>
  <c r="AC14" i="19" s="1"/>
  <c r="AC9" i="19" s="1"/>
  <c r="AF20" i="19"/>
  <c r="AF19" i="19" s="1"/>
  <c r="AI52" i="19"/>
  <c r="AI12" i="19" s="1"/>
  <c r="AA139" i="19"/>
  <c r="AA138" i="19" s="1"/>
  <c r="AA129" i="19" s="1"/>
  <c r="AF160" i="19"/>
  <c r="AF156" i="19" s="1"/>
  <c r="AA205" i="19"/>
  <c r="AA157" i="19" s="1"/>
  <c r="T246" i="19"/>
  <c r="X246" i="19"/>
  <c r="X157" i="19" s="1"/>
  <c r="Q288" i="19"/>
  <c r="Q20" i="20"/>
  <c r="Q15" i="20" s="1"/>
  <c r="Q11" i="20" s="1"/>
  <c r="AF32" i="20"/>
  <c r="AG31" i="20"/>
  <c r="AF31" i="20" s="1"/>
  <c r="K8" i="20"/>
  <c r="AD157" i="20"/>
  <c r="O206" i="20"/>
  <c r="O158" i="20" s="1"/>
  <c r="O8" i="20" s="1"/>
  <c r="W206" i="20"/>
  <c r="W158" i="20" s="1"/>
  <c r="W8" i="20" s="1"/>
  <c r="AF206" i="20"/>
  <c r="AF158" i="20" s="1"/>
  <c r="AJ246" i="20"/>
  <c r="V129" i="21"/>
  <c r="V119" i="21" s="1"/>
  <c r="V124" i="21"/>
  <c r="V120" i="21" s="1"/>
  <c r="AE246" i="21"/>
  <c r="P10" i="22"/>
  <c r="AE291" i="22"/>
  <c r="AE249" i="22"/>
  <c r="AQ5" i="19"/>
  <c r="Y18" i="19"/>
  <c r="Y14" i="19" s="1"/>
  <c r="Y9" i="19" s="1"/>
  <c r="AD18" i="19"/>
  <c r="AD14" i="19" s="1"/>
  <c r="AD9" i="19" s="1"/>
  <c r="AI15" i="19"/>
  <c r="AI11" i="19" s="1"/>
  <c r="AI10" i="19" s="1"/>
  <c r="Q20" i="19"/>
  <c r="Q9" i="19"/>
  <c r="U19" i="19"/>
  <c r="Q30" i="19"/>
  <c r="Q17" i="19" s="1"/>
  <c r="Q13" i="19" s="1"/>
  <c r="P15" i="19"/>
  <c r="P11" i="19" s="1"/>
  <c r="P6" i="19" s="1"/>
  <c r="AM36" i="19"/>
  <c r="AM15" i="19" s="1"/>
  <c r="AM11" i="19" s="1"/>
  <c r="N44" i="19"/>
  <c r="L52" i="19"/>
  <c r="J52" i="19" s="1"/>
  <c r="P52" i="19"/>
  <c r="M12" i="19"/>
  <c r="AM76" i="19"/>
  <c r="AG79" i="19"/>
  <c r="Q98" i="19"/>
  <c r="Q97" i="19" s="1"/>
  <c r="U97" i="19"/>
  <c r="U96" i="19" s="1"/>
  <c r="X160" i="19"/>
  <c r="X156" i="19" s="1"/>
  <c r="X6" i="19" s="1"/>
  <c r="AI160" i="19"/>
  <c r="AI156" i="19" s="1"/>
  <c r="AC160" i="19"/>
  <c r="AC156" i="19" s="1"/>
  <c r="M157" i="19"/>
  <c r="L205" i="19"/>
  <c r="P205" i="19"/>
  <c r="J232" i="19"/>
  <c r="J157" i="19" s="1"/>
  <c r="Y247" i="19"/>
  <c r="AK260" i="19"/>
  <c r="AL260" i="19" s="1"/>
  <c r="U270" i="19"/>
  <c r="U269" i="19" s="1"/>
  <c r="U246" i="19" s="1"/>
  <c r="AB288" i="19"/>
  <c r="O6" i="20"/>
  <c r="P8" i="20"/>
  <c r="S15" i="20"/>
  <c r="S11" i="20" s="1"/>
  <c r="AE15" i="20"/>
  <c r="AE11" i="20" s="1"/>
  <c r="L17" i="20"/>
  <c r="L13" i="20" s="1"/>
  <c r="R13" i="20"/>
  <c r="AC9" i="20"/>
  <c r="AD19" i="20"/>
  <c r="M45" i="20"/>
  <c r="M13" i="20" s="1"/>
  <c r="M44" i="20"/>
  <c r="AO12" i="20"/>
  <c r="AM76" i="20"/>
  <c r="AA79" i="20"/>
  <c r="L79" i="20"/>
  <c r="J79" i="20" s="1"/>
  <c r="M160" i="20"/>
  <c r="M156" i="20" s="1"/>
  <c r="M6" i="20" s="1"/>
  <c r="AF232" i="20"/>
  <c r="P240" i="20"/>
  <c r="P239" i="20" s="1"/>
  <c r="P238" i="20" s="1"/>
  <c r="AK238" i="20" s="1"/>
  <c r="AL238" i="20" s="1"/>
  <c r="R239" i="20"/>
  <c r="R238" i="20" s="1"/>
  <c r="R232" i="20" s="1"/>
  <c r="AF246" i="20"/>
  <c r="AH246" i="20"/>
  <c r="AI6" i="21"/>
  <c r="AI10" i="21"/>
  <c r="W15" i="21"/>
  <c r="W11" i="21" s="1"/>
  <c r="AC15" i="21"/>
  <c r="AC11" i="21" s="1"/>
  <c r="AC19" i="21"/>
  <c r="AF15" i="21"/>
  <c r="AF11" i="21" s="1"/>
  <c r="W13" i="21"/>
  <c r="O6" i="21"/>
  <c r="S45" i="21"/>
  <c r="S13" i="21" s="1"/>
  <c r="L55" i="21"/>
  <c r="J55" i="21" s="1"/>
  <c r="AH12" i="21"/>
  <c r="AH10" i="21" s="1"/>
  <c r="J80" i="21"/>
  <c r="L76" i="21"/>
  <c r="AB79" i="21"/>
  <c r="AB12" i="21" s="1"/>
  <c r="X129" i="21"/>
  <c r="X119" i="21" s="1"/>
  <c r="X124" i="21"/>
  <c r="X120" i="21" s="1"/>
  <c r="X79" i="21" s="1"/>
  <c r="X12" i="21" s="1"/>
  <c r="AC129" i="21"/>
  <c r="AC119" i="21" s="1"/>
  <c r="AC124" i="21"/>
  <c r="AC120" i="21" s="1"/>
  <c r="AM167" i="21"/>
  <c r="AM160" i="21" s="1"/>
  <c r="AM156" i="21" s="1"/>
  <c r="Q160" i="21"/>
  <c r="Q156" i="21" s="1"/>
  <c r="Q288" i="21"/>
  <c r="Q247" i="21"/>
  <c r="AD289" i="21"/>
  <c r="AD288" i="21" s="1"/>
  <c r="AD247" i="21"/>
  <c r="S19" i="19"/>
  <c r="S10" i="19" s="1"/>
  <c r="S205" i="19"/>
  <c r="S157" i="19" s="1"/>
  <c r="AO232" i="19"/>
  <c r="AO157" i="19" s="1"/>
  <c r="AO155" i="19" s="1"/>
  <c r="P254" i="19"/>
  <c r="Q253" i="19"/>
  <c r="Q252" i="19" s="1"/>
  <c r="Q246" i="19" s="1"/>
  <c r="Q157" i="19" s="1"/>
  <c r="S79" i="20"/>
  <c r="S12" i="20" s="1"/>
  <c r="AO160" i="20"/>
  <c r="AO156" i="20" s="1"/>
  <c r="AO6" i="20" s="1"/>
  <c r="AO7" i="20"/>
  <c r="P254" i="21"/>
  <c r="Q253" i="21"/>
  <c r="Q252" i="21" s="1"/>
  <c r="Q246" i="21" s="1"/>
  <c r="K10" i="22"/>
  <c r="K6" i="22"/>
  <c r="S15" i="19"/>
  <c r="S11" i="19" s="1"/>
  <c r="S45" i="19"/>
  <c r="S13" i="19" s="1"/>
  <c r="S8" i="19" s="1"/>
  <c r="AK58" i="19"/>
  <c r="AL58" i="19" s="1"/>
  <c r="AE52" i="19"/>
  <c r="Y12" i="19"/>
  <c r="AM72" i="19"/>
  <c r="AG124" i="19"/>
  <c r="AG120" i="19" s="1"/>
  <c r="AG129" i="19"/>
  <c r="AG119" i="19" s="1"/>
  <c r="O157" i="19"/>
  <c r="Y246" i="19"/>
  <c r="Y157" i="19" s="1"/>
  <c r="K10" i="20"/>
  <c r="K7" i="20"/>
  <c r="AI124" i="20"/>
  <c r="AI120" i="20" s="1"/>
  <c r="AI129" i="20"/>
  <c r="AI119" i="20" s="1"/>
  <c r="V129" i="20"/>
  <c r="V119" i="20" s="1"/>
  <c r="V124" i="20"/>
  <c r="V120" i="20" s="1"/>
  <c r="AE129" i="20"/>
  <c r="AE119" i="20" s="1"/>
  <c r="AE124" i="20"/>
  <c r="AE120" i="20" s="1"/>
  <c r="AE79" i="20" s="1"/>
  <c r="AJ205" i="20"/>
  <c r="Q220" i="20"/>
  <c r="Q219" i="20" s="1"/>
  <c r="Q205" i="20" s="1"/>
  <c r="S206" i="20"/>
  <c r="S158" i="20" s="1"/>
  <c r="AB206" i="20"/>
  <c r="AB158" i="20" s="1"/>
  <c r="AJ206" i="20"/>
  <c r="AJ158" i="20" s="1"/>
  <c r="AJ8" i="20" s="1"/>
  <c r="AJ232" i="20"/>
  <c r="T274" i="20"/>
  <c r="T273" i="20" s="1"/>
  <c r="AG30" i="21"/>
  <c r="AG17" i="21" s="1"/>
  <c r="AG13" i="21" s="1"/>
  <c r="AG8" i="21" s="1"/>
  <c r="AF31" i="21"/>
  <c r="AF30" i="21" s="1"/>
  <c r="AF17" i="21" s="1"/>
  <c r="AF13" i="21" s="1"/>
  <c r="AF8" i="21" s="1"/>
  <c r="V15" i="19"/>
  <c r="V11" i="19" s="1"/>
  <c r="AE15" i="19"/>
  <c r="AE11" i="19" s="1"/>
  <c r="AE6" i="19" s="1"/>
  <c r="AK33" i="19"/>
  <c r="AL33" i="19" s="1"/>
  <c r="O44" i="19"/>
  <c r="O12" i="19" s="1"/>
  <c r="Q52" i="19"/>
  <c r="L55" i="19"/>
  <c r="J55" i="19" s="1"/>
  <c r="Z10" i="19"/>
  <c r="Z5" i="19" s="1"/>
  <c r="AA79" i="19"/>
  <c r="AA12" i="19" s="1"/>
  <c r="AA7" i="19" s="1"/>
  <c r="N79" i="19"/>
  <c r="L158" i="19"/>
  <c r="O160" i="19"/>
  <c r="O156" i="19" s="1"/>
  <c r="J155" i="19"/>
  <c r="AM171" i="19"/>
  <c r="AB160" i="19"/>
  <c r="AB156" i="19" s="1"/>
  <c r="AF205" i="19"/>
  <c r="AF157" i="19" s="1"/>
  <c r="M206" i="19"/>
  <c r="M158" i="19" s="1"/>
  <c r="M8" i="19" s="1"/>
  <c r="Q206" i="19"/>
  <c r="U206" i="19"/>
  <c r="U158" i="19" s="1"/>
  <c r="U8" i="19" s="1"/>
  <c r="Y206" i="19"/>
  <c r="AD206" i="19"/>
  <c r="AD158" i="19" s="1"/>
  <c r="AD8" i="19" s="1"/>
  <c r="AH206" i="19"/>
  <c r="AH158" i="19" s="1"/>
  <c r="AH8" i="19" s="1"/>
  <c r="L246" i="19"/>
  <c r="J246" i="19" s="1"/>
  <c r="AE260" i="19"/>
  <c r="AE247" i="19"/>
  <c r="AI260" i="19"/>
  <c r="AI232" i="19" s="1"/>
  <c r="AI157" i="19" s="1"/>
  <c r="AI247" i="19"/>
  <c r="P10" i="20"/>
  <c r="S13" i="20"/>
  <c r="T45" i="20"/>
  <c r="T13" i="20" s="1"/>
  <c r="M52" i="20"/>
  <c r="AN12" i="20"/>
  <c r="N12" i="20"/>
  <c r="AB79" i="20"/>
  <c r="AH79" i="20"/>
  <c r="R79" i="20"/>
  <c r="R12" i="20" s="1"/>
  <c r="AF79" i="20"/>
  <c r="P79" i="20"/>
  <c r="P9" i="20"/>
  <c r="T9" i="20"/>
  <c r="X9" i="20"/>
  <c r="AO9" i="20"/>
  <c r="S205" i="20"/>
  <c r="AF205" i="20"/>
  <c r="AE246" i="20"/>
  <c r="Y246" i="20"/>
  <c r="Y157" i="20" s="1"/>
  <c r="Q279" i="20"/>
  <c r="Q278" i="20" s="1"/>
  <c r="Q246" i="20" s="1"/>
  <c r="Q15" i="21"/>
  <c r="Q11" i="21" s="1"/>
  <c r="L13" i="21"/>
  <c r="L8" i="21" s="1"/>
  <c r="X15" i="21"/>
  <c r="X11" i="21" s="1"/>
  <c r="X6" i="21" s="1"/>
  <c r="X19" i="21"/>
  <c r="AD19" i="21"/>
  <c r="AD15" i="21"/>
  <c r="AD11" i="21" s="1"/>
  <c r="N15" i="21"/>
  <c r="N11" i="21" s="1"/>
  <c r="N6" i="21" s="1"/>
  <c r="V45" i="21"/>
  <c r="V13" i="21" s="1"/>
  <c r="V8" i="21" s="1"/>
  <c r="V44" i="21"/>
  <c r="O12" i="21"/>
  <c r="AG12" i="21"/>
  <c r="N79" i="21"/>
  <c r="AO157" i="21"/>
  <c r="Y157" i="21"/>
  <c r="AN157" i="21"/>
  <c r="AH157" i="21"/>
  <c r="AA288" i="21"/>
  <c r="AA247" i="21"/>
  <c r="AA158" i="21" s="1"/>
  <c r="AA8" i="21" s="1"/>
  <c r="AE129" i="22"/>
  <c r="AE119" i="22" s="1"/>
  <c r="AE124" i="22"/>
  <c r="AE120" i="22" s="1"/>
  <c r="AI129" i="22"/>
  <c r="AI119" i="22" s="1"/>
  <c r="AI124" i="22"/>
  <c r="AI120" i="22" s="1"/>
  <c r="AK99" i="19"/>
  <c r="AM143" i="19"/>
  <c r="V160" i="19"/>
  <c r="V156" i="19" s="1"/>
  <c r="X155" i="19"/>
  <c r="AD160" i="19"/>
  <c r="AD156" i="19" s="1"/>
  <c r="AG205" i="19"/>
  <c r="U205" i="19"/>
  <c r="T205" i="19"/>
  <c r="AJ232" i="19"/>
  <c r="AJ157" i="19" s="1"/>
  <c r="AJ155" i="19" s="1"/>
  <c r="AG232" i="19"/>
  <c r="AM242" i="19"/>
  <c r="P262" i="19"/>
  <c r="AA20" i="20"/>
  <c r="AA15" i="20" s="1"/>
  <c r="AA11" i="20" s="1"/>
  <c r="V19" i="20"/>
  <c r="V10" i="20" s="1"/>
  <c r="AD52" i="20"/>
  <c r="AH52" i="20"/>
  <c r="AM72" i="20"/>
  <c r="V79" i="20"/>
  <c r="AA144" i="20"/>
  <c r="AA143" i="20" s="1"/>
  <c r="AD160" i="20"/>
  <c r="AD156" i="20" s="1"/>
  <c r="K155" i="20"/>
  <c r="M205" i="20"/>
  <c r="AG232" i="20"/>
  <c r="AG157" i="20" s="1"/>
  <c r="AK242" i="20"/>
  <c r="AL242" i="20" s="1"/>
  <c r="M246" i="20"/>
  <c r="AQ155" i="20"/>
  <c r="AQ5" i="20" s="1"/>
  <c r="AD260" i="20"/>
  <c r="AD247" i="20"/>
  <c r="AH260" i="20"/>
  <c r="AH232" i="20" s="1"/>
  <c r="AH157" i="20" s="1"/>
  <c r="AH155" i="20" s="1"/>
  <c r="AH247" i="20"/>
  <c r="AA247" i="20"/>
  <c r="AA288" i="20"/>
  <c r="K19" i="21"/>
  <c r="K15" i="21"/>
  <c r="K11" i="21" s="1"/>
  <c r="Y19" i="21"/>
  <c r="AJ15" i="21"/>
  <c r="AJ11" i="21" s="1"/>
  <c r="AN52" i="21"/>
  <c r="AN12" i="21" s="1"/>
  <c r="AN7" i="21" s="1"/>
  <c r="AN246" i="21"/>
  <c r="T246" i="21"/>
  <c r="AA246" i="21"/>
  <c r="U246" i="21"/>
  <c r="AB19" i="22"/>
  <c r="AB15" i="22"/>
  <c r="AB11" i="22" s="1"/>
  <c r="AG19" i="22"/>
  <c r="AG15" i="22"/>
  <c r="AG11" i="22" s="1"/>
  <c r="I21" i="22"/>
  <c r="R19" i="22"/>
  <c r="R15" i="22"/>
  <c r="R11" i="22" s="1"/>
  <c r="Y19" i="22"/>
  <c r="Y18" i="22"/>
  <c r="Y14" i="22" s="1"/>
  <c r="Y9" i="22" s="1"/>
  <c r="AD19" i="22"/>
  <c r="AD18" i="22"/>
  <c r="AD14" i="22" s="1"/>
  <c r="AD9" i="22" s="1"/>
  <c r="N19" i="22"/>
  <c r="N17" i="22"/>
  <c r="N13" i="22" s="1"/>
  <c r="AK47" i="22"/>
  <c r="P44" i="22"/>
  <c r="S44" i="22"/>
  <c r="S45" i="22"/>
  <c r="S13" i="22" s="1"/>
  <c r="S8" i="22" s="1"/>
  <c r="AE52" i="22"/>
  <c r="AI52" i="22"/>
  <c r="O79" i="22"/>
  <c r="AK138" i="19"/>
  <c r="AL138" i="19" s="1"/>
  <c r="AL129" i="19" s="1"/>
  <c r="AK148" i="19"/>
  <c r="AL148" i="19" s="1"/>
  <c r="N160" i="19"/>
  <c r="N156" i="19" s="1"/>
  <c r="AM167" i="19"/>
  <c r="AE160" i="19"/>
  <c r="AE156" i="19" s="1"/>
  <c r="N157" i="19"/>
  <c r="AC205" i="19"/>
  <c r="AC157" i="19" s="1"/>
  <c r="W205" i="19"/>
  <c r="W157" i="19" s="1"/>
  <c r="AM238" i="19"/>
  <c r="AM232" i="19" s="1"/>
  <c r="AN232" i="19"/>
  <c r="AN157" i="19" s="1"/>
  <c r="AN155" i="19" s="1"/>
  <c r="AK269" i="19"/>
  <c r="AK246" i="19" s="1"/>
  <c r="R20" i="20"/>
  <c r="I21" i="20" s="1"/>
  <c r="L15" i="20"/>
  <c r="L11" i="20" s="1"/>
  <c r="AK47" i="20"/>
  <c r="L52" i="20"/>
  <c r="J52" i="20" s="1"/>
  <c r="P52" i="20"/>
  <c r="AK55" i="20"/>
  <c r="AK68" i="20"/>
  <c r="AL68" i="20" s="1"/>
  <c r="AL65" i="20" s="1"/>
  <c r="AA12" i="20"/>
  <c r="AG79" i="20"/>
  <c r="AG12" i="20" s="1"/>
  <c r="AM108" i="20"/>
  <c r="X120" i="20"/>
  <c r="X79" i="20" s="1"/>
  <c r="X12" i="20" s="1"/>
  <c r="Y160" i="20"/>
  <c r="Y156" i="20" s="1"/>
  <c r="Y6" i="20" s="1"/>
  <c r="AE160" i="20"/>
  <c r="AE156" i="20" s="1"/>
  <c r="N205" i="20"/>
  <c r="R205" i="20"/>
  <c r="R206" i="20"/>
  <c r="R158" i="20" s="1"/>
  <c r="AA206" i="20"/>
  <c r="AA158" i="20" s="1"/>
  <c r="AA8" i="20" s="1"/>
  <c r="AI206" i="20"/>
  <c r="AI158" i="20" s="1"/>
  <c r="AI8" i="20" s="1"/>
  <c r="L158" i="20"/>
  <c r="L239" i="20"/>
  <c r="L238" i="20" s="1"/>
  <c r="L232" i="20" s="1"/>
  <c r="J232" i="20" s="1"/>
  <c r="J157" i="20" s="1"/>
  <c r="O238" i="20"/>
  <c r="O232" i="20" s="1"/>
  <c r="O157" i="20" s="1"/>
  <c r="O7" i="20" s="1"/>
  <c r="AM246" i="20"/>
  <c r="S246" i="20"/>
  <c r="W246" i="20"/>
  <c r="W157" i="20" s="1"/>
  <c r="N246" i="20"/>
  <c r="N157" i="20" s="1"/>
  <c r="N7" i="20" s="1"/>
  <c r="N5" i="20" s="1"/>
  <c r="AC246" i="20"/>
  <c r="AE260" i="20"/>
  <c r="AE247" i="20"/>
  <c r="AI260" i="20"/>
  <c r="AI232" i="20" s="1"/>
  <c r="AI247" i="20"/>
  <c r="X246" i="20"/>
  <c r="X157" i="20" s="1"/>
  <c r="X7" i="20" s="1"/>
  <c r="Q288" i="20"/>
  <c r="Q247" i="20"/>
  <c r="U15" i="21"/>
  <c r="U11" i="21" s="1"/>
  <c r="AB15" i="21"/>
  <c r="AB11" i="21" s="1"/>
  <c r="AG15" i="21"/>
  <c r="AG11" i="21" s="1"/>
  <c r="AG19" i="21"/>
  <c r="I21" i="21"/>
  <c r="N8" i="21"/>
  <c r="P52" i="21"/>
  <c r="AK68" i="21"/>
  <c r="AK65" i="21" s="1"/>
  <c r="AK72" i="21"/>
  <c r="AL72" i="21" s="1"/>
  <c r="V160" i="21"/>
  <c r="V156" i="21" s="1"/>
  <c r="V6" i="21" s="1"/>
  <c r="AO160" i="21"/>
  <c r="AO156" i="21" s="1"/>
  <c r="AO155" i="21" s="1"/>
  <c r="AE160" i="21"/>
  <c r="AE156" i="21" s="1"/>
  <c r="V260" i="21"/>
  <c r="S260" i="21"/>
  <c r="S247" i="21"/>
  <c r="S158" i="21" s="1"/>
  <c r="W260" i="21"/>
  <c r="W155" i="21" s="1"/>
  <c r="W247" i="21"/>
  <c r="W158" i="21" s="1"/>
  <c r="AC260" i="21"/>
  <c r="AC247" i="21"/>
  <c r="AC158" i="21" s="1"/>
  <c r="R274" i="21"/>
  <c r="R273" i="21" s="1"/>
  <c r="S273" i="21"/>
  <c r="S246" i="21" s="1"/>
  <c r="S157" i="21" s="1"/>
  <c r="M45" i="22"/>
  <c r="M13" i="22" s="1"/>
  <c r="M44" i="22"/>
  <c r="M12" i="22" s="1"/>
  <c r="P157" i="22"/>
  <c r="AC120" i="20"/>
  <c r="AC79" i="20" s="1"/>
  <c r="AC12" i="20" s="1"/>
  <c r="AM148" i="20"/>
  <c r="Q160" i="20"/>
  <c r="Q156" i="20" s="1"/>
  <c r="N160" i="20"/>
  <c r="N156" i="20" s="1"/>
  <c r="N6" i="20" s="1"/>
  <c r="AK167" i="20"/>
  <c r="AK160" i="20" s="1"/>
  <c r="AK156" i="20" s="1"/>
  <c r="AC160" i="20"/>
  <c r="AC156" i="20" s="1"/>
  <c r="AC6" i="20" s="1"/>
  <c r="AA188" i="20"/>
  <c r="AA187" i="20" s="1"/>
  <c r="AA160" i="20" s="1"/>
  <c r="AA156" i="20" s="1"/>
  <c r="Z155" i="20"/>
  <c r="Z5" i="20" s="1"/>
  <c r="AK260" i="20"/>
  <c r="AL260" i="20" s="1"/>
  <c r="P262" i="20"/>
  <c r="S15" i="21"/>
  <c r="S11" i="21" s="1"/>
  <c r="Q30" i="21"/>
  <c r="Q17" i="21" s="1"/>
  <c r="Q13" i="21" s="1"/>
  <c r="AK36" i="21"/>
  <c r="AL36" i="21" s="1"/>
  <c r="M52" i="21"/>
  <c r="M12" i="21" s="1"/>
  <c r="AK55" i="21"/>
  <c r="AL55" i="21" s="1"/>
  <c r="AL52" i="21" s="1"/>
  <c r="AE79" i="21"/>
  <c r="AE12" i="21" s="1"/>
  <c r="AM108" i="21"/>
  <c r="T123" i="21"/>
  <c r="T121" i="21" s="1"/>
  <c r="L12" i="21"/>
  <c r="AM143" i="21"/>
  <c r="L160" i="21"/>
  <c r="L156" i="21" s="1"/>
  <c r="AB157" i="21"/>
  <c r="L205" i="21"/>
  <c r="AM208" i="21"/>
  <c r="AM205" i="21" s="1"/>
  <c r="P205" i="21"/>
  <c r="J232" i="21"/>
  <c r="J157" i="21" s="1"/>
  <c r="J155" i="21" s="1"/>
  <c r="K157" i="21"/>
  <c r="K7" i="21" s="1"/>
  <c r="AG232" i="21"/>
  <c r="AG157" i="21" s="1"/>
  <c r="P240" i="21"/>
  <c r="P239" i="21" s="1"/>
  <c r="P238" i="21" s="1"/>
  <c r="P232" i="21" s="1"/>
  <c r="R239" i="21"/>
  <c r="R238" i="21" s="1"/>
  <c r="R232" i="21" s="1"/>
  <c r="O246" i="21"/>
  <c r="O157" i="21" s="1"/>
  <c r="O155" i="21" s="1"/>
  <c r="AO246" i="21"/>
  <c r="AK260" i="21"/>
  <c r="AL260" i="21" s="1"/>
  <c r="R13" i="22"/>
  <c r="R8" i="22" s="1"/>
  <c r="I22" i="22"/>
  <c r="S15" i="22"/>
  <c r="S11" i="22" s="1"/>
  <c r="AC15" i="22"/>
  <c r="AC11" i="22" s="1"/>
  <c r="AC19" i="22"/>
  <c r="AH15" i="22"/>
  <c r="AH11" i="22" s="1"/>
  <c r="AH19" i="22"/>
  <c r="AF20" i="22"/>
  <c r="AF15" i="22" s="1"/>
  <c r="AF11" i="22" s="1"/>
  <c r="S79" i="22"/>
  <c r="S12" i="22" s="1"/>
  <c r="X79" i="22"/>
  <c r="X12" i="22" s="1"/>
  <c r="J86" i="22"/>
  <c r="L79" i="22"/>
  <c r="J79" i="22" s="1"/>
  <c r="P79" i="22"/>
  <c r="AA160" i="22"/>
  <c r="AA8" i="22" s="1"/>
  <c r="AK143" i="20"/>
  <c r="AL143" i="20" s="1"/>
  <c r="AO8" i="20"/>
  <c r="N9" i="20"/>
  <c r="R9" i="20"/>
  <c r="V9" i="20"/>
  <c r="AI205" i="20"/>
  <c r="Q158" i="20"/>
  <c r="Y158" i="20"/>
  <c r="Y8" i="20" s="1"/>
  <c r="AK269" i="20"/>
  <c r="R246" i="20"/>
  <c r="I22" i="21"/>
  <c r="AK33" i="21"/>
  <c r="AK76" i="21"/>
  <c r="AL76" i="21" s="1"/>
  <c r="M160" i="21"/>
  <c r="M156" i="21" s="1"/>
  <c r="AK167" i="21"/>
  <c r="P155" i="21"/>
  <c r="P160" i="21"/>
  <c r="P156" i="21" s="1"/>
  <c r="P6" i="21" s="1"/>
  <c r="X155" i="21"/>
  <c r="AD160" i="21"/>
  <c r="AD156" i="21" s="1"/>
  <c r="AF205" i="21"/>
  <c r="AC157" i="21"/>
  <c r="M206" i="21"/>
  <c r="M158" i="21" s="1"/>
  <c r="M8" i="21" s="1"/>
  <c r="Q206" i="21"/>
  <c r="Q158" i="21" s="1"/>
  <c r="U206" i="21"/>
  <c r="U158" i="21" s="1"/>
  <c r="U8" i="21" s="1"/>
  <c r="Y206" i="21"/>
  <c r="Y158" i="21" s="1"/>
  <c r="Y8" i="21" s="1"/>
  <c r="AD206" i="21"/>
  <c r="AD158" i="21" s="1"/>
  <c r="AD8" i="21" s="1"/>
  <c r="AH206" i="21"/>
  <c r="AH158" i="21" s="1"/>
  <c r="AH8" i="21" s="1"/>
  <c r="L246" i="21"/>
  <c r="J246" i="21" s="1"/>
  <c r="AE247" i="21"/>
  <c r="AI247" i="21"/>
  <c r="P286" i="21"/>
  <c r="R285" i="21"/>
  <c r="AO10" i="22"/>
  <c r="AO6" i="22"/>
  <c r="S10" i="22"/>
  <c r="N6" i="22"/>
  <c r="N12" i="22"/>
  <c r="V45" i="22"/>
  <c r="V13" i="22" s="1"/>
  <c r="V44" i="22"/>
  <c r="AG12" i="22"/>
  <c r="AE79" i="22"/>
  <c r="AC129" i="22"/>
  <c r="AC119" i="22" s="1"/>
  <c r="AC124" i="22"/>
  <c r="AC120" i="22" s="1"/>
  <c r="AC79" i="22" s="1"/>
  <c r="AH129" i="22"/>
  <c r="AH119" i="22" s="1"/>
  <c r="AH124" i="22"/>
  <c r="AH120" i="22" s="1"/>
  <c r="T129" i="22"/>
  <c r="T119" i="22" s="1"/>
  <c r="T124" i="22"/>
  <c r="T120" i="22" s="1"/>
  <c r="AC79" i="21"/>
  <c r="AC12" i="21" s="1"/>
  <c r="T109" i="21"/>
  <c r="T108" i="21" s="1"/>
  <c r="AK116" i="21"/>
  <c r="AA149" i="21"/>
  <c r="AA148" i="21" s="1"/>
  <c r="AF172" i="21"/>
  <c r="AF171" i="21" s="1"/>
  <c r="AF160" i="21" s="1"/>
  <c r="AF156" i="21" s="1"/>
  <c r="R172" i="21"/>
  <c r="R171" i="21" s="1"/>
  <c r="AB160" i="21"/>
  <c r="AB156" i="21" s="1"/>
  <c r="AA188" i="21"/>
  <c r="AA187" i="21" s="1"/>
  <c r="AA155" i="21" s="1"/>
  <c r="U205" i="21"/>
  <c r="U157" i="21" s="1"/>
  <c r="T205" i="21"/>
  <c r="AA205" i="21"/>
  <c r="AE205" i="21"/>
  <c r="AI205" i="21"/>
  <c r="AI157" i="21" s="1"/>
  <c r="AI7" i="21" s="1"/>
  <c r="AK278" i="21"/>
  <c r="AL278" i="21" s="1"/>
  <c r="K9" i="22"/>
  <c r="L52" i="22"/>
  <c r="J52" i="22" s="1"/>
  <c r="AK76" i="22"/>
  <c r="AL76" i="22" s="1"/>
  <c r="T87" i="22"/>
  <c r="T86" i="22" s="1"/>
  <c r="AM169" i="22"/>
  <c r="AM162" i="22" s="1"/>
  <c r="AM158" i="22" s="1"/>
  <c r="Q162" i="22"/>
  <c r="Q158" i="22" s="1"/>
  <c r="L245" i="22"/>
  <c r="L244" i="22" s="1"/>
  <c r="O244" i="22"/>
  <c r="V248" i="22"/>
  <c r="AK262" i="22"/>
  <c r="AL262" i="22" s="1"/>
  <c r="AF262" i="22"/>
  <c r="AF249" i="22"/>
  <c r="O248" i="22"/>
  <c r="N12" i="21"/>
  <c r="AM148" i="21"/>
  <c r="AC160" i="21"/>
  <c r="AC156" i="21" s="1"/>
  <c r="W205" i="21"/>
  <c r="W157" i="21" s="1"/>
  <c r="O45" i="22"/>
  <c r="O13" i="22" s="1"/>
  <c r="O8" i="22" s="1"/>
  <c r="O44" i="22"/>
  <c r="O12" i="22" s="1"/>
  <c r="Y13" i="22"/>
  <c r="AH79" i="22"/>
  <c r="R79" i="22"/>
  <c r="AF79" i="22"/>
  <c r="AF12" i="22" s="1"/>
  <c r="AB162" i="22"/>
  <c r="AB158" i="22" s="1"/>
  <c r="O207" i="22"/>
  <c r="M208" i="22"/>
  <c r="M160" i="22" s="1"/>
  <c r="U208" i="22"/>
  <c r="U160" i="22" s="1"/>
  <c r="U8" i="22" s="1"/>
  <c r="AC160" i="22"/>
  <c r="AC8" i="22" s="1"/>
  <c r="J248" i="22"/>
  <c r="AO248" i="22"/>
  <c r="AO234" i="22"/>
  <c r="AO159" i="22" s="1"/>
  <c r="AO7" i="22" s="1"/>
  <c r="W262" i="22"/>
  <c r="W157" i="22" s="1"/>
  <c r="W249" i="22"/>
  <c r="W160" i="22" s="1"/>
  <c r="AG262" i="22"/>
  <c r="AG234" i="22" s="1"/>
  <c r="AG159" i="22" s="1"/>
  <c r="AG249" i="22"/>
  <c r="AK33" i="22"/>
  <c r="AL33" i="22" s="1"/>
  <c r="AL15" i="22" s="1"/>
  <c r="AL11" i="22" s="1"/>
  <c r="L55" i="22"/>
  <c r="J55" i="22" s="1"/>
  <c r="AK55" i="22"/>
  <c r="AL55" i="22" s="1"/>
  <c r="AM68" i="22"/>
  <c r="AM65" i="22" s="1"/>
  <c r="AK72" i="22"/>
  <c r="AL72" i="22" s="1"/>
  <c r="Q83" i="22"/>
  <c r="Q82" i="22" s="1"/>
  <c r="AB79" i="22"/>
  <c r="AB12" i="22" s="1"/>
  <c r="AJ79" i="22"/>
  <c r="AJ12" i="22" s="1"/>
  <c r="AK108" i="22"/>
  <c r="V124" i="22"/>
  <c r="AG124" i="22"/>
  <c r="AG120" i="22" s="1"/>
  <c r="S207" i="22"/>
  <c r="Y207" i="22"/>
  <c r="Q213" i="22"/>
  <c r="Z157" i="22"/>
  <c r="Z5" i="22" s="1"/>
  <c r="N248" i="22"/>
  <c r="N159" i="22" s="1"/>
  <c r="N157" i="22" s="1"/>
  <c r="S248" i="22"/>
  <c r="AC248" i="22"/>
  <c r="AC159" i="22" s="1"/>
  <c r="AA248" i="22"/>
  <c r="R276" i="22"/>
  <c r="R275" i="22" s="1"/>
  <c r="Q290" i="22"/>
  <c r="AK120" i="22"/>
  <c r="AD162" i="22"/>
  <c r="AD158" i="22" s="1"/>
  <c r="U207" i="22"/>
  <c r="U159" i="22" s="1"/>
  <c r="T207" i="22"/>
  <c r="AA207" i="22"/>
  <c r="AE207" i="22"/>
  <c r="Y208" i="22"/>
  <c r="Y160" i="22" s="1"/>
  <c r="AK240" i="22"/>
  <c r="AK234" i="22" s="1"/>
  <c r="P234" i="22"/>
  <c r="P288" i="22"/>
  <c r="R287" i="22"/>
  <c r="AI207" i="22"/>
  <c r="AI159" i="22" s="1"/>
  <c r="AA141" i="22"/>
  <c r="AA140" i="22" s="1"/>
  <c r="AA129" i="22" s="1"/>
  <c r="AM145" i="22"/>
  <c r="AK169" i="22"/>
  <c r="AK162" i="22" s="1"/>
  <c r="AK158" i="22" s="1"/>
  <c r="AE162" i="22"/>
  <c r="AE158" i="22" s="1"/>
  <c r="AE6" i="22" s="1"/>
  <c r="L207" i="22"/>
  <c r="L159" i="22" s="1"/>
  <c r="AM210" i="22"/>
  <c r="AM207" i="22" s="1"/>
  <c r="P207" i="22"/>
  <c r="P159" i="22" s="1"/>
  <c r="J234" i="22"/>
  <c r="J159" i="22" s="1"/>
  <c r="J157" i="22" s="1"/>
  <c r="P256" i="22"/>
  <c r="Q255" i="22"/>
  <c r="Q254" i="22" s="1"/>
  <c r="AB248" i="22"/>
  <c r="AB159" i="22" s="1"/>
  <c r="R262" i="22"/>
  <c r="AD291" i="22"/>
  <c r="AD290" i="22" s="1"/>
  <c r="AD249" i="22"/>
  <c r="AC162" i="22"/>
  <c r="AC158" i="22" s="1"/>
  <c r="W207" i="22"/>
  <c r="X248" i="22"/>
  <c r="Y248" i="22"/>
  <c r="AG248" i="22"/>
  <c r="AA290" i="22"/>
  <c r="AA157" i="22" s="1"/>
  <c r="AA79" i="22"/>
  <c r="AM86" i="22"/>
  <c r="AK86" i="22"/>
  <c r="AK79" i="22" s="1"/>
  <c r="AA15" i="22"/>
  <c r="AA11" i="22" s="1"/>
  <c r="AL47" i="22"/>
  <c r="AL45" i="22" s="1"/>
  <c r="AL13" i="22" s="1"/>
  <c r="AL8" i="22" s="1"/>
  <c r="AK45" i="22"/>
  <c r="AK13" i="22" s="1"/>
  <c r="AK8" i="22" s="1"/>
  <c r="AB8" i="22"/>
  <c r="T19" i="22"/>
  <c r="T17" i="22"/>
  <c r="T13" i="22" s="1"/>
  <c r="T8" i="22" s="1"/>
  <c r="AM36" i="22"/>
  <c r="AM15" i="22" s="1"/>
  <c r="AM11" i="22" s="1"/>
  <c r="Q15" i="22"/>
  <c r="Q11" i="22" s="1"/>
  <c r="Q6" i="22" s="1"/>
  <c r="AM6" i="22" s="1"/>
  <c r="Y15" i="22"/>
  <c r="Y11" i="22" s="1"/>
  <c r="R65" i="22"/>
  <c r="R10" i="22"/>
  <c r="W129" i="22"/>
  <c r="W119" i="22" s="1"/>
  <c r="W124" i="22"/>
  <c r="W120" i="22" s="1"/>
  <c r="W10" i="22" s="1"/>
  <c r="Y129" i="22"/>
  <c r="Y119" i="22" s="1"/>
  <c r="Y124" i="22"/>
  <c r="Y120" i="22" s="1"/>
  <c r="Y10" i="22" s="1"/>
  <c r="U162" i="22"/>
  <c r="U158" i="22" s="1"/>
  <c r="U6" i="22" s="1"/>
  <c r="W162" i="22"/>
  <c r="W158" i="22" s="1"/>
  <c r="W6" i="22" s="1"/>
  <c r="Y162" i="22"/>
  <c r="Y158" i="22" s="1"/>
  <c r="Y157" i="22"/>
  <c r="T162" i="22"/>
  <c r="T158" i="22" s="1"/>
  <c r="AA162" i="22"/>
  <c r="AA158" i="22" s="1"/>
  <c r="AM240" i="22"/>
  <c r="AM234" i="22" s="1"/>
  <c r="AM159" i="22" s="1"/>
  <c r="AM157" i="22" s="1"/>
  <c r="Q234" i="22"/>
  <c r="AI248" i="22"/>
  <c r="AI234" i="22"/>
  <c r="Q65" i="22"/>
  <c r="AK99" i="22"/>
  <c r="AD129" i="22"/>
  <c r="AD119" i="22" s="1"/>
  <c r="AD124" i="22"/>
  <c r="AD120" i="22" s="1"/>
  <c r="AD79" i="22" s="1"/>
  <c r="S162" i="22"/>
  <c r="S158" i="22" s="1"/>
  <c r="S6" i="22" s="1"/>
  <c r="S157" i="22"/>
  <c r="S5" i="22" s="1"/>
  <c r="R162" i="22"/>
  <c r="R158" i="22" s="1"/>
  <c r="V162" i="22"/>
  <c r="V158" i="22" s="1"/>
  <c r="V6" i="22" s="1"/>
  <c r="X162" i="22"/>
  <c r="X158" i="22" s="1"/>
  <c r="X6" i="22" s="1"/>
  <c r="X157" i="22"/>
  <c r="X5" i="22" s="1"/>
  <c r="AF234" i="22"/>
  <c r="AF159" i="22" s="1"/>
  <c r="AF248" i="22"/>
  <c r="AH234" i="22"/>
  <c r="AH159" i="22" s="1"/>
  <c r="AH248" i="22"/>
  <c r="AJ234" i="22"/>
  <c r="AJ159" i="22" s="1"/>
  <c r="AJ248" i="22"/>
  <c r="AN234" i="22"/>
  <c r="AN159" i="22" s="1"/>
  <c r="AN248" i="22"/>
  <c r="V262" i="22"/>
  <c r="V249" i="22"/>
  <c r="AL271" i="22"/>
  <c r="AK248" i="22"/>
  <c r="AK68" i="22"/>
  <c r="W79" i="22"/>
  <c r="AL248" i="22"/>
  <c r="P129" i="22"/>
  <c r="AK210" i="22"/>
  <c r="AK244" i="22"/>
  <c r="AL244" i="22" s="1"/>
  <c r="T263" i="22"/>
  <c r="T262" i="22" s="1"/>
  <c r="T157" i="22" s="1"/>
  <c r="AK140" i="22"/>
  <c r="AK145" i="22"/>
  <c r="AL145" i="22" s="1"/>
  <c r="AK150" i="22"/>
  <c r="AL150" i="22" s="1"/>
  <c r="AG173" i="22"/>
  <c r="AG162" i="22" s="1"/>
  <c r="AG158" i="22" s="1"/>
  <c r="V211" i="22"/>
  <c r="V210" i="22" s="1"/>
  <c r="V207" i="22" s="1"/>
  <c r="V288" i="21"/>
  <c r="V246" i="21"/>
  <c r="R289" i="21"/>
  <c r="R288" i="21" s="1"/>
  <c r="R155" i="21" s="1"/>
  <c r="T19" i="21"/>
  <c r="T17" i="21"/>
  <c r="T13" i="21" s="1"/>
  <c r="AL33" i="21"/>
  <c r="AL15" i="21" s="1"/>
  <c r="AL11" i="21" s="1"/>
  <c r="AK79" i="21"/>
  <c r="AL86" i="21"/>
  <c r="AL79" i="21" s="1"/>
  <c r="W129" i="21"/>
  <c r="W119" i="21" s="1"/>
  <c r="W124" i="21"/>
  <c r="W120" i="21" s="1"/>
  <c r="Y129" i="21"/>
  <c r="Y119" i="21" s="1"/>
  <c r="Y124" i="21"/>
  <c r="Y120" i="21" s="1"/>
  <c r="Y79" i="21" s="1"/>
  <c r="U160" i="21"/>
  <c r="U156" i="21" s="1"/>
  <c r="U6" i="21" s="1"/>
  <c r="U155" i="21"/>
  <c r="W160" i="21"/>
  <c r="W156" i="21" s="1"/>
  <c r="Y160" i="21"/>
  <c r="Y156" i="21" s="1"/>
  <c r="Y6" i="21" s="1"/>
  <c r="Y155" i="21"/>
  <c r="T160" i="21"/>
  <c r="T156" i="21" s="1"/>
  <c r="T155" i="21"/>
  <c r="J6" i="21"/>
  <c r="AA160" i="21"/>
  <c r="AA156" i="21" s="1"/>
  <c r="AC6" i="21"/>
  <c r="AE6" i="21"/>
  <c r="AK99" i="21"/>
  <c r="R160" i="21"/>
  <c r="R156" i="21" s="1"/>
  <c r="AK238" i="21"/>
  <c r="AL47" i="21"/>
  <c r="AL45" i="21" s="1"/>
  <c r="AL13" i="21" s="1"/>
  <c r="AL8" i="21" s="1"/>
  <c r="AL68" i="21"/>
  <c r="AL65" i="21" s="1"/>
  <c r="U10" i="21"/>
  <c r="U79" i="21"/>
  <c r="U12" i="21" s="1"/>
  <c r="W79" i="21"/>
  <c r="R79" i="21"/>
  <c r="R12" i="21" s="1"/>
  <c r="R10" i="21"/>
  <c r="X10" i="21"/>
  <c r="X5" i="21" s="1"/>
  <c r="AA79" i="21"/>
  <c r="AA12" i="21" s="1"/>
  <c r="AE10" i="21"/>
  <c r="Q79" i="21"/>
  <c r="Q12" i="21" s="1"/>
  <c r="S10" i="21"/>
  <c r="S79" i="21"/>
  <c r="AD129" i="21"/>
  <c r="AD119" i="21" s="1"/>
  <c r="AD124" i="21"/>
  <c r="AD120" i="21" s="1"/>
  <c r="AD79" i="21" s="1"/>
  <c r="S160" i="21"/>
  <c r="S156" i="21" s="1"/>
  <c r="S6" i="21" s="1"/>
  <c r="S155" i="21"/>
  <c r="AL167" i="21"/>
  <c r="AL160" i="21" s="1"/>
  <c r="AL156" i="21" s="1"/>
  <c r="AK160" i="21"/>
  <c r="AK156" i="21" s="1"/>
  <c r="Q155" i="21"/>
  <c r="AM238" i="21"/>
  <c r="AM232" i="21" s="1"/>
  <c r="AM157" i="21" s="1"/>
  <c r="Q232" i="21"/>
  <c r="AL269" i="21"/>
  <c r="AL246" i="21" s="1"/>
  <c r="AK246" i="21"/>
  <c r="AK138" i="21"/>
  <c r="AM138" i="21"/>
  <c r="AM129" i="21" s="1"/>
  <c r="AK143" i="21"/>
  <c r="AL143" i="21" s="1"/>
  <c r="AK148" i="21"/>
  <c r="AL148" i="21" s="1"/>
  <c r="AG171" i="21"/>
  <c r="AG160" i="21" s="1"/>
  <c r="AG156" i="21" s="1"/>
  <c r="V209" i="21"/>
  <c r="V208" i="21" s="1"/>
  <c r="V205" i="21" s="1"/>
  <c r="AK208" i="21"/>
  <c r="AK242" i="21"/>
  <c r="AL242" i="21" s="1"/>
  <c r="L6" i="20"/>
  <c r="AL47" i="20"/>
  <c r="AL45" i="20" s="1"/>
  <c r="AL13" i="20" s="1"/>
  <c r="AL8" i="20" s="1"/>
  <c r="AK45" i="20"/>
  <c r="AK13" i="20" s="1"/>
  <c r="AK8" i="20" s="1"/>
  <c r="AL55" i="20"/>
  <c r="AL52" i="20" s="1"/>
  <c r="AK52" i="20"/>
  <c r="N10" i="20"/>
  <c r="AK65" i="20"/>
  <c r="Y65" i="20"/>
  <c r="Q65" i="20"/>
  <c r="AM68" i="20"/>
  <c r="AM65" i="20" s="1"/>
  <c r="T15" i="20"/>
  <c r="T11" i="20" s="1"/>
  <c r="T19" i="20"/>
  <c r="J6" i="20"/>
  <c r="AL33" i="20"/>
  <c r="X15" i="20"/>
  <c r="X11" i="20" s="1"/>
  <c r="X10" i="20"/>
  <c r="AM36" i="20"/>
  <c r="AM15" i="20" s="1"/>
  <c r="AM11" i="20" s="1"/>
  <c r="AD6" i="20"/>
  <c r="AH6" i="20"/>
  <c r="AJ6" i="20"/>
  <c r="AN6" i="20"/>
  <c r="S160" i="20"/>
  <c r="S156" i="20" s="1"/>
  <c r="S6" i="20" s="1"/>
  <c r="S155" i="20"/>
  <c r="U160" i="20"/>
  <c r="U156" i="20" s="1"/>
  <c r="U6" i="20" s="1"/>
  <c r="U155" i="20"/>
  <c r="W160" i="20"/>
  <c r="W156" i="20" s="1"/>
  <c r="W6" i="20" s="1"/>
  <c r="W155" i="20"/>
  <c r="AK99" i="20"/>
  <c r="T123" i="20"/>
  <c r="T121" i="20" s="1"/>
  <c r="T120" i="20" s="1"/>
  <c r="T79" i="20" s="1"/>
  <c r="T12" i="20" s="1"/>
  <c r="U121" i="20"/>
  <c r="U120" i="20" s="1"/>
  <c r="W129" i="20"/>
  <c r="W119" i="20" s="1"/>
  <c r="W124" i="20"/>
  <c r="W120" i="20" s="1"/>
  <c r="W79" i="20" s="1"/>
  <c r="AF129" i="20"/>
  <c r="AF119" i="20" s="1"/>
  <c r="AF124" i="20"/>
  <c r="AF120" i="20" s="1"/>
  <c r="AH129" i="20"/>
  <c r="AH119" i="20" s="1"/>
  <c r="AH124" i="20"/>
  <c r="AH120" i="20" s="1"/>
  <c r="AJ129" i="20"/>
  <c r="AJ119" i="20" s="1"/>
  <c r="AJ124" i="20"/>
  <c r="AJ120" i="20" s="1"/>
  <c r="T160" i="20"/>
  <c r="T156" i="20" s="1"/>
  <c r="X160" i="20"/>
  <c r="X156" i="20" s="1"/>
  <c r="X155" i="20"/>
  <c r="AF172" i="20"/>
  <c r="AF171" i="20" s="1"/>
  <c r="AF160" i="20" s="1"/>
  <c r="AF156" i="20" s="1"/>
  <c r="AG171" i="20"/>
  <c r="AG160" i="20" s="1"/>
  <c r="AG156" i="20" s="1"/>
  <c r="Q210" i="20"/>
  <c r="V209" i="20"/>
  <c r="V208" i="20" s="1"/>
  <c r="V205" i="20" s="1"/>
  <c r="V157" i="20" s="1"/>
  <c r="Q30" i="20"/>
  <c r="U30" i="20"/>
  <c r="AG30" i="20"/>
  <c r="AG17" i="20" s="1"/>
  <c r="AG13" i="20" s="1"/>
  <c r="AG8" i="20" s="1"/>
  <c r="P65" i="20"/>
  <c r="L76" i="20"/>
  <c r="U94" i="20"/>
  <c r="U93" i="20" s="1"/>
  <c r="AK138" i="20"/>
  <c r="AK148" i="20"/>
  <c r="AL148" i="20" s="1"/>
  <c r="J155" i="20"/>
  <c r="R157" i="20"/>
  <c r="AA205" i="20"/>
  <c r="AA157" i="20" s="1"/>
  <c r="AC205" i="20"/>
  <c r="AC157" i="20" s="1"/>
  <c r="AE205" i="20"/>
  <c r="AE157" i="20" s="1"/>
  <c r="AM208" i="20"/>
  <c r="AM205" i="20" s="1"/>
  <c r="Q211" i="20"/>
  <c r="AM242" i="20"/>
  <c r="AM138" i="20"/>
  <c r="AM129" i="20" s="1"/>
  <c r="Q129" i="20"/>
  <c r="Y129" i="20"/>
  <c r="Y119" i="20" s="1"/>
  <c r="Y124" i="20"/>
  <c r="Y120" i="20" s="1"/>
  <c r="Y79" i="20" s="1"/>
  <c r="AD129" i="20"/>
  <c r="AD119" i="20" s="1"/>
  <c r="AD124" i="20"/>
  <c r="AD120" i="20" s="1"/>
  <c r="AD79" i="20" s="1"/>
  <c r="R160" i="20"/>
  <c r="R156" i="20" s="1"/>
  <c r="V160" i="20"/>
  <c r="V156" i="20" s="1"/>
  <c r="V6" i="20" s="1"/>
  <c r="AL208" i="20"/>
  <c r="AL205" i="20" s="1"/>
  <c r="AK205" i="20"/>
  <c r="V260" i="20"/>
  <c r="V247" i="20"/>
  <c r="V158" i="20" s="1"/>
  <c r="V8" i="20" s="1"/>
  <c r="AL269" i="20"/>
  <c r="AK76" i="20"/>
  <c r="AL76" i="20" s="1"/>
  <c r="AK86" i="20"/>
  <c r="AK108" i="20"/>
  <c r="L157" i="20"/>
  <c r="L155" i="20" s="1"/>
  <c r="L242" i="20"/>
  <c r="T261" i="20"/>
  <c r="AC155" i="19"/>
  <c r="T19" i="19"/>
  <c r="T17" i="19"/>
  <c r="T13" i="19" s="1"/>
  <c r="T8" i="19" s="1"/>
  <c r="J6" i="19"/>
  <c r="L6" i="19"/>
  <c r="N6" i="19"/>
  <c r="Y10" i="19"/>
  <c r="Y15" i="19"/>
  <c r="Y11" i="19" s="1"/>
  <c r="R65" i="19"/>
  <c r="R12" i="19" s="1"/>
  <c r="Q15" i="19"/>
  <c r="Q11" i="19" s="1"/>
  <c r="Q6" i="19" s="1"/>
  <c r="AM6" i="19" s="1"/>
  <c r="AO10" i="19"/>
  <c r="AO6" i="19"/>
  <c r="AC6" i="19"/>
  <c r="AL47" i="19"/>
  <c r="AL45" i="19" s="1"/>
  <c r="AL13" i="19" s="1"/>
  <c r="AL8" i="19" s="1"/>
  <c r="AK45" i="19"/>
  <c r="AK13" i="19" s="1"/>
  <c r="AK8" i="19" s="1"/>
  <c r="AL55" i="19"/>
  <c r="AK52" i="19"/>
  <c r="W13" i="19"/>
  <c r="W8" i="19" s="1"/>
  <c r="AM86" i="19"/>
  <c r="AM79" i="19" s="1"/>
  <c r="AK86" i="19"/>
  <c r="T124" i="19"/>
  <c r="T129" i="19"/>
  <c r="T119" i="19" s="1"/>
  <c r="V129" i="19"/>
  <c r="V119" i="19" s="1"/>
  <c r="V124" i="19"/>
  <c r="V120" i="19" s="1"/>
  <c r="V10" i="19" s="1"/>
  <c r="X129" i="19"/>
  <c r="X119" i="19" s="1"/>
  <c r="X124" i="19"/>
  <c r="X120" i="19" s="1"/>
  <c r="X10" i="19" s="1"/>
  <c r="AC129" i="19"/>
  <c r="AC119" i="19" s="1"/>
  <c r="AC124" i="19"/>
  <c r="AC120" i="19" s="1"/>
  <c r="AC79" i="19" s="1"/>
  <c r="AE129" i="19"/>
  <c r="AE119" i="19" s="1"/>
  <c r="AE124" i="19"/>
  <c r="AE120" i="19" s="1"/>
  <c r="AE79" i="19" s="1"/>
  <c r="U160" i="19"/>
  <c r="U156" i="19" s="1"/>
  <c r="U6" i="19" s="1"/>
  <c r="U155" i="19"/>
  <c r="W160" i="19"/>
  <c r="W156" i="19" s="1"/>
  <c r="W6" i="19" s="1"/>
  <c r="W155" i="19"/>
  <c r="W5" i="19" s="1"/>
  <c r="Y160" i="19"/>
  <c r="Y156" i="19" s="1"/>
  <c r="Y155" i="19"/>
  <c r="T160" i="19"/>
  <c r="T156" i="19" s="1"/>
  <c r="T6" i="19" s="1"/>
  <c r="T155" i="19"/>
  <c r="AA160" i="19"/>
  <c r="AA156" i="19" s="1"/>
  <c r="AA6" i="19" s="1"/>
  <c r="AK238" i="19"/>
  <c r="P155" i="19"/>
  <c r="P5" i="19" s="1"/>
  <c r="P232" i="19"/>
  <c r="P157" i="19" s="1"/>
  <c r="V260" i="19"/>
  <c r="V247" i="19"/>
  <c r="AL269" i="19"/>
  <c r="AL246" i="19" s="1"/>
  <c r="I21" i="19"/>
  <c r="AK36" i="19"/>
  <c r="AL36" i="19" s="1"/>
  <c r="AK68" i="19"/>
  <c r="AM68" i="19"/>
  <c r="AM65" i="19" s="1"/>
  <c r="AK72" i="19"/>
  <c r="AL72" i="19" s="1"/>
  <c r="S160" i="19"/>
  <c r="S156" i="19" s="1"/>
  <c r="S155" i="19"/>
  <c r="S5" i="19" s="1"/>
  <c r="AK160" i="19"/>
  <c r="AK156" i="19" s="1"/>
  <c r="AL167" i="19"/>
  <c r="AL160" i="19" s="1"/>
  <c r="AL156" i="19" s="1"/>
  <c r="M6" i="19"/>
  <c r="O6" i="19"/>
  <c r="S18" i="19"/>
  <c r="S14" i="19" s="1"/>
  <c r="S9" i="19" s="1"/>
  <c r="U18" i="19"/>
  <c r="U14" i="19" s="1"/>
  <c r="U9" i="19" s="1"/>
  <c r="W18" i="19"/>
  <c r="W14" i="19" s="1"/>
  <c r="W9" i="19" s="1"/>
  <c r="L79" i="19"/>
  <c r="P79" i="19"/>
  <c r="P12" i="19" s="1"/>
  <c r="L242" i="19"/>
  <c r="AK108" i="19"/>
  <c r="AK208" i="19"/>
  <c r="AM208" i="19"/>
  <c r="AM205" i="19" s="1"/>
  <c r="AM157" i="19" s="1"/>
  <c r="AK242" i="19"/>
  <c r="AL242" i="19" s="1"/>
  <c r="U94" i="19"/>
  <c r="U93" i="19" s="1"/>
  <c r="U121" i="19"/>
  <c r="U120" i="19" s="1"/>
  <c r="Q129" i="19"/>
  <c r="AG171" i="19"/>
  <c r="AG160" i="19" s="1"/>
  <c r="AG156" i="19" s="1"/>
  <c r="V209" i="19"/>
  <c r="V208" i="19" s="1"/>
  <c r="V205" i="19" s="1"/>
  <c r="V157" i="19" s="1"/>
  <c r="X7" i="21" l="1"/>
  <c r="K10" i="19"/>
  <c r="K6" i="19"/>
  <c r="K5" i="19" s="1"/>
  <c r="R7" i="19"/>
  <c r="R15" i="20"/>
  <c r="R11" i="20" s="1"/>
  <c r="AK52" i="21"/>
  <c r="T6" i="21"/>
  <c r="AL240" i="22"/>
  <c r="AL234" i="22" s="1"/>
  <c r="AL86" i="22"/>
  <c r="AL79" i="22" s="1"/>
  <c r="AK52" i="22"/>
  <c r="AB157" i="22"/>
  <c r="R157" i="22"/>
  <c r="AJ10" i="22"/>
  <c r="AC12" i="22"/>
  <c r="L17" i="22"/>
  <c r="L13" i="22" s="1"/>
  <c r="L8" i="22" s="1"/>
  <c r="T120" i="21"/>
  <c r="T79" i="21" s="1"/>
  <c r="T12" i="21" s="1"/>
  <c r="P12" i="21"/>
  <c r="J12" i="20"/>
  <c r="J10" i="20" s="1"/>
  <c r="O155" i="19"/>
  <c r="AJ155" i="21"/>
  <c r="M8" i="20"/>
  <c r="AA247" i="19"/>
  <c r="AA158" i="19" s="1"/>
  <c r="AA8" i="19" s="1"/>
  <c r="AI8" i="22"/>
  <c r="AB157" i="19"/>
  <c r="AB7" i="19" s="1"/>
  <c r="X8" i="19"/>
  <c r="AN7" i="20"/>
  <c r="X5" i="19"/>
  <c r="AE155" i="20"/>
  <c r="AN5" i="20"/>
  <c r="S6" i="19"/>
  <c r="V158" i="19"/>
  <c r="R155" i="20"/>
  <c r="AD155" i="20"/>
  <c r="AO155" i="20"/>
  <c r="Q157" i="21"/>
  <c r="T8" i="21"/>
  <c r="Y79" i="22"/>
  <c r="T6" i="22"/>
  <c r="AK15" i="22"/>
  <c r="AK11" i="22" s="1"/>
  <c r="X159" i="22"/>
  <c r="Q248" i="22"/>
  <c r="AL52" i="22"/>
  <c r="M157" i="22"/>
  <c r="L6" i="21"/>
  <c r="AC10" i="20"/>
  <c r="AI12" i="22"/>
  <c r="AI10" i="22" s="1"/>
  <c r="AK102" i="20"/>
  <c r="AB12" i="20"/>
  <c r="AB7" i="20" s="1"/>
  <c r="T8" i="20"/>
  <c r="AI155" i="19"/>
  <c r="Q158" i="19"/>
  <c r="U157" i="20"/>
  <c r="Q12" i="19"/>
  <c r="AK129" i="19"/>
  <c r="S12" i="21"/>
  <c r="T10" i="21"/>
  <c r="T5" i="21" s="1"/>
  <c r="V160" i="22"/>
  <c r="V8" i="22" s="1"/>
  <c r="R12" i="22"/>
  <c r="W159" i="22"/>
  <c r="L157" i="22"/>
  <c r="V120" i="22"/>
  <c r="Q10" i="22"/>
  <c r="W8" i="22"/>
  <c r="O159" i="22"/>
  <c r="O157" i="22" s="1"/>
  <c r="N10" i="21"/>
  <c r="AG7" i="21"/>
  <c r="AN155" i="21"/>
  <c r="AB155" i="20"/>
  <c r="AO10" i="20"/>
  <c r="R155" i="19"/>
  <c r="AC8" i="19"/>
  <c r="AA19" i="21"/>
  <c r="AA15" i="21"/>
  <c r="AA11" i="21" s="1"/>
  <c r="AA6" i="21"/>
  <c r="AA10" i="21"/>
  <c r="AA5" i="21" s="1"/>
  <c r="R15" i="21"/>
  <c r="R11" i="21" s="1"/>
  <c r="AE12" i="19"/>
  <c r="V155" i="20"/>
  <c r="V5" i="20" s="1"/>
  <c r="R6" i="21"/>
  <c r="Y12" i="21"/>
  <c r="Y7" i="21" s="1"/>
  <c r="W12" i="22"/>
  <c r="W7" i="22" s="1"/>
  <c r="AA10" i="22"/>
  <c r="AA12" i="22"/>
  <c r="J12" i="22"/>
  <c r="AI5" i="21"/>
  <c r="AC7" i="21"/>
  <c r="AF157" i="21"/>
  <c r="AF155" i="21" s="1"/>
  <c r="AK278" i="20"/>
  <c r="AL278" i="20" s="1"/>
  <c r="AL246" i="20" s="1"/>
  <c r="AM160" i="19"/>
  <c r="AM156" i="19" s="1"/>
  <c r="AM155" i="19" s="1"/>
  <c r="AO7" i="21"/>
  <c r="M157" i="20"/>
  <c r="M155" i="20" s="1"/>
  <c r="V12" i="20"/>
  <c r="U157" i="19"/>
  <c r="Q6" i="21"/>
  <c r="N12" i="19"/>
  <c r="N10" i="19" s="1"/>
  <c r="AG12" i="19"/>
  <c r="AG30" i="19"/>
  <c r="AG17" i="19" s="1"/>
  <c r="AG13" i="19" s="1"/>
  <c r="AG8" i="19" s="1"/>
  <c r="AF31" i="19"/>
  <c r="AF30" i="19" s="1"/>
  <c r="AF17" i="19" s="1"/>
  <c r="AF13" i="19" s="1"/>
  <c r="AF8" i="19" s="1"/>
  <c r="Q7" i="19"/>
  <c r="AM7" i="19" s="1"/>
  <c r="P7" i="19"/>
  <c r="R7" i="20"/>
  <c r="Q159" i="22"/>
  <c r="Y159" i="22"/>
  <c r="AB7" i="22"/>
  <c r="T79" i="22"/>
  <c r="T12" i="22" s="1"/>
  <c r="N7" i="22"/>
  <c r="M155" i="21"/>
  <c r="L157" i="21"/>
  <c r="L7" i="21" s="1"/>
  <c r="W7" i="19"/>
  <c r="AE155" i="19"/>
  <c r="N8" i="22"/>
  <c r="AG7" i="20"/>
  <c r="AE12" i="20"/>
  <c r="AE10" i="20" s="1"/>
  <c r="J7" i="21"/>
  <c r="J5" i="21" s="1"/>
  <c r="AN10" i="21"/>
  <c r="L8" i="20"/>
  <c r="M155" i="19"/>
  <c r="K5" i="20"/>
  <c r="AF155" i="19"/>
  <c r="P5" i="21"/>
  <c r="AF7" i="19"/>
  <c r="R6" i="19"/>
  <c r="AJ7" i="19"/>
  <c r="AJ5" i="19" s="1"/>
  <c r="AN6" i="21"/>
  <c r="AN5" i="21" s="1"/>
  <c r="X8" i="20"/>
  <c r="AD12" i="21"/>
  <c r="AD7" i="21" s="1"/>
  <c r="AD5" i="21" s="1"/>
  <c r="AM12" i="21"/>
  <c r="AM10" i="21" s="1"/>
  <c r="R248" i="22"/>
  <c r="R159" i="22" s="1"/>
  <c r="AC157" i="22"/>
  <c r="J7" i="22"/>
  <c r="J5" i="22" s="1"/>
  <c r="AB155" i="21"/>
  <c r="AB6" i="21"/>
  <c r="AB6" i="22"/>
  <c r="AB5" i="22" s="1"/>
  <c r="AD6" i="21"/>
  <c r="N7" i="19"/>
  <c r="N5" i="19" s="1"/>
  <c r="S8" i="20"/>
  <c r="AJ157" i="20"/>
  <c r="AJ155" i="20" s="1"/>
  <c r="AO5" i="20"/>
  <c r="AN10" i="20"/>
  <c r="AB7" i="21"/>
  <c r="Q19" i="21"/>
  <c r="Q8" i="19"/>
  <c r="Q6" i="20"/>
  <c r="AM6" i="20" s="1"/>
  <c r="T120" i="19"/>
  <c r="T79" i="19" s="1"/>
  <c r="T12" i="19" s="1"/>
  <c r="L8" i="19"/>
  <c r="R5" i="19"/>
  <c r="Q160" i="22"/>
  <c r="Q8" i="22" s="1"/>
  <c r="U10" i="22"/>
  <c r="U5" i="22" s="1"/>
  <c r="AB10" i="20"/>
  <c r="V10" i="21"/>
  <c r="V79" i="21"/>
  <c r="V12" i="21" s="1"/>
  <c r="M10" i="21"/>
  <c r="M7" i="21"/>
  <c r="M7" i="22"/>
  <c r="M10" i="22"/>
  <c r="AC8" i="21"/>
  <c r="AC155" i="21"/>
  <c r="AA6" i="20"/>
  <c r="O7" i="19"/>
  <c r="O10" i="19"/>
  <c r="Q157" i="20"/>
  <c r="AF7" i="22"/>
  <c r="V10" i="22"/>
  <c r="V79" i="22"/>
  <c r="V12" i="22" s="1"/>
  <c r="O10" i="22"/>
  <c r="AC7" i="22"/>
  <c r="X7" i="22"/>
  <c r="S8" i="21"/>
  <c r="AI12" i="20"/>
  <c r="L157" i="19"/>
  <c r="L155" i="19" s="1"/>
  <c r="AH5" i="19"/>
  <c r="AK246" i="20"/>
  <c r="U7" i="21"/>
  <c r="AB10" i="21"/>
  <c r="AK15" i="21"/>
  <c r="AK11" i="21" s="1"/>
  <c r="R7" i="22"/>
  <c r="AD6" i="22"/>
  <c r="Y8" i="22"/>
  <c r="Q8" i="21"/>
  <c r="J7" i="20"/>
  <c r="S157" i="20"/>
  <c r="S7" i="20" s="1"/>
  <c r="M6" i="21"/>
  <c r="AF10" i="21"/>
  <c r="O5" i="20"/>
  <c r="AE290" i="22"/>
  <c r="AE248" i="22"/>
  <c r="AD10" i="19"/>
  <c r="U10" i="19"/>
  <c r="U5" i="19" s="1"/>
  <c r="AC12" i="19"/>
  <c r="AL52" i="19"/>
  <c r="AF15" i="19"/>
  <c r="AF11" i="19" s="1"/>
  <c r="AF10" i="19" s="1"/>
  <c r="AI6" i="19"/>
  <c r="AG10" i="19"/>
  <c r="AL232" i="20"/>
  <c r="AL157" i="20" s="1"/>
  <c r="AD12" i="20"/>
  <c r="AD10" i="20" s="1"/>
  <c r="P232" i="20"/>
  <c r="P157" i="20" s="1"/>
  <c r="AC155" i="20"/>
  <c r="P155" i="20"/>
  <c r="P5" i="20" s="1"/>
  <c r="P12" i="20"/>
  <c r="P7" i="20" s="1"/>
  <c r="V7" i="20"/>
  <c r="AL15" i="20"/>
  <c r="AL11" i="20" s="1"/>
  <c r="AA19" i="20"/>
  <c r="AA10" i="20" s="1"/>
  <c r="R19" i="20"/>
  <c r="R10" i="20" s="1"/>
  <c r="V157" i="21"/>
  <c r="AI155" i="21"/>
  <c r="AC10" i="21"/>
  <c r="W6" i="21"/>
  <c r="N7" i="21"/>
  <c r="N5" i="21" s="1"/>
  <c r="J10" i="21"/>
  <c r="V157" i="22"/>
  <c r="V5" i="22" s="1"/>
  <c r="AL169" i="22"/>
  <c r="AL162" i="22" s="1"/>
  <c r="AL158" i="22" s="1"/>
  <c r="AL6" i="22" s="1"/>
  <c r="AD12" i="22"/>
  <c r="Q79" i="22"/>
  <c r="Q12" i="22" s="1"/>
  <c r="AF19" i="22"/>
  <c r="AA159" i="22"/>
  <c r="AA7" i="22" s="1"/>
  <c r="AD248" i="22"/>
  <c r="AD159" i="22" s="1"/>
  <c r="S159" i="22"/>
  <c r="S7" i="22" s="1"/>
  <c r="AA157" i="21"/>
  <c r="AA7" i="21" s="1"/>
  <c r="N5" i="22"/>
  <c r="AO157" i="22"/>
  <c r="P157" i="21"/>
  <c r="P7" i="21" s="1"/>
  <c r="L155" i="21"/>
  <c r="L12" i="20"/>
  <c r="L10" i="20" s="1"/>
  <c r="AJ6" i="21"/>
  <c r="AJ5" i="21" s="1"/>
  <c r="AJ10" i="21"/>
  <c r="AA155" i="20"/>
  <c r="AD155" i="19"/>
  <c r="AM6" i="21"/>
  <c r="Q155" i="19"/>
  <c r="V6" i="19"/>
  <c r="W8" i="21"/>
  <c r="AE6" i="20"/>
  <c r="M7" i="19"/>
  <c r="M5" i="19" s="1"/>
  <c r="AI7" i="19"/>
  <c r="AD246" i="21"/>
  <c r="AD157" i="21" s="1"/>
  <c r="AD155" i="21" s="1"/>
  <c r="AO6" i="21"/>
  <c r="AO5" i="21" s="1"/>
  <c r="AA10" i="19"/>
  <c r="AA5" i="19" s="1"/>
  <c r="AB6" i="19"/>
  <c r="AD6" i="19"/>
  <c r="S7" i="19"/>
  <c r="J10" i="22"/>
  <c r="J5" i="20"/>
  <c r="K10" i="21"/>
  <c r="K6" i="21"/>
  <c r="K5" i="21" s="1"/>
  <c r="AH155" i="21"/>
  <c r="AB8" i="20"/>
  <c r="O5" i="19"/>
  <c r="V8" i="19"/>
  <c r="Q19" i="19"/>
  <c r="AM238" i="20"/>
  <c r="AM232" i="20" s="1"/>
  <c r="AM157" i="20" s="1"/>
  <c r="AM155" i="20" s="1"/>
  <c r="R6" i="22"/>
  <c r="AM82" i="22"/>
  <c r="AM79" i="22" s="1"/>
  <c r="AM12" i="22" s="1"/>
  <c r="AE159" i="22"/>
  <c r="AE157" i="22" s="1"/>
  <c r="AE157" i="21"/>
  <c r="AE7" i="21" s="1"/>
  <c r="AE5" i="21" s="1"/>
  <c r="AG7" i="22"/>
  <c r="AO5" i="22"/>
  <c r="AC6" i="22"/>
  <c r="AC10" i="22"/>
  <c r="M8" i="22"/>
  <c r="AE12" i="22"/>
  <c r="AG157" i="19"/>
  <c r="AG7" i="19" s="1"/>
  <c r="K5" i="22"/>
  <c r="AL167" i="20"/>
  <c r="AL160" i="20" s="1"/>
  <c r="AL156" i="20" s="1"/>
  <c r="AA7" i="20"/>
  <c r="U79" i="20"/>
  <c r="U12" i="20" s="1"/>
  <c r="U7" i="20" s="1"/>
  <c r="W12" i="20"/>
  <c r="W7" i="20" s="1"/>
  <c r="AK15" i="20"/>
  <c r="AK11" i="20" s="1"/>
  <c r="AM155" i="21"/>
  <c r="AF6" i="21"/>
  <c r="S7" i="21"/>
  <c r="W12" i="21"/>
  <c r="W7" i="21" s="1"/>
  <c r="L10" i="21"/>
  <c r="Y10" i="21"/>
  <c r="V159" i="22"/>
  <c r="P12" i="22"/>
  <c r="P7" i="22" s="1"/>
  <c r="Y12" i="22"/>
  <c r="Y7" i="22" s="1"/>
  <c r="U7" i="22"/>
  <c r="Q157" i="22"/>
  <c r="Q5" i="22" s="1"/>
  <c r="T10" i="22"/>
  <c r="AB10" i="22"/>
  <c r="AH12" i="22"/>
  <c r="T157" i="21"/>
  <c r="N10" i="22"/>
  <c r="AI157" i="20"/>
  <c r="AI155" i="20" s="1"/>
  <c r="AH10" i="22"/>
  <c r="AH6" i="22"/>
  <c r="K155" i="21"/>
  <c r="AG10" i="21"/>
  <c r="Q155" i="20"/>
  <c r="O155" i="20"/>
  <c r="L12" i="22"/>
  <c r="AG10" i="22"/>
  <c r="T157" i="19"/>
  <c r="T7" i="19" s="1"/>
  <c r="O7" i="21"/>
  <c r="O5" i="21" s="1"/>
  <c r="AF157" i="20"/>
  <c r="Y158" i="19"/>
  <c r="Y8" i="19" s="1"/>
  <c r="Y7" i="19"/>
  <c r="AH7" i="21"/>
  <c r="AH5" i="21" s="1"/>
  <c r="O10" i="21"/>
  <c r="M12" i="20"/>
  <c r="R8" i="20"/>
  <c r="P5" i="22"/>
  <c r="AF30" i="20"/>
  <c r="AF17" i="20" s="1"/>
  <c r="AF13" i="20" s="1"/>
  <c r="AF8" i="20" s="1"/>
  <c r="AO10" i="21"/>
  <c r="AH155" i="19"/>
  <c r="AO7" i="19"/>
  <c r="AO5" i="19" s="1"/>
  <c r="M10" i="19"/>
  <c r="AD7" i="19"/>
  <c r="AN7" i="19"/>
  <c r="AN5" i="19" s="1"/>
  <c r="Y5" i="22"/>
  <c r="AD10" i="22"/>
  <c r="AG157" i="22"/>
  <c r="AG6" i="22"/>
  <c r="AL210" i="22"/>
  <c r="AL207" i="22" s="1"/>
  <c r="AK207" i="22"/>
  <c r="AK159" i="22" s="1"/>
  <c r="AF10" i="22"/>
  <c r="AF6" i="22"/>
  <c r="AF5" i="22" s="1"/>
  <c r="AF157" i="22"/>
  <c r="T248" i="22"/>
  <c r="T159" i="22" s="1"/>
  <c r="T7" i="22" s="1"/>
  <c r="W5" i="22"/>
  <c r="R5" i="22"/>
  <c r="AM10" i="22"/>
  <c r="T5" i="22"/>
  <c r="AA6" i="22"/>
  <c r="AL140" i="22"/>
  <c r="AL129" i="22" s="1"/>
  <c r="AK129" i="22"/>
  <c r="AI157" i="22"/>
  <c r="AI7" i="22"/>
  <c r="AI5" i="22" s="1"/>
  <c r="AK65" i="22"/>
  <c r="AL68" i="22"/>
  <c r="AL65" i="22" s="1"/>
  <c r="AN157" i="22"/>
  <c r="AN7" i="22"/>
  <c r="AN5" i="22" s="1"/>
  <c r="AJ157" i="22"/>
  <c r="AJ7" i="22"/>
  <c r="AJ5" i="22" s="1"/>
  <c r="AH157" i="22"/>
  <c r="AH7" i="22"/>
  <c r="AH5" i="22" s="1"/>
  <c r="AK6" i="22"/>
  <c r="AK157" i="22"/>
  <c r="Y6" i="22"/>
  <c r="AA5" i="22"/>
  <c r="R5" i="21"/>
  <c r="R246" i="21"/>
  <c r="R157" i="21" s="1"/>
  <c r="R7" i="21" s="1"/>
  <c r="W5" i="21"/>
  <c r="U5" i="21"/>
  <c r="AL208" i="21"/>
  <c r="AL205" i="21" s="1"/>
  <c r="AK205" i="21"/>
  <c r="AG155" i="21"/>
  <c r="AG6" i="21"/>
  <c r="AG5" i="21" s="1"/>
  <c r="AL138" i="21"/>
  <c r="AL129" i="21" s="1"/>
  <c r="AL12" i="21" s="1"/>
  <c r="AK129" i="21"/>
  <c r="AK12" i="21" s="1"/>
  <c r="AL238" i="21"/>
  <c r="AL232" i="21" s="1"/>
  <c r="AK232" i="21"/>
  <c r="AK6" i="21"/>
  <c r="V155" i="21"/>
  <c r="V5" i="21" s="1"/>
  <c r="Q7" i="21"/>
  <c r="Y5" i="21"/>
  <c r="AL6" i="21"/>
  <c r="S5" i="21"/>
  <c r="AC5" i="21"/>
  <c r="AK232" i="20"/>
  <c r="AK157" i="20" s="1"/>
  <c r="AK155" i="20" s="1"/>
  <c r="N155" i="20"/>
  <c r="AD7" i="20"/>
  <c r="AD5" i="20" s="1"/>
  <c r="Q19" i="20"/>
  <c r="Q17" i="20"/>
  <c r="Q13" i="20" s="1"/>
  <c r="Q8" i="20" s="1"/>
  <c r="AF155" i="20"/>
  <c r="AF6" i="20"/>
  <c r="AJ12" i="20"/>
  <c r="AF12" i="20"/>
  <c r="AE7" i="20"/>
  <c r="AE5" i="20" s="1"/>
  <c r="AC7" i="20"/>
  <c r="AC5" i="20" s="1"/>
  <c r="X5" i="20"/>
  <c r="T10" i="20"/>
  <c r="W10" i="20"/>
  <c r="W5" i="20" s="1"/>
  <c r="AM12" i="20"/>
  <c r="Y10" i="20"/>
  <c r="Y5" i="20" s="1"/>
  <c r="R5" i="20"/>
  <c r="R6" i="20"/>
  <c r="T260" i="20"/>
  <c r="T155" i="20" s="1"/>
  <c r="T246" i="20"/>
  <c r="T157" i="20" s="1"/>
  <c r="T7" i="20" s="1"/>
  <c r="AK79" i="20"/>
  <c r="AL86" i="20"/>
  <c r="AL79" i="20" s="1"/>
  <c r="AL138" i="20"/>
  <c r="AL129" i="20" s="1"/>
  <c r="AK129" i="20"/>
  <c r="U19" i="20"/>
  <c r="U10" i="20" s="1"/>
  <c r="U5" i="20" s="1"/>
  <c r="U17" i="20"/>
  <c r="U13" i="20" s="1"/>
  <c r="U8" i="20" s="1"/>
  <c r="AG6" i="20"/>
  <c r="AG5" i="20" s="1"/>
  <c r="AG155" i="20"/>
  <c r="AK6" i="20"/>
  <c r="AH12" i="20"/>
  <c r="AM10" i="20"/>
  <c r="X6" i="20"/>
  <c r="T6" i="20"/>
  <c r="S5" i="20"/>
  <c r="AG10" i="20"/>
  <c r="Q12" i="20"/>
  <c r="Y12" i="20"/>
  <c r="Y7" i="20" s="1"/>
  <c r="AE7" i="19"/>
  <c r="AE5" i="19" s="1"/>
  <c r="AE10" i="19"/>
  <c r="AC7" i="19"/>
  <c r="AC10" i="19"/>
  <c r="AL68" i="19"/>
  <c r="AL65" i="19" s="1"/>
  <c r="AK65" i="19"/>
  <c r="AL86" i="19"/>
  <c r="AL79" i="19" s="1"/>
  <c r="AK79" i="19"/>
  <c r="AL15" i="19"/>
  <c r="AL11" i="19" s="1"/>
  <c r="V79" i="19"/>
  <c r="V12" i="19" s="1"/>
  <c r="V7" i="19" s="1"/>
  <c r="Y5" i="19"/>
  <c r="T10" i="19"/>
  <c r="T5" i="19" s="1"/>
  <c r="AL208" i="19"/>
  <c r="AL205" i="19" s="1"/>
  <c r="AK205" i="19"/>
  <c r="J79" i="19"/>
  <c r="J12" i="19" s="1"/>
  <c r="L12" i="19"/>
  <c r="AL238" i="19"/>
  <c r="AL232" i="19" s="1"/>
  <c r="AK232" i="19"/>
  <c r="U79" i="19"/>
  <c r="U12" i="19" s="1"/>
  <c r="U7" i="19" s="1"/>
  <c r="V155" i="19"/>
  <c r="V5" i="19" s="1"/>
  <c r="AM12" i="19"/>
  <c r="AM10" i="19" s="1"/>
  <c r="AK15" i="19"/>
  <c r="AK11" i="19" s="1"/>
  <c r="X79" i="19"/>
  <c r="X12" i="19" s="1"/>
  <c r="X7" i="19" s="1"/>
  <c r="Y6" i="19"/>
  <c r="AG6" i="19"/>
  <c r="AD10" i="21" l="1"/>
  <c r="T7" i="21"/>
  <c r="AB5" i="19"/>
  <c r="M5" i="21"/>
  <c r="AB155" i="19"/>
  <c r="Q7" i="22"/>
  <c r="AM7" i="22" s="1"/>
  <c r="L5" i="21"/>
  <c r="AF6" i="19"/>
  <c r="AF5" i="19" s="1"/>
  <c r="AC5" i="19"/>
  <c r="Q7" i="20"/>
  <c r="AM7" i="20" s="1"/>
  <c r="AL12" i="20"/>
  <c r="AL7" i="20" s="1"/>
  <c r="L7" i="20"/>
  <c r="L5" i="20" s="1"/>
  <c r="AK10" i="21"/>
  <c r="AG155" i="19"/>
  <c r="O7" i="22"/>
  <c r="O5" i="22" s="1"/>
  <c r="AF7" i="21"/>
  <c r="AF5" i="21" s="1"/>
  <c r="AM5" i="22"/>
  <c r="AL12" i="19"/>
  <c r="AL155" i="20"/>
  <c r="AB5" i="21"/>
  <c r="Q10" i="21"/>
  <c r="Q5" i="21" s="1"/>
  <c r="AM5" i="21" s="1"/>
  <c r="AK19" i="21"/>
  <c r="AL19" i="21" s="1"/>
  <c r="AK12" i="19"/>
  <c r="AK12" i="20"/>
  <c r="AK12" i="22"/>
  <c r="AK7" i="22" s="1"/>
  <c r="AD7" i="22"/>
  <c r="AD5" i="22" s="1"/>
  <c r="AL6" i="20"/>
  <c r="AD157" i="22"/>
  <c r="V7" i="21"/>
  <c r="AG5" i="22"/>
  <c r="AI7" i="20"/>
  <c r="AI5" i="20" s="1"/>
  <c r="AI10" i="20"/>
  <c r="AE155" i="21"/>
  <c r="M5" i="22"/>
  <c r="AM7" i="21"/>
  <c r="AL12" i="22"/>
  <c r="AC5" i="22"/>
  <c r="AA5" i="20"/>
  <c r="AI5" i="19"/>
  <c r="M7" i="20"/>
  <c r="M5" i="20" s="1"/>
  <c r="M10" i="20"/>
  <c r="L7" i="22"/>
  <c r="L5" i="22" s="1"/>
  <c r="L10" i="22"/>
  <c r="AG5" i="19"/>
  <c r="V7" i="22"/>
  <c r="AE7" i="22"/>
  <c r="AE5" i="22" s="1"/>
  <c r="AE10" i="22"/>
  <c r="Q10" i="19"/>
  <c r="Q5" i="19" s="1"/>
  <c r="AM5" i="19" s="1"/>
  <c r="AK19" i="19"/>
  <c r="AL19" i="19" s="1"/>
  <c r="AD5" i="19"/>
  <c r="AB5" i="20"/>
  <c r="AL10" i="22"/>
  <c r="AK5" i="22"/>
  <c r="AL159" i="22"/>
  <c r="AL157" i="22" s="1"/>
  <c r="AL10" i="21"/>
  <c r="AL157" i="21"/>
  <c r="AL155" i="21" s="1"/>
  <c r="AK157" i="21"/>
  <c r="AK155" i="21" s="1"/>
  <c r="AK7" i="20"/>
  <c r="AK10" i="20"/>
  <c r="AJ7" i="20"/>
  <c r="AJ5" i="20" s="1"/>
  <c r="AJ10" i="20"/>
  <c r="AK5" i="20"/>
  <c r="T5" i="20"/>
  <c r="AL5" i="20"/>
  <c r="AH7" i="20"/>
  <c r="AH5" i="20" s="1"/>
  <c r="AH10" i="20"/>
  <c r="AF7" i="20"/>
  <c r="AF5" i="20" s="1"/>
  <c r="AF10" i="20"/>
  <c r="Q10" i="20"/>
  <c r="Q5" i="20" s="1"/>
  <c r="AM5" i="20" s="1"/>
  <c r="AK19" i="20"/>
  <c r="AL19" i="20" s="1"/>
  <c r="AL10" i="20"/>
  <c r="L7" i="19"/>
  <c r="L5" i="19" s="1"/>
  <c r="L10" i="19"/>
  <c r="AK157" i="19"/>
  <c r="AK155" i="19" s="1"/>
  <c r="AK10" i="19"/>
  <c r="AK6" i="19"/>
  <c r="J7" i="19"/>
  <c r="J5" i="19" s="1"/>
  <c r="J10" i="19"/>
  <c r="AL10" i="19"/>
  <c r="AL6" i="19"/>
  <c r="AL157" i="19"/>
  <c r="AL155" i="19" s="1"/>
  <c r="AK10" i="22" l="1"/>
  <c r="AL7" i="19"/>
  <c r="AL7" i="22"/>
  <c r="AL5" i="22" s="1"/>
  <c r="AK7" i="21"/>
  <c r="AK5" i="21" s="1"/>
  <c r="AL7" i="21"/>
  <c r="AL5" i="21" s="1"/>
  <c r="AL5" i="19"/>
  <c r="AK7" i="19"/>
  <c r="AK5" i="19" s="1"/>
  <c r="AB335" i="6" l="1"/>
  <c r="U335" i="6"/>
  <c r="S335" i="6"/>
  <c r="Q335" i="6" s="1"/>
  <c r="U336" i="6"/>
  <c r="AB336" i="6"/>
  <c r="T325" i="6"/>
  <c r="T322" i="6" s="1"/>
  <c r="Q325" i="6"/>
  <c r="Q322" i="6" s="1"/>
  <c r="AA322" i="6"/>
  <c r="AB334" i="6" l="1"/>
  <c r="Z335" i="6"/>
  <c r="Q294" i="18"/>
  <c r="Q293" i="18" s="1"/>
  <c r="Q289" i="18"/>
  <c r="AA295" i="18"/>
  <c r="Q295" i="18"/>
  <c r="AA294" i="18"/>
  <c r="R73" i="18"/>
  <c r="R72" i="18" s="1"/>
  <c r="S73" i="18"/>
  <c r="S72" i="18" s="1"/>
  <c r="T73" i="18"/>
  <c r="U73" i="18"/>
  <c r="U72" i="18" s="1"/>
  <c r="V73" i="18"/>
  <c r="W73" i="18"/>
  <c r="W72" i="18" s="1"/>
  <c r="X73" i="18"/>
  <c r="Y73" i="18"/>
  <c r="Y72" i="18" s="1"/>
  <c r="Z73" i="18"/>
  <c r="Z72" i="18" s="1"/>
  <c r="AA73" i="18"/>
  <c r="AA72" i="18" s="1"/>
  <c r="Q73" i="18"/>
  <c r="T72" i="18"/>
  <c r="V72" i="18"/>
  <c r="X72" i="18"/>
  <c r="AA293" i="18" l="1"/>
  <c r="Q288" i="18"/>
  <c r="J313" i="18"/>
  <c r="R312" i="18"/>
  <c r="Q312" i="18"/>
  <c r="AO311" i="18"/>
  <c r="AN311" i="18"/>
  <c r="AM311" i="18"/>
  <c r="AL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Y311" i="18"/>
  <c r="X311" i="18"/>
  <c r="W311" i="18"/>
  <c r="V311" i="18"/>
  <c r="U311" i="18"/>
  <c r="T311" i="18"/>
  <c r="S311" i="18"/>
  <c r="R311" i="18"/>
  <c r="Q311" i="18"/>
  <c r="P311" i="18"/>
  <c r="O311" i="18"/>
  <c r="N311" i="18"/>
  <c r="M311" i="18"/>
  <c r="L311" i="18"/>
  <c r="J311" i="18"/>
  <c r="J310" i="18"/>
  <c r="R309" i="18"/>
  <c r="Q309" i="18"/>
  <c r="AO308" i="18"/>
  <c r="AN308" i="18"/>
  <c r="AM308" i="18"/>
  <c r="AL308" i="18"/>
  <c r="AK308" i="18"/>
  <c r="AJ308" i="18"/>
  <c r="AI308" i="18"/>
  <c r="AH308" i="18"/>
  <c r="AG308" i="18"/>
  <c r="AF308" i="18"/>
  <c r="AE308" i="18"/>
  <c r="AD308" i="18"/>
  <c r="AC308" i="18"/>
  <c r="AB308" i="18"/>
  <c r="AA308" i="18"/>
  <c r="Y308" i="18"/>
  <c r="X308" i="18"/>
  <c r="W308" i="18"/>
  <c r="V308" i="18"/>
  <c r="U308" i="18"/>
  <c r="T308" i="18"/>
  <c r="S308" i="18"/>
  <c r="R308" i="18"/>
  <c r="Q308" i="18"/>
  <c r="P308" i="18"/>
  <c r="O308" i="18"/>
  <c r="N308" i="18"/>
  <c r="M308" i="18"/>
  <c r="L308" i="18"/>
  <c r="J308" i="18" s="1"/>
  <c r="J300" i="18"/>
  <c r="R299" i="18"/>
  <c r="Q299" i="18"/>
  <c r="AO298" i="18"/>
  <c r="AN298" i="18"/>
  <c r="AM298" i="18"/>
  <c r="AL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L298" i="18"/>
  <c r="J298" i="18" s="1"/>
  <c r="W295" i="18"/>
  <c r="AK293" i="18"/>
  <c r="AK247" i="18" s="1"/>
  <c r="AJ293" i="18"/>
  <c r="AI293" i="18"/>
  <c r="AI247" i="18" s="1"/>
  <c r="AH293" i="18"/>
  <c r="AG293" i="18"/>
  <c r="AF293" i="18"/>
  <c r="AE293" i="18"/>
  <c r="AE289" i="18" s="1"/>
  <c r="AE288" i="18" s="1"/>
  <c r="AD293" i="18"/>
  <c r="AD289" i="18" s="1"/>
  <c r="AD288" i="18" s="1"/>
  <c r="AC293" i="18"/>
  <c r="AC288" i="18" s="1"/>
  <c r="AB293" i="18"/>
  <c r="AA292" i="18"/>
  <c r="V292" i="18"/>
  <c r="Q292" i="18"/>
  <c r="P292" i="18"/>
  <c r="R290" i="18"/>
  <c r="P290" i="18" s="1"/>
  <c r="Z289" i="18"/>
  <c r="Z288" i="18" s="1"/>
  <c r="Y289" i="18"/>
  <c r="Y288" i="18" s="1"/>
  <c r="X289" i="18"/>
  <c r="W289" i="18"/>
  <c r="W288" i="18" s="1"/>
  <c r="V289" i="18"/>
  <c r="V288" i="18" s="1"/>
  <c r="U289" i="18"/>
  <c r="U288" i="18" s="1"/>
  <c r="T289" i="18"/>
  <c r="S289" i="18"/>
  <c r="S288" i="18" s="1"/>
  <c r="J289" i="18"/>
  <c r="AQ288" i="18"/>
  <c r="AO288" i="18"/>
  <c r="AN288" i="18"/>
  <c r="AL288" i="18"/>
  <c r="AK288" i="18"/>
  <c r="AJ288" i="18"/>
  <c r="AI288" i="18"/>
  <c r="AH288" i="18"/>
  <c r="AG288" i="18"/>
  <c r="AF288" i="18"/>
  <c r="AB288" i="18"/>
  <c r="AA288" i="18"/>
  <c r="X288" i="18"/>
  <c r="T288" i="18"/>
  <c r="P288" i="18"/>
  <c r="O288" i="18"/>
  <c r="N288" i="18"/>
  <c r="M288" i="18"/>
  <c r="L288" i="18"/>
  <c r="J288" i="18" s="1"/>
  <c r="J287" i="18"/>
  <c r="R286" i="18"/>
  <c r="P286" i="18" s="1"/>
  <c r="AO285" i="18"/>
  <c r="AN285" i="18"/>
  <c r="AM285" i="18"/>
  <c r="AL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Z285" i="18"/>
  <c r="Y285" i="18"/>
  <c r="X285" i="18"/>
  <c r="W285" i="18"/>
  <c r="V285" i="18"/>
  <c r="U285" i="18"/>
  <c r="T285" i="18"/>
  <c r="S285" i="18"/>
  <c r="Q285" i="18"/>
  <c r="P285" i="18"/>
  <c r="O285" i="18"/>
  <c r="N285" i="18"/>
  <c r="M285" i="18"/>
  <c r="L285" i="18"/>
  <c r="J285" i="18" s="1"/>
  <c r="J284" i="18"/>
  <c r="Q283" i="18"/>
  <c r="AA282" i="18"/>
  <c r="AA279" i="18" s="1"/>
  <c r="AA278" i="18" s="1"/>
  <c r="R282" i="18"/>
  <c r="Q282" i="18"/>
  <c r="Q281" i="18"/>
  <c r="R280" i="18"/>
  <c r="P280" i="18" s="1"/>
  <c r="Q280" i="18"/>
  <c r="AJ279" i="18"/>
  <c r="AJ278" i="18" s="1"/>
  <c r="AI279" i="18"/>
  <c r="AI278" i="18" s="1"/>
  <c r="AH279" i="18"/>
  <c r="AH278" i="18" s="1"/>
  <c r="AG279" i="18"/>
  <c r="AG278" i="18" s="1"/>
  <c r="AF279" i="18"/>
  <c r="AF278" i="18" s="1"/>
  <c r="AE279" i="18"/>
  <c r="AE278" i="18" s="1"/>
  <c r="AD279" i="18"/>
  <c r="AD278" i="18" s="1"/>
  <c r="AC279" i="18"/>
  <c r="AB279" i="18"/>
  <c r="AB278" i="18" s="1"/>
  <c r="Y279" i="18"/>
  <c r="Y278" i="18" s="1"/>
  <c r="W279" i="18"/>
  <c r="V279" i="18"/>
  <c r="V278" i="18" s="1"/>
  <c r="U279" i="18"/>
  <c r="U278" i="18" s="1"/>
  <c r="T279" i="18"/>
  <c r="S279" i="18"/>
  <c r="R279" i="18"/>
  <c r="R278" i="18" s="1"/>
  <c r="J279" i="18"/>
  <c r="AO278" i="18"/>
  <c r="AN278" i="18"/>
  <c r="AC278" i="18"/>
  <c r="X278" i="18"/>
  <c r="W278" i="18"/>
  <c r="T278" i="18"/>
  <c r="S278" i="18"/>
  <c r="P278" i="18"/>
  <c r="O278" i="18"/>
  <c r="N278" i="18"/>
  <c r="M278" i="18"/>
  <c r="L278" i="18"/>
  <c r="J278" i="18" s="1"/>
  <c r="J277" i="18"/>
  <c r="AA276" i="18"/>
  <c r="T276" i="18"/>
  <c r="P276" i="18" s="1"/>
  <c r="Q276" i="18"/>
  <c r="AF275" i="18"/>
  <c r="AF274" i="18" s="1"/>
  <c r="AF273" i="18" s="1"/>
  <c r="T275" i="18"/>
  <c r="Q275" i="18"/>
  <c r="AJ274" i="18"/>
  <c r="AJ273" i="18" s="1"/>
  <c r="AI274" i="18"/>
  <c r="AH274" i="18"/>
  <c r="AH273" i="18" s="1"/>
  <c r="AG274" i="18"/>
  <c r="AG273" i="18" s="1"/>
  <c r="AE274" i="18"/>
  <c r="AE273" i="18" s="1"/>
  <c r="AD274" i="18"/>
  <c r="AD273" i="18" s="1"/>
  <c r="AC274" i="18"/>
  <c r="AB274" i="18"/>
  <c r="AB273" i="18" s="1"/>
  <c r="AA274" i="18"/>
  <c r="AA273" i="18" s="1"/>
  <c r="Y274" i="18"/>
  <c r="Y273" i="18" s="1"/>
  <c r="W274" i="18"/>
  <c r="V274" i="18"/>
  <c r="V273" i="18" s="1"/>
  <c r="U274" i="18"/>
  <c r="U273" i="18" s="1"/>
  <c r="S274" i="18"/>
  <c r="R274" i="18" s="1"/>
  <c r="R273" i="18" s="1"/>
  <c r="AO273" i="18"/>
  <c r="AN273" i="18"/>
  <c r="AM273" i="18"/>
  <c r="AK273" i="18"/>
  <c r="AL273" i="18" s="1"/>
  <c r="AI273" i="18"/>
  <c r="AC273" i="18"/>
  <c r="X273" i="18"/>
  <c r="W273" i="18"/>
  <c r="S273" i="18"/>
  <c r="O273" i="18"/>
  <c r="N273" i="18"/>
  <c r="M273" i="18"/>
  <c r="L273" i="18"/>
  <c r="J273" i="18" s="1"/>
  <c r="J272" i="18"/>
  <c r="AF271" i="18"/>
  <c r="AF270" i="18" s="1"/>
  <c r="AF269" i="18" s="1"/>
  <c r="AA271" i="18"/>
  <c r="U271" i="18"/>
  <c r="Q271" i="18" s="1"/>
  <c r="P271" i="18"/>
  <c r="AJ270" i="18"/>
  <c r="AJ269" i="18" s="1"/>
  <c r="AI270" i="18"/>
  <c r="AI269" i="18" s="1"/>
  <c r="AH270" i="18"/>
  <c r="AG270" i="18"/>
  <c r="AG269" i="18" s="1"/>
  <c r="AD270" i="18"/>
  <c r="AC270" i="18"/>
  <c r="AB270" i="18"/>
  <c r="AB269" i="18" s="1"/>
  <c r="Y270" i="18"/>
  <c r="Y269" i="18" s="1"/>
  <c r="X270" i="18"/>
  <c r="X269" i="18" s="1"/>
  <c r="W270" i="18"/>
  <c r="W269" i="18" s="1"/>
  <c r="V270" i="18"/>
  <c r="S270" i="18"/>
  <c r="S269" i="18" s="1"/>
  <c r="R270" i="18"/>
  <c r="R269" i="18" s="1"/>
  <c r="J270" i="18"/>
  <c r="AO269" i="18"/>
  <c r="AN269" i="18"/>
  <c r="AH269" i="18"/>
  <c r="AE269" i="18"/>
  <c r="AD269" i="18"/>
  <c r="AC269" i="18"/>
  <c r="AA269" i="18"/>
  <c r="V269" i="18"/>
  <c r="Q269" i="18"/>
  <c r="P269" i="18"/>
  <c r="O269" i="18"/>
  <c r="N269" i="18"/>
  <c r="M269" i="18"/>
  <c r="L269" i="18"/>
  <c r="J269" i="18" s="1"/>
  <c r="AK267" i="18"/>
  <c r="AL267" i="18" s="1"/>
  <c r="O267" i="18"/>
  <c r="N267" i="18"/>
  <c r="M267" i="18"/>
  <c r="L267" i="18"/>
  <c r="AA266" i="18"/>
  <c r="V266" i="18"/>
  <c r="V265" i="18" s="1"/>
  <c r="Q266" i="18"/>
  <c r="AI265" i="18"/>
  <c r="AI260" i="18" s="1"/>
  <c r="AH265" i="18"/>
  <c r="AH260" i="18" s="1"/>
  <c r="AG265" i="18"/>
  <c r="AF265" i="18"/>
  <c r="AF247" i="18" s="1"/>
  <c r="AE265" i="18"/>
  <c r="AD265" i="18"/>
  <c r="AD247" i="18" s="1"/>
  <c r="AC265" i="18"/>
  <c r="AB265" i="18"/>
  <c r="AB247" i="18" s="1"/>
  <c r="Y265" i="18"/>
  <c r="X265" i="18"/>
  <c r="X247" i="18" s="1"/>
  <c r="W265" i="18"/>
  <c r="W247" i="18" s="1"/>
  <c r="U265" i="18"/>
  <c r="U247" i="18" s="1"/>
  <c r="T265" i="18"/>
  <c r="S265" i="18"/>
  <c r="S247" i="18" s="1"/>
  <c r="R265" i="18"/>
  <c r="R247" i="18" s="1"/>
  <c r="AA263" i="18"/>
  <c r="T263" i="18"/>
  <c r="Q263" i="18"/>
  <c r="AA262" i="18"/>
  <c r="T262" i="18"/>
  <c r="R262" i="18"/>
  <c r="Q262" i="18"/>
  <c r="AE261" i="18"/>
  <c r="AD261" i="18"/>
  <c r="AC261" i="18"/>
  <c r="AB261" i="18"/>
  <c r="Y261" i="18"/>
  <c r="Y260" i="18" s="1"/>
  <c r="X261" i="18"/>
  <c r="X260" i="18" s="1"/>
  <c r="W261" i="18"/>
  <c r="V261" i="18"/>
  <c r="U261" i="18"/>
  <c r="S261" i="18"/>
  <c r="R261" i="18"/>
  <c r="AQ260" i="18"/>
  <c r="AG260" i="18"/>
  <c r="AF260" i="18"/>
  <c r="AA260" i="18"/>
  <c r="Z260" i="18"/>
  <c r="R260" i="18"/>
  <c r="Q260" i="18"/>
  <c r="P260" i="18"/>
  <c r="O260" i="18"/>
  <c r="N260" i="18"/>
  <c r="M260" i="18"/>
  <c r="L260" i="18"/>
  <c r="J260" i="18" s="1"/>
  <c r="AF259" i="18"/>
  <c r="AF258" i="18" s="1"/>
  <c r="AF257" i="18" s="1"/>
  <c r="AA259" i="18"/>
  <c r="AA258" i="18" s="1"/>
  <c r="AA257" i="18" s="1"/>
  <c r="V259" i="18"/>
  <c r="R259" i="18"/>
  <c r="Q259" i="18"/>
  <c r="Q258" i="18" s="1"/>
  <c r="Q257" i="18" s="1"/>
  <c r="AO258" i="18"/>
  <c r="AN258" i="18"/>
  <c r="AN257" i="18" s="1"/>
  <c r="AM258" i="18"/>
  <c r="AM257" i="18" s="1"/>
  <c r="AL258" i="18"/>
  <c r="AL257" i="18" s="1"/>
  <c r="AK258" i="18"/>
  <c r="AK257" i="18" s="1"/>
  <c r="AJ258" i="18"/>
  <c r="AJ257" i="18" s="1"/>
  <c r="AI258" i="18"/>
  <c r="AI257" i="18" s="1"/>
  <c r="AH258" i="18"/>
  <c r="AH257" i="18" s="1"/>
  <c r="AG258" i="18"/>
  <c r="AG257" i="18" s="1"/>
  <c r="AE258" i="18"/>
  <c r="AE257" i="18" s="1"/>
  <c r="AD258" i="18"/>
  <c r="AD257" i="18" s="1"/>
  <c r="AC258" i="18"/>
  <c r="AC257" i="18" s="1"/>
  <c r="AB258" i="18"/>
  <c r="AB257" i="18" s="1"/>
  <c r="Y258" i="18"/>
  <c r="Y257" i="18" s="1"/>
  <c r="W258" i="18"/>
  <c r="V258" i="18"/>
  <c r="V257" i="18" s="1"/>
  <c r="U258" i="18"/>
  <c r="U257" i="18" s="1"/>
  <c r="T258" i="18"/>
  <c r="S258" i="18"/>
  <c r="R258" i="18"/>
  <c r="R257" i="18" s="1"/>
  <c r="AO257" i="18"/>
  <c r="X257" i="18"/>
  <c r="W257" i="18"/>
  <c r="T257" i="18"/>
  <c r="S257" i="18"/>
  <c r="P257" i="18"/>
  <c r="M257" i="18"/>
  <c r="L257" i="18"/>
  <c r="J257" i="18" s="1"/>
  <c r="AA255" i="18"/>
  <c r="X255" i="18"/>
  <c r="X253" i="18" s="1"/>
  <c r="X252" i="18" s="1"/>
  <c r="V255" i="18"/>
  <c r="V253" i="18" s="1"/>
  <c r="V252" i="18" s="1"/>
  <c r="Q255" i="18"/>
  <c r="AA254" i="18"/>
  <c r="AA253" i="18" s="1"/>
  <c r="AA252" i="18" s="1"/>
  <c r="Q254" i="18"/>
  <c r="AE253" i="18"/>
  <c r="AD253" i="18"/>
  <c r="AD252" i="18" s="1"/>
  <c r="AC253" i="18"/>
  <c r="AC252" i="18" s="1"/>
  <c r="AB253" i="18"/>
  <c r="AB252" i="18" s="1"/>
  <c r="Y253" i="18"/>
  <c r="W253" i="18"/>
  <c r="W252" i="18" s="1"/>
  <c r="W246" i="18" s="1"/>
  <c r="U253" i="18"/>
  <c r="T253" i="18"/>
  <c r="T252" i="18" s="1"/>
  <c r="S253" i="18"/>
  <c r="R253" i="18"/>
  <c r="R252" i="18" s="1"/>
  <c r="AO252" i="18"/>
  <c r="AN252" i="18"/>
  <c r="AM252" i="18"/>
  <c r="AL252" i="18"/>
  <c r="AK252" i="18"/>
  <c r="AJ252" i="18"/>
  <c r="AI252" i="18"/>
  <c r="AH252" i="18"/>
  <c r="AG252" i="18"/>
  <c r="AF252" i="18"/>
  <c r="AE252" i="18"/>
  <c r="Y252" i="18"/>
  <c r="U252" i="18"/>
  <c r="S252" i="18"/>
  <c r="P252" i="18"/>
  <c r="O252" i="18"/>
  <c r="N252" i="18"/>
  <c r="M252" i="18"/>
  <c r="L252" i="18"/>
  <c r="AA251" i="18"/>
  <c r="AA250" i="18" s="1"/>
  <c r="Q251" i="18"/>
  <c r="Q250" i="18" s="1"/>
  <c r="AI250" i="18"/>
  <c r="AI249" i="18" s="1"/>
  <c r="AH250" i="18"/>
  <c r="AH249" i="18" s="1"/>
  <c r="AG250" i="18"/>
  <c r="AG249" i="18" s="1"/>
  <c r="AF250" i="18"/>
  <c r="AF249" i="18" s="1"/>
  <c r="AE250" i="18"/>
  <c r="AE249" i="18" s="1"/>
  <c r="AD250" i="18"/>
  <c r="AD249" i="18" s="1"/>
  <c r="AC250" i="18"/>
  <c r="AB250" i="18"/>
  <c r="AB249" i="18" s="1"/>
  <c r="Y250" i="18"/>
  <c r="X250" i="18"/>
  <c r="X249" i="18" s="1"/>
  <c r="W250" i="18"/>
  <c r="V250" i="18"/>
  <c r="V249" i="18" s="1"/>
  <c r="U250" i="18"/>
  <c r="U249" i="18" s="1"/>
  <c r="T250" i="18"/>
  <c r="T249" i="18" s="1"/>
  <c r="S250" i="18"/>
  <c r="S249" i="18" s="1"/>
  <c r="R250" i="18"/>
  <c r="R249" i="18" s="1"/>
  <c r="AO249" i="18"/>
  <c r="AN249" i="18"/>
  <c r="AN246" i="18" s="1"/>
  <c r="AM249" i="18"/>
  <c r="AL249" i="18"/>
  <c r="AK249" i="18"/>
  <c r="AJ249" i="18"/>
  <c r="AC249" i="18"/>
  <c r="Y249" i="18"/>
  <c r="W249" i="18"/>
  <c r="O249" i="18"/>
  <c r="N249" i="18"/>
  <c r="N246" i="18" s="1"/>
  <c r="M249" i="18"/>
  <c r="L249" i="18"/>
  <c r="L248" i="18"/>
  <c r="AM247" i="18"/>
  <c r="AL247" i="18"/>
  <c r="AJ247" i="18"/>
  <c r="AE247" i="18"/>
  <c r="AA247" i="18"/>
  <c r="Y247" i="18"/>
  <c r="T247" i="18"/>
  <c r="Q247" i="18"/>
  <c r="P247" i="18"/>
  <c r="O247" i="18"/>
  <c r="N247" i="18"/>
  <c r="M247" i="18"/>
  <c r="L247" i="18"/>
  <c r="K246" i="18"/>
  <c r="L245" i="18"/>
  <c r="AO243" i="18"/>
  <c r="AN243" i="18"/>
  <c r="AM243" i="18"/>
  <c r="AL243" i="18"/>
  <c r="AK243" i="18"/>
  <c r="AG243" i="18"/>
  <c r="AF243" i="18"/>
  <c r="AE243" i="18"/>
  <c r="AD243" i="18"/>
  <c r="AC243" i="18"/>
  <c r="AB243" i="18"/>
  <c r="Y243" i="18"/>
  <c r="Y242" i="18" s="1"/>
  <c r="X243" i="18"/>
  <c r="X242" i="18" s="1"/>
  <c r="W243" i="18"/>
  <c r="V243" i="18"/>
  <c r="U243" i="18"/>
  <c r="U242" i="18" s="1"/>
  <c r="T243" i="18"/>
  <c r="T242" i="18" s="1"/>
  <c r="S243" i="18"/>
  <c r="S242" i="18" s="1"/>
  <c r="R243" i="18"/>
  <c r="O243" i="18"/>
  <c r="L243" i="18" s="1"/>
  <c r="L242" i="18" s="1"/>
  <c r="AO242" i="18"/>
  <c r="AN242" i="18"/>
  <c r="AJ242" i="18"/>
  <c r="AI242" i="18"/>
  <c r="AH242" i="18"/>
  <c r="AG242" i="18"/>
  <c r="AF242" i="18"/>
  <c r="AE242" i="18"/>
  <c r="AD242" i="18"/>
  <c r="AC242" i="18"/>
  <c r="AB242" i="18"/>
  <c r="AA242" i="18"/>
  <c r="Z242" i="18"/>
  <c r="W242" i="18"/>
  <c r="V242" i="18"/>
  <c r="R242" i="18"/>
  <c r="Q242" i="18"/>
  <c r="P242" i="18"/>
  <c r="AK242" i="18" s="1"/>
  <c r="AL242" i="18" s="1"/>
  <c r="N242" i="18"/>
  <c r="M242" i="18"/>
  <c r="R240" i="18"/>
  <c r="P240" i="18" s="1"/>
  <c r="P239" i="18" s="1"/>
  <c r="P238" i="18" s="1"/>
  <c r="L240" i="18"/>
  <c r="AO239" i="18"/>
  <c r="AN239" i="18"/>
  <c r="AM239" i="18"/>
  <c r="AL239" i="18"/>
  <c r="AK239" i="18"/>
  <c r="AG239" i="18"/>
  <c r="AG238" i="18" s="1"/>
  <c r="AF239" i="18"/>
  <c r="AF238" i="18" s="1"/>
  <c r="AE239" i="18"/>
  <c r="AE238" i="18" s="1"/>
  <c r="AE232" i="18" s="1"/>
  <c r="AD239" i="18"/>
  <c r="AC239" i="18"/>
  <c r="AC238" i="18" s="1"/>
  <c r="AC232" i="18" s="1"/>
  <c r="AB239" i="18"/>
  <c r="AB238" i="18" s="1"/>
  <c r="AB232" i="18" s="1"/>
  <c r="AA239" i="18"/>
  <c r="AA238" i="18" s="1"/>
  <c r="AA232" i="18" s="1"/>
  <c r="Y239" i="18"/>
  <c r="X239" i="18"/>
  <c r="X238" i="18" s="1"/>
  <c r="X232" i="18" s="1"/>
  <c r="W239" i="18"/>
  <c r="V239" i="18"/>
  <c r="V238" i="18" s="1"/>
  <c r="V232" i="18" s="1"/>
  <c r="U239" i="18"/>
  <c r="T239" i="18"/>
  <c r="T238" i="18" s="1"/>
  <c r="T232" i="18" s="1"/>
  <c r="S239" i="18"/>
  <c r="R239" i="18"/>
  <c r="R238" i="18" s="1"/>
  <c r="R232" i="18" s="1"/>
  <c r="Q239" i="18"/>
  <c r="O239" i="18"/>
  <c r="L239" i="18" s="1"/>
  <c r="L238" i="18" s="1"/>
  <c r="L232" i="18" s="1"/>
  <c r="AO238" i="18"/>
  <c r="AN238" i="18"/>
  <c r="AJ238" i="18"/>
  <c r="AJ232" i="18" s="1"/>
  <c r="AI238" i="18"/>
  <c r="AI232" i="18" s="1"/>
  <c r="AH238" i="18"/>
  <c r="AH232" i="18" s="1"/>
  <c r="AD238" i="18"/>
  <c r="AD232" i="18" s="1"/>
  <c r="Z238" i="18"/>
  <c r="Y238" i="18"/>
  <c r="Y232" i="18" s="1"/>
  <c r="W238" i="18"/>
  <c r="W232" i="18" s="1"/>
  <c r="U238" i="18"/>
  <c r="U232" i="18" s="1"/>
  <c r="S238" i="18"/>
  <c r="S232" i="18" s="1"/>
  <c r="Q238" i="18"/>
  <c r="N238" i="18"/>
  <c r="N232" i="18" s="1"/>
  <c r="M238" i="18"/>
  <c r="AO235" i="18"/>
  <c r="AN235" i="18"/>
  <c r="AM235" i="18"/>
  <c r="AL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L234" i="18"/>
  <c r="L233" i="18"/>
  <c r="M232" i="18"/>
  <c r="K232" i="18"/>
  <c r="L231" i="18"/>
  <c r="AO229" i="18"/>
  <c r="AN229" i="18"/>
  <c r="AM229" i="18"/>
  <c r="AL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Y229" i="18"/>
  <c r="X229" i="18"/>
  <c r="W229" i="18"/>
  <c r="V229" i="18"/>
  <c r="U229" i="18"/>
  <c r="T229" i="18"/>
  <c r="S229" i="18"/>
  <c r="R229" i="18"/>
  <c r="Q229" i="18"/>
  <c r="P229" i="18"/>
  <c r="O229" i="18"/>
  <c r="N229" i="18"/>
  <c r="M229" i="18"/>
  <c r="L229" i="18"/>
  <c r="AO227" i="18"/>
  <c r="AN227" i="18"/>
  <c r="AM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AO225" i="18"/>
  <c r="AN225" i="18"/>
  <c r="AM225" i="18"/>
  <c r="AL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Q224" i="18"/>
  <c r="Q223" i="18"/>
  <c r="Q222" i="18"/>
  <c r="Q221" i="18"/>
  <c r="AJ220" i="18"/>
  <c r="AJ219" i="18" s="1"/>
  <c r="AI220" i="18"/>
  <c r="AI219" i="18" s="1"/>
  <c r="AH220" i="18"/>
  <c r="AG220" i="18"/>
  <c r="AG219" i="18" s="1"/>
  <c r="AF220" i="18"/>
  <c r="AF219" i="18" s="1"/>
  <c r="AE220" i="18"/>
  <c r="AE219" i="18" s="1"/>
  <c r="AD220" i="18"/>
  <c r="AD219" i="18" s="1"/>
  <c r="AC220" i="18"/>
  <c r="AC219" i="18" s="1"/>
  <c r="AB220" i="18"/>
  <c r="AB219" i="18" s="1"/>
  <c r="AA220" i="18"/>
  <c r="AA219" i="18" s="1"/>
  <c r="Y220" i="18"/>
  <c r="Y219" i="18" s="1"/>
  <c r="W220" i="18"/>
  <c r="W219" i="18" s="1"/>
  <c r="V220" i="18"/>
  <c r="V219" i="18" s="1"/>
  <c r="U220" i="18"/>
  <c r="U219" i="18" s="1"/>
  <c r="T220" i="18"/>
  <c r="T219" i="18" s="1"/>
  <c r="S220" i="18"/>
  <c r="S219" i="18" s="1"/>
  <c r="R220" i="18"/>
  <c r="R219" i="18" s="1"/>
  <c r="AO219" i="18"/>
  <c r="AN219" i="18"/>
  <c r="AM219" i="18"/>
  <c r="AL219" i="18"/>
  <c r="AK219" i="18"/>
  <c r="AH219" i="18"/>
  <c r="X219" i="18"/>
  <c r="P219" i="18"/>
  <c r="O219" i="18"/>
  <c r="N219" i="18"/>
  <c r="M219" i="18"/>
  <c r="L219" i="18"/>
  <c r="L205" i="18" s="1"/>
  <c r="Q218" i="18"/>
  <c r="Q217" i="18"/>
  <c r="Q216" i="18"/>
  <c r="Q215" i="18"/>
  <c r="AO214" i="18"/>
  <c r="AO213" i="18" s="1"/>
  <c r="AN214" i="18"/>
  <c r="AM214" i="18"/>
  <c r="AM213" i="18" s="1"/>
  <c r="AL214" i="18"/>
  <c r="AK214" i="18"/>
  <c r="AK213" i="18" s="1"/>
  <c r="AJ214" i="18"/>
  <c r="AI214" i="18"/>
  <c r="AI213" i="18" s="1"/>
  <c r="AH214" i="18"/>
  <c r="AH213" i="18" s="1"/>
  <c r="AG214" i="18"/>
  <c r="AG213" i="18" s="1"/>
  <c r="AF214" i="18"/>
  <c r="AE214" i="18"/>
  <c r="AE213" i="18" s="1"/>
  <c r="AD214" i="18"/>
  <c r="AD213" i="18" s="1"/>
  <c r="AC214" i="18"/>
  <c r="AC213" i="18" s="1"/>
  <c r="AB214" i="18"/>
  <c r="AA214" i="18"/>
  <c r="AA213" i="18" s="1"/>
  <c r="Y214" i="18"/>
  <c r="Y213" i="18" s="1"/>
  <c r="W214" i="18"/>
  <c r="W213" i="18" s="1"/>
  <c r="V214" i="18"/>
  <c r="U214" i="18"/>
  <c r="U213" i="18" s="1"/>
  <c r="T214" i="18"/>
  <c r="T213" i="18" s="1"/>
  <c r="S214" i="18"/>
  <c r="S213" i="18" s="1"/>
  <c r="R214" i="18"/>
  <c r="AN213" i="18"/>
  <c r="AL213" i="18"/>
  <c r="AJ213" i="18"/>
  <c r="AF213" i="18"/>
  <c r="AB213" i="18"/>
  <c r="X213" i="18"/>
  <c r="V213" i="18"/>
  <c r="R213" i="18"/>
  <c r="P213" i="18"/>
  <c r="O213" i="18"/>
  <c r="N213" i="18"/>
  <c r="M213" i="18"/>
  <c r="L213" i="18"/>
  <c r="AF211" i="18"/>
  <c r="AF209" i="18" s="1"/>
  <c r="AA211" i="18"/>
  <c r="U211" i="18"/>
  <c r="AA210" i="18"/>
  <c r="V210" i="18"/>
  <c r="Q210" i="18" s="1"/>
  <c r="AO209" i="18"/>
  <c r="AO208" i="18" s="1"/>
  <c r="AO205" i="18" s="1"/>
  <c r="AN209" i="18"/>
  <c r="AN208" i="18" s="1"/>
  <c r="AN205" i="18" s="1"/>
  <c r="AM209" i="18"/>
  <c r="AL209" i="18"/>
  <c r="AK209" i="18"/>
  <c r="AJ209" i="18"/>
  <c r="AJ208" i="18" s="1"/>
  <c r="AI209" i="18"/>
  <c r="AH209" i="18"/>
  <c r="AH208" i="18" s="1"/>
  <c r="AG209" i="18"/>
  <c r="AG208" i="18" s="1"/>
  <c r="AE209" i="18"/>
  <c r="AE208" i="18" s="1"/>
  <c r="AD209" i="18"/>
  <c r="AC209" i="18"/>
  <c r="AC208" i="18" s="1"/>
  <c r="AB209" i="18"/>
  <c r="AB208" i="18" s="1"/>
  <c r="Y209" i="18"/>
  <c r="Y208" i="18" s="1"/>
  <c r="X209" i="18"/>
  <c r="X208" i="18" s="1"/>
  <c r="W209" i="18"/>
  <c r="W208" i="18" s="1"/>
  <c r="S209" i="18"/>
  <c r="S208" i="18" s="1"/>
  <c r="R209" i="18"/>
  <c r="R208" i="18" s="1"/>
  <c r="AI208" i="18"/>
  <c r="AF208" i="18"/>
  <c r="AD208" i="18"/>
  <c r="AA208" i="18"/>
  <c r="Q208" i="18"/>
  <c r="P208" i="18"/>
  <c r="O208" i="18"/>
  <c r="N208" i="18"/>
  <c r="M208" i="18"/>
  <c r="L208" i="18"/>
  <c r="AF206" i="18"/>
  <c r="AF158" i="18" s="1"/>
  <c r="X206" i="18"/>
  <c r="X158" i="18" s="1"/>
  <c r="M206" i="18"/>
  <c r="K205" i="18"/>
  <c r="K157" i="18" s="1"/>
  <c r="J205" i="18"/>
  <c r="P201" i="18"/>
  <c r="P198" i="18"/>
  <c r="P195" i="18"/>
  <c r="AA193" i="18"/>
  <c r="X193" i="18"/>
  <c r="Q193" i="18"/>
  <c r="AA192" i="18"/>
  <c r="X192" i="18"/>
  <c r="Q192" i="18"/>
  <c r="AA191" i="18"/>
  <c r="AA190" i="18"/>
  <c r="T190" i="18"/>
  <c r="R190" i="18"/>
  <c r="Q190" i="18"/>
  <c r="X189" i="18"/>
  <c r="Q189" i="18"/>
  <c r="AJ188" i="18"/>
  <c r="AJ187" i="18" s="1"/>
  <c r="AI188" i="18"/>
  <c r="AI187" i="18" s="1"/>
  <c r="AH188" i="18"/>
  <c r="AH187" i="18" s="1"/>
  <c r="AG188" i="18"/>
  <c r="AG187" i="18" s="1"/>
  <c r="AF188" i="18"/>
  <c r="AE188" i="18"/>
  <c r="AE187" i="18" s="1"/>
  <c r="AD188" i="18"/>
  <c r="AD187" i="18" s="1"/>
  <c r="AC188" i="18"/>
  <c r="AC187" i="18" s="1"/>
  <c r="AB188" i="18"/>
  <c r="AB187" i="18" s="1"/>
  <c r="S188" i="18"/>
  <c r="S187" i="18" s="1"/>
  <c r="R188" i="18"/>
  <c r="R187" i="18" s="1"/>
  <c r="AO187" i="18"/>
  <c r="AN187" i="18"/>
  <c r="AM187" i="18"/>
  <c r="AL187" i="18"/>
  <c r="AK187" i="18"/>
  <c r="AF187" i="18"/>
  <c r="Y187" i="18"/>
  <c r="X187" i="18"/>
  <c r="W187" i="18"/>
  <c r="V187" i="18"/>
  <c r="U187" i="18"/>
  <c r="T187" i="18"/>
  <c r="Q187" i="18"/>
  <c r="P187" i="18"/>
  <c r="O187" i="18"/>
  <c r="N187" i="18"/>
  <c r="M187" i="18"/>
  <c r="L187" i="18"/>
  <c r="AA186" i="18"/>
  <c r="AA185" i="18" s="1"/>
  <c r="Q186" i="18"/>
  <c r="AG185" i="18"/>
  <c r="AF185" i="18"/>
  <c r="AE185" i="18"/>
  <c r="AD185" i="18"/>
  <c r="AC185" i="18"/>
  <c r="AB185" i="18"/>
  <c r="Y185" i="18"/>
  <c r="Y184" i="18" s="1"/>
  <c r="X185" i="18"/>
  <c r="X184" i="18" s="1"/>
  <c r="W185" i="18"/>
  <c r="W184" i="18" s="1"/>
  <c r="V185" i="18"/>
  <c r="U185" i="18"/>
  <c r="U184" i="18" s="1"/>
  <c r="T185" i="18"/>
  <c r="S185" i="18"/>
  <c r="S184" i="18" s="1"/>
  <c r="R185" i="18"/>
  <c r="R184" i="18" s="1"/>
  <c r="Q185" i="18"/>
  <c r="AO184" i="18"/>
  <c r="AN184" i="18"/>
  <c r="AM184" i="18"/>
  <c r="AL184" i="18"/>
  <c r="AK184" i="18"/>
  <c r="AJ184" i="18"/>
  <c r="AI184" i="18"/>
  <c r="AH184" i="18"/>
  <c r="AG184" i="18"/>
  <c r="AF184" i="18"/>
  <c r="AE184" i="18"/>
  <c r="AD184" i="18"/>
  <c r="AC184" i="18"/>
  <c r="AB184" i="18"/>
  <c r="V184" i="18"/>
  <c r="T184" i="18"/>
  <c r="O184" i="18"/>
  <c r="N184" i="18"/>
  <c r="M184" i="18"/>
  <c r="L184" i="18"/>
  <c r="AA183" i="18"/>
  <c r="AA181" i="18" s="1"/>
  <c r="AA180" i="18" s="1"/>
  <c r="Q183" i="18"/>
  <c r="Q180" i="18" s="1"/>
  <c r="AE181" i="18"/>
  <c r="AD181" i="18"/>
  <c r="AC181" i="18"/>
  <c r="AB181" i="18"/>
  <c r="AB180" i="18" s="1"/>
  <c r="Y181" i="18"/>
  <c r="X181" i="18"/>
  <c r="X180" i="18" s="1"/>
  <c r="W181" i="18"/>
  <c r="W180" i="18" s="1"/>
  <c r="V181" i="18"/>
  <c r="V180" i="18" s="1"/>
  <c r="U181" i="18"/>
  <c r="U180" i="18" s="1"/>
  <c r="T181" i="18"/>
  <c r="T180" i="18" s="1"/>
  <c r="AO180" i="18"/>
  <c r="AN180" i="18"/>
  <c r="AM180" i="18"/>
  <c r="AL180" i="18"/>
  <c r="AK180" i="18"/>
  <c r="AJ180" i="18"/>
  <c r="AI180" i="18"/>
  <c r="AH180" i="18"/>
  <c r="AG180" i="18"/>
  <c r="AF180" i="18"/>
  <c r="AE180" i="18"/>
  <c r="AD180" i="18"/>
  <c r="AC180" i="18"/>
  <c r="Z180" i="18"/>
  <c r="Y180" i="18"/>
  <c r="S180" i="18"/>
  <c r="R180" i="18"/>
  <c r="P180" i="18"/>
  <c r="O180" i="18"/>
  <c r="N180" i="18"/>
  <c r="M180" i="18"/>
  <c r="L180" i="18"/>
  <c r="AF179" i="18"/>
  <c r="R179" i="18"/>
  <c r="Q179" i="18"/>
  <c r="AA178" i="18"/>
  <c r="AF177" i="18"/>
  <c r="AA177" i="18"/>
  <c r="Q177" i="18"/>
  <c r="AF176" i="18"/>
  <c r="AA176" i="18"/>
  <c r="R176" i="18"/>
  <c r="Q176" i="18"/>
  <c r="AF175" i="18"/>
  <c r="Q175" i="18"/>
  <c r="AF174" i="18"/>
  <c r="Q174" i="18"/>
  <c r="AF173" i="18"/>
  <c r="R173" i="18"/>
  <c r="Q173" i="18"/>
  <c r="AO172" i="18"/>
  <c r="AO171" i="18" s="1"/>
  <c r="AN172" i="18"/>
  <c r="AN171" i="18" s="1"/>
  <c r="AM172" i="18"/>
  <c r="AL172" i="18"/>
  <c r="AK172" i="18"/>
  <c r="AH172" i="18"/>
  <c r="AH171" i="18" s="1"/>
  <c r="AG172" i="18"/>
  <c r="AE172" i="18"/>
  <c r="AE171" i="18" s="1"/>
  <c r="AD172" i="18"/>
  <c r="AD171" i="18" s="1"/>
  <c r="AC172" i="18"/>
  <c r="AC171" i="18" s="1"/>
  <c r="AB172" i="18"/>
  <c r="AB171" i="18" s="1"/>
  <c r="Y172" i="18"/>
  <c r="Y171" i="18" s="1"/>
  <c r="W172" i="18"/>
  <c r="W171" i="18" s="1"/>
  <c r="V172" i="18"/>
  <c r="V171" i="18" s="1"/>
  <c r="U172" i="18"/>
  <c r="U171" i="18" s="1"/>
  <c r="T172" i="18"/>
  <c r="T171" i="18" s="1"/>
  <c r="S172" i="18"/>
  <c r="AL171" i="18"/>
  <c r="AJ171" i="18"/>
  <c r="AI171" i="18"/>
  <c r="X171" i="18"/>
  <c r="S171" i="18"/>
  <c r="Q171" i="18"/>
  <c r="AM171" i="18" s="1"/>
  <c r="O171" i="18"/>
  <c r="N171" i="18"/>
  <c r="M171" i="18"/>
  <c r="L171" i="18"/>
  <c r="J171" i="18" s="1"/>
  <c r="J160" i="18" s="1"/>
  <c r="J156" i="18" s="1"/>
  <c r="AA169" i="18"/>
  <c r="R169" i="18"/>
  <c r="R168" i="18" s="1"/>
  <c r="R167" i="18" s="1"/>
  <c r="Q169" i="18"/>
  <c r="AG168" i="18"/>
  <c r="AG167" i="18" s="1"/>
  <c r="AF168" i="18"/>
  <c r="AF167" i="18" s="1"/>
  <c r="AE168" i="18"/>
  <c r="AD168" i="18"/>
  <c r="AD167" i="18" s="1"/>
  <c r="AC168" i="18"/>
  <c r="AB168" i="18"/>
  <c r="AB167" i="18" s="1"/>
  <c r="Y168" i="18"/>
  <c r="X168" i="18"/>
  <c r="W168" i="18"/>
  <c r="V168" i="18"/>
  <c r="V167" i="18" s="1"/>
  <c r="U168" i="18"/>
  <c r="U167" i="18" s="1"/>
  <c r="T168" i="18"/>
  <c r="T167" i="18" s="1"/>
  <c r="S168" i="18"/>
  <c r="AO167" i="18"/>
  <c r="AN167" i="18"/>
  <c r="AJ167" i="18"/>
  <c r="AI167" i="18"/>
  <c r="AH167" i="18"/>
  <c r="AE167" i="18"/>
  <c r="AC167" i="18"/>
  <c r="AA167" i="18"/>
  <c r="Y167" i="18"/>
  <c r="X167" i="18"/>
  <c r="W167" i="18"/>
  <c r="S167" i="18"/>
  <c r="Q167" i="18"/>
  <c r="P167" i="18"/>
  <c r="O167" i="18"/>
  <c r="N167" i="18"/>
  <c r="M167" i="18"/>
  <c r="L167" i="18"/>
  <c r="K167" i="18"/>
  <c r="AA166" i="18"/>
  <c r="AA165" i="18" s="1"/>
  <c r="T166" i="18"/>
  <c r="T165" i="18" s="1"/>
  <c r="T164" i="18" s="1"/>
  <c r="R166" i="18"/>
  <c r="Q166" i="18"/>
  <c r="AK165" i="18"/>
  <c r="AJ165" i="18"/>
  <c r="AJ164" i="18" s="1"/>
  <c r="AI165" i="18"/>
  <c r="AI164" i="18" s="1"/>
  <c r="AH165" i="18"/>
  <c r="AH164" i="18" s="1"/>
  <c r="AG165" i="18"/>
  <c r="AG164" i="18" s="1"/>
  <c r="AF165" i="18"/>
  <c r="AF164" i="18" s="1"/>
  <c r="AE165" i="18"/>
  <c r="AE164" i="18" s="1"/>
  <c r="AD165" i="18"/>
  <c r="AD164" i="18" s="1"/>
  <c r="AC165" i="18"/>
  <c r="AC164" i="18" s="1"/>
  <c r="AB165" i="18"/>
  <c r="AB164" i="18" s="1"/>
  <c r="Y165" i="18"/>
  <c r="Y164" i="18" s="1"/>
  <c r="X165" i="18"/>
  <c r="X164" i="18" s="1"/>
  <c r="W165" i="18"/>
  <c r="W164" i="18" s="1"/>
  <c r="V165" i="18"/>
  <c r="V164" i="18" s="1"/>
  <c r="U165" i="18"/>
  <c r="U164" i="18" s="1"/>
  <c r="S165" i="18"/>
  <c r="S164" i="18" s="1"/>
  <c r="R165" i="18"/>
  <c r="R164" i="18" s="1"/>
  <c r="Q165" i="18"/>
  <c r="AO164" i="18"/>
  <c r="AN164" i="18"/>
  <c r="AM164" i="18"/>
  <c r="AK164" i="18"/>
  <c r="AL164" i="18" s="1"/>
  <c r="O164" i="18"/>
  <c r="N164" i="18"/>
  <c r="M164" i="18"/>
  <c r="M160" i="18" s="1"/>
  <c r="M156" i="18" s="1"/>
  <c r="L164" i="18"/>
  <c r="L163" i="18"/>
  <c r="P162" i="18"/>
  <c r="N162" i="18"/>
  <c r="M162" i="18"/>
  <c r="L162" i="18"/>
  <c r="L161" i="18"/>
  <c r="K160" i="18"/>
  <c r="K156" i="18" s="1"/>
  <c r="AO159" i="18"/>
  <c r="AN159" i="18"/>
  <c r="AM159" i="18"/>
  <c r="AL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K159" i="18"/>
  <c r="J159" i="18"/>
  <c r="AO158" i="18"/>
  <c r="AN158" i="18"/>
  <c r="AM158" i="18"/>
  <c r="AL158" i="18"/>
  <c r="AK158" i="18"/>
  <c r="K158" i="18"/>
  <c r="J158" i="18"/>
  <c r="AQ155" i="18"/>
  <c r="AA151" i="18"/>
  <c r="R151" i="18"/>
  <c r="R149" i="18" s="1"/>
  <c r="R148" i="18" s="1"/>
  <c r="Q151" i="18"/>
  <c r="AA150" i="18"/>
  <c r="T150" i="18"/>
  <c r="T149" i="18" s="1"/>
  <c r="T148" i="18" s="1"/>
  <c r="Q150" i="18"/>
  <c r="AE149" i="18"/>
  <c r="AE148" i="18" s="1"/>
  <c r="AD149" i="18"/>
  <c r="AD148" i="18" s="1"/>
  <c r="AC149" i="18"/>
  <c r="AC148" i="18" s="1"/>
  <c r="AB149" i="18"/>
  <c r="AB148" i="18" s="1"/>
  <c r="Y149" i="18"/>
  <c r="Y148" i="18" s="1"/>
  <c r="X149" i="18"/>
  <c r="X148" i="18" s="1"/>
  <c r="W149" i="18"/>
  <c r="W148" i="18" s="1"/>
  <c r="V149" i="18"/>
  <c r="V148" i="18" s="1"/>
  <c r="U149" i="18"/>
  <c r="U148" i="18" s="1"/>
  <c r="S149" i="18"/>
  <c r="S148" i="18" s="1"/>
  <c r="AO148" i="18"/>
  <c r="AN148" i="18"/>
  <c r="AJ148" i="18"/>
  <c r="AI148" i="18"/>
  <c r="AH148" i="18"/>
  <c r="AG148" i="18"/>
  <c r="AF148" i="18"/>
  <c r="Q148" i="18"/>
  <c r="P148" i="18"/>
  <c r="O148" i="18"/>
  <c r="N148" i="18"/>
  <c r="M148" i="18"/>
  <c r="L148" i="18"/>
  <c r="AA146" i="18"/>
  <c r="R146" i="18"/>
  <c r="R144" i="18" s="1"/>
  <c r="R143" i="18" s="1"/>
  <c r="Q146" i="18"/>
  <c r="AA145" i="18"/>
  <c r="T145" i="18"/>
  <c r="T144" i="18" s="1"/>
  <c r="T143" i="18" s="1"/>
  <c r="Q145" i="18"/>
  <c r="AE144" i="18"/>
  <c r="AE143" i="18" s="1"/>
  <c r="AD144" i="18"/>
  <c r="AD143" i="18" s="1"/>
  <c r="AC144" i="18"/>
  <c r="AC143" i="18" s="1"/>
  <c r="AB144" i="18"/>
  <c r="AB143" i="18" s="1"/>
  <c r="Y144" i="18"/>
  <c r="Y143" i="18" s="1"/>
  <c r="X144" i="18"/>
  <c r="X143" i="18" s="1"/>
  <c r="W144" i="18"/>
  <c r="V144" i="18"/>
  <c r="V143" i="18" s="1"/>
  <c r="U144" i="18"/>
  <c r="U143" i="18" s="1"/>
  <c r="S144" i="18"/>
  <c r="S143" i="18" s="1"/>
  <c r="AO143" i="18"/>
  <c r="AN143" i="18"/>
  <c r="AJ143" i="18"/>
  <c r="AI143" i="18"/>
  <c r="AH143" i="18"/>
  <c r="AG143" i="18"/>
  <c r="AF143" i="18"/>
  <c r="W143" i="18"/>
  <c r="Q143" i="18"/>
  <c r="P143" i="18"/>
  <c r="O143" i="18"/>
  <c r="N143" i="18"/>
  <c r="M143" i="18"/>
  <c r="L143" i="18"/>
  <c r="AA141" i="18"/>
  <c r="R141" i="18"/>
  <c r="R139" i="18" s="1"/>
  <c r="R138" i="18" s="1"/>
  <c r="R129" i="18" s="1"/>
  <c r="Q141" i="18"/>
  <c r="AA140" i="18"/>
  <c r="T140" i="18"/>
  <c r="T139" i="18" s="1"/>
  <c r="T138" i="18" s="1"/>
  <c r="Q140" i="18"/>
  <c r="AE139" i="18"/>
  <c r="AE138" i="18" s="1"/>
  <c r="AD139" i="18"/>
  <c r="AD138" i="18" s="1"/>
  <c r="AC139" i="18"/>
  <c r="AC138" i="18" s="1"/>
  <c r="AB139" i="18"/>
  <c r="AB138" i="18" s="1"/>
  <c r="AB129" i="18" s="1"/>
  <c r="Y139" i="18"/>
  <c r="Y138" i="18" s="1"/>
  <c r="Y129" i="18" s="1"/>
  <c r="Y119" i="18" s="1"/>
  <c r="X139" i="18"/>
  <c r="X138" i="18" s="1"/>
  <c r="W139" i="18"/>
  <c r="W138" i="18" s="1"/>
  <c r="W129" i="18" s="1"/>
  <c r="W119" i="18" s="1"/>
  <c r="V139" i="18"/>
  <c r="V138" i="18" s="1"/>
  <c r="U139" i="18"/>
  <c r="U138" i="18" s="1"/>
  <c r="U129" i="18" s="1"/>
  <c r="S139" i="18"/>
  <c r="S138" i="18" s="1"/>
  <c r="S129" i="18" s="1"/>
  <c r="AO138" i="18"/>
  <c r="AO129" i="18" s="1"/>
  <c r="AN138" i="18"/>
  <c r="AN129" i="18" s="1"/>
  <c r="AJ138" i="18"/>
  <c r="AJ129" i="18" s="1"/>
  <c r="AJ119" i="18" s="1"/>
  <c r="AI138" i="18"/>
  <c r="AI124" i="18" s="1"/>
  <c r="AI120" i="18" s="1"/>
  <c r="AH138" i="18"/>
  <c r="AH129" i="18" s="1"/>
  <c r="AH119" i="18" s="1"/>
  <c r="AG138" i="18"/>
  <c r="AG129" i="18" s="1"/>
  <c r="AG119" i="18" s="1"/>
  <c r="AF138" i="18"/>
  <c r="AF129" i="18" s="1"/>
  <c r="AF119" i="18" s="1"/>
  <c r="Q138" i="18"/>
  <c r="P138" i="18"/>
  <c r="AK138" i="18" s="1"/>
  <c r="O138" i="18"/>
  <c r="O129" i="18" s="1"/>
  <c r="N138" i="18"/>
  <c r="N129" i="18" s="1"/>
  <c r="M138" i="18"/>
  <c r="L138" i="18"/>
  <c r="L129" i="18" s="1"/>
  <c r="AA135" i="18"/>
  <c r="Z135" i="18"/>
  <c r="Y135" i="18"/>
  <c r="X135" i="18"/>
  <c r="W135" i="18"/>
  <c r="V135" i="18"/>
  <c r="U135" i="18"/>
  <c r="T135" i="18"/>
  <c r="S135" i="18"/>
  <c r="R135" i="18"/>
  <c r="Q135" i="18"/>
  <c r="P135" i="18"/>
  <c r="AA132" i="18"/>
  <c r="Z132" i="18"/>
  <c r="Y132" i="18"/>
  <c r="X132" i="18"/>
  <c r="W132" i="18"/>
  <c r="V132" i="18"/>
  <c r="U132" i="18"/>
  <c r="T132" i="18"/>
  <c r="S132" i="18"/>
  <c r="R132" i="18"/>
  <c r="Q132" i="18"/>
  <c r="P132" i="18"/>
  <c r="L131" i="18"/>
  <c r="L130" i="18"/>
  <c r="Q129" i="18"/>
  <c r="M129" i="18"/>
  <c r="J129" i="18"/>
  <c r="L128" i="18"/>
  <c r="K128" i="18"/>
  <c r="AA127" i="18"/>
  <c r="T127" i="18"/>
  <c r="T126" i="18" s="1"/>
  <c r="T125" i="18" s="1"/>
  <c r="R127" i="18"/>
  <c r="R126" i="18" s="1"/>
  <c r="R125" i="18" s="1"/>
  <c r="Q127" i="18"/>
  <c r="Q126" i="18" s="1"/>
  <c r="AI126" i="18"/>
  <c r="AI125" i="18" s="1"/>
  <c r="AH126" i="18"/>
  <c r="AH125" i="18" s="1"/>
  <c r="AG126" i="18"/>
  <c r="AG125" i="18" s="1"/>
  <c r="AF126" i="18"/>
  <c r="AF125" i="18" s="1"/>
  <c r="AE126" i="18"/>
  <c r="AE125" i="18" s="1"/>
  <c r="AD126" i="18"/>
  <c r="AD125" i="18" s="1"/>
  <c r="AC126" i="18"/>
  <c r="AC125" i="18" s="1"/>
  <c r="AB126" i="18"/>
  <c r="AB125" i="18" s="1"/>
  <c r="AA126" i="18"/>
  <c r="AA125" i="18" s="1"/>
  <c r="Y126" i="18"/>
  <c r="Y125" i="18" s="1"/>
  <c r="X126" i="18"/>
  <c r="X125" i="18" s="1"/>
  <c r="W126" i="18"/>
  <c r="W125" i="18" s="1"/>
  <c r="V126" i="18"/>
  <c r="U126" i="18"/>
  <c r="S126" i="18"/>
  <c r="S125" i="18" s="1"/>
  <c r="AO125" i="18"/>
  <c r="AN125" i="18"/>
  <c r="AM125" i="18"/>
  <c r="AL125" i="18"/>
  <c r="AK125" i="18"/>
  <c r="AJ125" i="18"/>
  <c r="V125" i="18"/>
  <c r="U125" i="18"/>
  <c r="O125" i="18"/>
  <c r="N125" i="18"/>
  <c r="M125" i="18"/>
  <c r="L125" i="18"/>
  <c r="AH124" i="18"/>
  <c r="Y124" i="18"/>
  <c r="P124" i="18"/>
  <c r="P120" i="18" s="1"/>
  <c r="V123" i="18"/>
  <c r="U123" i="18"/>
  <c r="AA122" i="18"/>
  <c r="V122" i="18"/>
  <c r="Q122" i="18"/>
  <c r="AD121" i="18"/>
  <c r="AC121" i="18"/>
  <c r="AB121" i="18"/>
  <c r="AB120" i="18" s="1"/>
  <c r="Y121" i="18"/>
  <c r="X121" i="18"/>
  <c r="W121" i="18"/>
  <c r="V121" i="18"/>
  <c r="S121" i="18"/>
  <c r="S120" i="18" s="1"/>
  <c r="R121" i="18"/>
  <c r="R120" i="18" s="1"/>
  <c r="AO120" i="18"/>
  <c r="AN120" i="18"/>
  <c r="AM120" i="18"/>
  <c r="AL120" i="18"/>
  <c r="AH120" i="18"/>
  <c r="Q120" i="18"/>
  <c r="O120" i="18"/>
  <c r="N120" i="18"/>
  <c r="M120" i="18"/>
  <c r="L120" i="18"/>
  <c r="R118" i="18"/>
  <c r="R117" i="18" s="1"/>
  <c r="R116" i="18" s="1"/>
  <c r="Q118" i="18"/>
  <c r="AJ117" i="18"/>
  <c r="AI117" i="18"/>
  <c r="AH117" i="18"/>
  <c r="AG117" i="18"/>
  <c r="AF117" i="18"/>
  <c r="AE117" i="18"/>
  <c r="AD117" i="18"/>
  <c r="AC117" i="18"/>
  <c r="AB117" i="18"/>
  <c r="AA117" i="18"/>
  <c r="Y117" i="18"/>
  <c r="X117" i="18"/>
  <c r="W117" i="18"/>
  <c r="V117" i="18"/>
  <c r="U117" i="18"/>
  <c r="T117" i="18"/>
  <c r="S117" i="18"/>
  <c r="AO116" i="18"/>
  <c r="AN116" i="18"/>
  <c r="AL116" i="18"/>
  <c r="AJ116" i="18"/>
  <c r="AI116" i="18"/>
  <c r="AH116" i="18"/>
  <c r="AG116" i="18"/>
  <c r="AF116" i="18"/>
  <c r="AE116" i="18"/>
  <c r="AD116" i="18"/>
  <c r="AC116" i="18"/>
  <c r="AB116" i="18"/>
  <c r="AA116" i="18"/>
  <c r="Y116" i="18"/>
  <c r="X116" i="18"/>
  <c r="W116" i="18"/>
  <c r="V116" i="18"/>
  <c r="U116" i="18"/>
  <c r="T116" i="18"/>
  <c r="S116" i="18"/>
  <c r="Q116" i="18"/>
  <c r="P116" i="18"/>
  <c r="O116" i="18"/>
  <c r="N116" i="18"/>
  <c r="M116" i="18"/>
  <c r="L116" i="18"/>
  <c r="AA115" i="18"/>
  <c r="R115" i="18"/>
  <c r="R114" i="18" s="1"/>
  <c r="R113" i="18" s="1"/>
  <c r="Q115" i="18"/>
  <c r="Q114" i="18" s="1"/>
  <c r="AJ114" i="18"/>
  <c r="AI114" i="18"/>
  <c r="AI113" i="18" s="1"/>
  <c r="AH114" i="18"/>
  <c r="AH113" i="18" s="1"/>
  <c r="AG114" i="18"/>
  <c r="AG113" i="18" s="1"/>
  <c r="AF114" i="18"/>
  <c r="AF113" i="18" s="1"/>
  <c r="AE114" i="18"/>
  <c r="AE113" i="18" s="1"/>
  <c r="AD114" i="18"/>
  <c r="AD113" i="18" s="1"/>
  <c r="AC114" i="18"/>
  <c r="AC113" i="18" s="1"/>
  <c r="AB114" i="18"/>
  <c r="AA114" i="18"/>
  <c r="Y114" i="18"/>
  <c r="Y113" i="18" s="1"/>
  <c r="X114" i="18"/>
  <c r="X113" i="18" s="1"/>
  <c r="W114" i="18"/>
  <c r="V114" i="18"/>
  <c r="V113" i="18" s="1"/>
  <c r="U114" i="18"/>
  <c r="U113" i="18" s="1"/>
  <c r="T114" i="18"/>
  <c r="T113" i="18" s="1"/>
  <c r="S114" i="18"/>
  <c r="AO113" i="18"/>
  <c r="AN113" i="18"/>
  <c r="AM113" i="18"/>
  <c r="AL113" i="18"/>
  <c r="AK113" i="18"/>
  <c r="AJ113" i="18"/>
  <c r="AB113" i="18"/>
  <c r="W113" i="18"/>
  <c r="S113" i="18"/>
  <c r="O113" i="18"/>
  <c r="N113" i="18"/>
  <c r="M113" i="18"/>
  <c r="L113" i="18"/>
  <c r="AF111" i="18"/>
  <c r="AA111" i="18"/>
  <c r="T111" i="18"/>
  <c r="L111" i="18"/>
  <c r="AF110" i="18"/>
  <c r="T110" i="18"/>
  <c r="Q110" i="18"/>
  <c r="L110" i="18"/>
  <c r="AJ109" i="18"/>
  <c r="AJ108" i="18" s="1"/>
  <c r="AI109" i="18"/>
  <c r="AI108" i="18" s="1"/>
  <c r="AH109" i="18"/>
  <c r="AH108" i="18" s="1"/>
  <c r="AG109" i="18"/>
  <c r="AG108" i="18" s="1"/>
  <c r="AF109" i="18"/>
  <c r="AF108" i="18" s="1"/>
  <c r="AE109" i="18"/>
  <c r="AE108" i="18" s="1"/>
  <c r="AD109" i="18"/>
  <c r="AD108" i="18" s="1"/>
  <c r="AC109" i="18"/>
  <c r="AC108" i="18" s="1"/>
  <c r="AB109" i="18"/>
  <c r="AB108" i="18" s="1"/>
  <c r="AA109" i="18"/>
  <c r="AA108" i="18" s="1"/>
  <c r="Y109" i="18"/>
  <c r="Y108" i="18" s="1"/>
  <c r="W109" i="18"/>
  <c r="W108" i="18" s="1"/>
  <c r="V109" i="18"/>
  <c r="V108" i="18" s="1"/>
  <c r="U109" i="18"/>
  <c r="U108" i="18" s="1"/>
  <c r="S109" i="18"/>
  <c r="AO108" i="18"/>
  <c r="AN108" i="18"/>
  <c r="AL108" i="18"/>
  <c r="X108" i="18"/>
  <c r="S108" i="18"/>
  <c r="R108" i="18"/>
  <c r="Q108" i="18"/>
  <c r="P108" i="18"/>
  <c r="O108" i="18"/>
  <c r="N108" i="18"/>
  <c r="M108" i="18"/>
  <c r="L108" i="18"/>
  <c r="AF106" i="18"/>
  <c r="Q106" i="18"/>
  <c r="AF105" i="18"/>
  <c r="AA105" i="18"/>
  <c r="AA103" i="18" s="1"/>
  <c r="AA102" i="18" s="1"/>
  <c r="R105" i="18"/>
  <c r="R103" i="18" s="1"/>
  <c r="R102" i="18" s="1"/>
  <c r="Q105" i="18"/>
  <c r="AF104" i="18"/>
  <c r="Q104" i="18"/>
  <c r="Q103" i="18" s="1"/>
  <c r="Q102" i="18" s="1"/>
  <c r="AJ103" i="18"/>
  <c r="AJ102" i="18" s="1"/>
  <c r="AI103" i="18"/>
  <c r="AI102" i="18" s="1"/>
  <c r="AH103" i="18"/>
  <c r="AG103" i="18"/>
  <c r="AG102" i="18" s="1"/>
  <c r="AF103" i="18"/>
  <c r="AF102" i="18" s="1"/>
  <c r="AE103" i="18"/>
  <c r="AE102" i="18" s="1"/>
  <c r="AD103" i="18"/>
  <c r="AC103" i="18"/>
  <c r="AC102" i="18" s="1"/>
  <c r="AB103" i="18"/>
  <c r="AB102" i="18" s="1"/>
  <c r="Y103" i="18"/>
  <c r="Y102" i="18" s="1"/>
  <c r="W103" i="18"/>
  <c r="V103" i="18"/>
  <c r="V102" i="18" s="1"/>
  <c r="U103" i="18"/>
  <c r="U102" i="18" s="1"/>
  <c r="T103" i="18"/>
  <c r="T102" i="18" s="1"/>
  <c r="S103" i="18"/>
  <c r="S102" i="18" s="1"/>
  <c r="P103" i="18"/>
  <c r="AO102" i="18"/>
  <c r="AN102" i="18"/>
  <c r="AL102" i="18"/>
  <c r="AH102" i="18"/>
  <c r="AD102" i="18"/>
  <c r="X102" i="18"/>
  <c r="W102" i="18"/>
  <c r="P102" i="18"/>
  <c r="O102" i="18"/>
  <c r="N102" i="18"/>
  <c r="M102" i="18"/>
  <c r="L102" i="18"/>
  <c r="AF101" i="18"/>
  <c r="AF100" i="18" s="1"/>
  <c r="AF99" i="18" s="1"/>
  <c r="Q101" i="18"/>
  <c r="Q100" i="18" s="1"/>
  <c r="Q99" i="18" s="1"/>
  <c r="AJ100" i="18"/>
  <c r="AJ99" i="18" s="1"/>
  <c r="AI100" i="18"/>
  <c r="AI99" i="18" s="1"/>
  <c r="AH100" i="18"/>
  <c r="AH99" i="18" s="1"/>
  <c r="AG100" i="18"/>
  <c r="AG99" i="18" s="1"/>
  <c r="AE100" i="18"/>
  <c r="AE99" i="18" s="1"/>
  <c r="AD100" i="18"/>
  <c r="AD99" i="18" s="1"/>
  <c r="AC100" i="18"/>
  <c r="AB100" i="18"/>
  <c r="AB99" i="18" s="1"/>
  <c r="AA100" i="18"/>
  <c r="AA99" i="18" s="1"/>
  <c r="Y100" i="18"/>
  <c r="Y99" i="18" s="1"/>
  <c r="X100" i="18"/>
  <c r="W100" i="18"/>
  <c r="W99" i="18" s="1"/>
  <c r="V100" i="18"/>
  <c r="V99" i="18" s="1"/>
  <c r="U100" i="18"/>
  <c r="U99" i="18" s="1"/>
  <c r="T100" i="18"/>
  <c r="T99" i="18" s="1"/>
  <c r="S100" i="18"/>
  <c r="S99" i="18" s="1"/>
  <c r="R100" i="18"/>
  <c r="R99" i="18" s="1"/>
  <c r="AO99" i="18"/>
  <c r="AN99" i="18"/>
  <c r="AL99" i="18"/>
  <c r="AC99" i="18"/>
  <c r="X99" i="18"/>
  <c r="P99" i="18"/>
  <c r="O99" i="18"/>
  <c r="N99" i="18"/>
  <c r="M99" i="18"/>
  <c r="L99" i="18"/>
  <c r="AA98" i="18"/>
  <c r="AA97" i="18" s="1"/>
  <c r="U98" i="18"/>
  <c r="Q98" i="18" s="1"/>
  <c r="Q97" i="18" s="1"/>
  <c r="AD97" i="18"/>
  <c r="AD96" i="18" s="1"/>
  <c r="AC97" i="18"/>
  <c r="AC96" i="18" s="1"/>
  <c r="AB97" i="18"/>
  <c r="AB96" i="18" s="1"/>
  <c r="Y97" i="18"/>
  <c r="Y96" i="18" s="1"/>
  <c r="X97" i="18"/>
  <c r="X96" i="18" s="1"/>
  <c r="W97" i="18"/>
  <c r="W96" i="18" s="1"/>
  <c r="V97" i="18"/>
  <c r="V96" i="18" s="1"/>
  <c r="T97" i="18"/>
  <c r="T96" i="18" s="1"/>
  <c r="S97" i="18"/>
  <c r="S96" i="18" s="1"/>
  <c r="R97" i="18"/>
  <c r="R96" i="18" s="1"/>
  <c r="AO96" i="18"/>
  <c r="AN96" i="18"/>
  <c r="AM96" i="18"/>
  <c r="AL96" i="18"/>
  <c r="AK96" i="18"/>
  <c r="AJ96" i="18"/>
  <c r="AI96" i="18"/>
  <c r="AH96" i="18"/>
  <c r="AG96" i="18"/>
  <c r="AF96" i="18"/>
  <c r="AE96" i="18"/>
  <c r="O96" i="18"/>
  <c r="N96" i="18"/>
  <c r="M96" i="18"/>
  <c r="L96" i="18"/>
  <c r="AA95" i="18"/>
  <c r="AA94" i="18" s="1"/>
  <c r="U95" i="18"/>
  <c r="Q95" i="18" s="1"/>
  <c r="Q94" i="18" s="1"/>
  <c r="AE94" i="18"/>
  <c r="AE93" i="18" s="1"/>
  <c r="AD94" i="18"/>
  <c r="AD93" i="18" s="1"/>
  <c r="AC94" i="18"/>
  <c r="AB94" i="18"/>
  <c r="AB93" i="18" s="1"/>
  <c r="Y94" i="18"/>
  <c r="Y93" i="18" s="1"/>
  <c r="X94" i="18"/>
  <c r="X93" i="18" s="1"/>
  <c r="W94" i="18"/>
  <c r="V94" i="18"/>
  <c r="V93" i="18" s="1"/>
  <c r="T94" i="18"/>
  <c r="T93" i="18" s="1"/>
  <c r="S94" i="18"/>
  <c r="S93" i="18" s="1"/>
  <c r="R94" i="18"/>
  <c r="R93" i="18" s="1"/>
  <c r="AO93" i="18"/>
  <c r="AN93" i="18"/>
  <c r="AM93" i="18"/>
  <c r="AL93" i="18"/>
  <c r="AK93" i="18"/>
  <c r="AJ93" i="18"/>
  <c r="AI93" i="18"/>
  <c r="AH93" i="18"/>
  <c r="AG93" i="18"/>
  <c r="AF93" i="18"/>
  <c r="AC93" i="18"/>
  <c r="W93" i="18"/>
  <c r="O93" i="18"/>
  <c r="N93" i="18"/>
  <c r="M93" i="18"/>
  <c r="L93" i="18"/>
  <c r="AK92" i="18"/>
  <c r="AL92" i="18" s="1"/>
  <c r="L92" i="18"/>
  <c r="J91" i="18"/>
  <c r="AF90" i="18"/>
  <c r="AA90" i="18"/>
  <c r="R90" i="18"/>
  <c r="R87" i="18" s="1"/>
  <c r="R86" i="18" s="1"/>
  <c r="Q90" i="18"/>
  <c r="T89" i="18"/>
  <c r="Q89" i="18"/>
  <c r="AA88" i="18"/>
  <c r="T88" i="18"/>
  <c r="Q88" i="18"/>
  <c r="AK87" i="18"/>
  <c r="AJ87" i="18"/>
  <c r="AJ86" i="18" s="1"/>
  <c r="AI87" i="18"/>
  <c r="AI86" i="18" s="1"/>
  <c r="AH87" i="18"/>
  <c r="AG87" i="18"/>
  <c r="AG86" i="18" s="1"/>
  <c r="AF87" i="18"/>
  <c r="AF86" i="18" s="1"/>
  <c r="AE87" i="18"/>
  <c r="AE86" i="18" s="1"/>
  <c r="AD87" i="18"/>
  <c r="AD86" i="18" s="1"/>
  <c r="AC87" i="18"/>
  <c r="AC86" i="18" s="1"/>
  <c r="AB87" i="18"/>
  <c r="AB86" i="18" s="1"/>
  <c r="Y87" i="18"/>
  <c r="Y86" i="18" s="1"/>
  <c r="X87" i="18"/>
  <c r="X86" i="18" s="1"/>
  <c r="W87" i="18"/>
  <c r="W86" i="18" s="1"/>
  <c r="V87" i="18"/>
  <c r="V86" i="18" s="1"/>
  <c r="U87" i="18"/>
  <c r="U86" i="18" s="1"/>
  <c r="S87" i="18"/>
  <c r="J87" i="18"/>
  <c r="AO86" i="18"/>
  <c r="AO79" i="18" s="1"/>
  <c r="AN86" i="18"/>
  <c r="AN79" i="18" s="1"/>
  <c r="AH86" i="18"/>
  <c r="AA86" i="18"/>
  <c r="S86" i="18"/>
  <c r="Q86" i="18"/>
  <c r="P86" i="18"/>
  <c r="O86" i="18"/>
  <c r="N86" i="18"/>
  <c r="M86" i="18"/>
  <c r="L86" i="18"/>
  <c r="J86" i="18" s="1"/>
  <c r="AF84" i="18"/>
  <c r="AF83" i="18" s="1"/>
  <c r="AF82" i="18" s="1"/>
  <c r="AA84" i="18"/>
  <c r="AA83" i="18" s="1"/>
  <c r="AA82" i="18" s="1"/>
  <c r="X84" i="18"/>
  <c r="X83" i="18" s="1"/>
  <c r="X82" i="18" s="1"/>
  <c r="V84" i="18"/>
  <c r="V83" i="18" s="1"/>
  <c r="V82" i="18" s="1"/>
  <c r="R84" i="18"/>
  <c r="R83" i="18" s="1"/>
  <c r="R82" i="18" s="1"/>
  <c r="Q84" i="18"/>
  <c r="P84" i="18" s="1"/>
  <c r="AJ83" i="18"/>
  <c r="AJ82" i="18" s="1"/>
  <c r="AI83" i="18"/>
  <c r="AI82" i="18" s="1"/>
  <c r="AH83" i="18"/>
  <c r="AG83" i="18"/>
  <c r="AG82" i="18" s="1"/>
  <c r="AE83" i="18"/>
  <c r="AE82" i="18" s="1"/>
  <c r="AD83" i="18"/>
  <c r="AD82" i="18" s="1"/>
  <c r="AC83" i="18"/>
  <c r="AB83" i="18"/>
  <c r="AB82" i="18" s="1"/>
  <c r="Y83" i="18"/>
  <c r="Y82" i="18" s="1"/>
  <c r="W83" i="18"/>
  <c r="U83" i="18"/>
  <c r="U82" i="18" s="1"/>
  <c r="T83" i="18"/>
  <c r="T82" i="18" s="1"/>
  <c r="S83" i="18"/>
  <c r="S82" i="18" s="1"/>
  <c r="AL82" i="18"/>
  <c r="AH82" i="18"/>
  <c r="AC82" i="18"/>
  <c r="W82" i="18"/>
  <c r="O82" i="18"/>
  <c r="N82" i="18"/>
  <c r="M82" i="18"/>
  <c r="L82" i="18"/>
  <c r="J82" i="18" s="1"/>
  <c r="L81" i="18"/>
  <c r="J81" i="18" s="1"/>
  <c r="L80" i="18"/>
  <c r="J80" i="18" s="1"/>
  <c r="K79" i="18"/>
  <c r="L78" i="18"/>
  <c r="L72" i="18" s="1"/>
  <c r="AO76" i="18"/>
  <c r="AN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AO72" i="18"/>
  <c r="AN72" i="18"/>
  <c r="AJ72" i="18"/>
  <c r="AI72" i="18"/>
  <c r="AH72" i="18"/>
  <c r="AG72" i="18"/>
  <c r="AF72" i="18"/>
  <c r="AE72" i="18"/>
  <c r="AD72" i="18"/>
  <c r="AC72" i="18"/>
  <c r="AB72" i="18"/>
  <c r="Q72" i="18"/>
  <c r="P72" i="18"/>
  <c r="O72" i="18"/>
  <c r="N72" i="18"/>
  <c r="M72" i="18"/>
  <c r="AF70" i="18"/>
  <c r="AF69" i="18" s="1"/>
  <c r="AF68" i="18" s="1"/>
  <c r="AF65" i="18" s="1"/>
  <c r="AA70" i="18"/>
  <c r="R70" i="18"/>
  <c r="R69" i="18" s="1"/>
  <c r="R68" i="18" s="1"/>
  <c r="R65" i="18" s="1"/>
  <c r="Q70" i="18"/>
  <c r="Q68" i="18" s="1"/>
  <c r="Q65" i="18" s="1"/>
  <c r="AG69" i="18"/>
  <c r="AG68" i="18" s="1"/>
  <c r="AG65" i="18" s="1"/>
  <c r="AB69" i="18"/>
  <c r="AB68" i="18" s="1"/>
  <c r="AB65" i="18" s="1"/>
  <c r="Y69" i="18"/>
  <c r="Y68" i="18" s="1"/>
  <c r="Y65" i="18" s="1"/>
  <c r="W69" i="18"/>
  <c r="W68" i="18" s="1"/>
  <c r="W65" i="18" s="1"/>
  <c r="V69" i="18"/>
  <c r="U69" i="18"/>
  <c r="T69" i="18"/>
  <c r="T68" i="18" s="1"/>
  <c r="T65" i="18" s="1"/>
  <c r="S69" i="18"/>
  <c r="S68" i="18" s="1"/>
  <c r="S65" i="18" s="1"/>
  <c r="AO68" i="18"/>
  <c r="AO65" i="18" s="1"/>
  <c r="AN68" i="18"/>
  <c r="AJ68" i="18"/>
  <c r="AJ65" i="18" s="1"/>
  <c r="AI68" i="18"/>
  <c r="AH68" i="18"/>
  <c r="AH65" i="18" s="1"/>
  <c r="AE68" i="18"/>
  <c r="AE65" i="18" s="1"/>
  <c r="AD68" i="18"/>
  <c r="AC68" i="18"/>
  <c r="AA68" i="18"/>
  <c r="AA65" i="18" s="1"/>
  <c r="Z68" i="18"/>
  <c r="X68" i="18"/>
  <c r="V68" i="18"/>
  <c r="V65" i="18" s="1"/>
  <c r="U68" i="18"/>
  <c r="U65" i="18" s="1"/>
  <c r="P68" i="18"/>
  <c r="O68" i="18"/>
  <c r="N68" i="18"/>
  <c r="M68" i="18"/>
  <c r="M65" i="18" s="1"/>
  <c r="L68" i="18"/>
  <c r="L65" i="18" s="1"/>
  <c r="L67" i="18"/>
  <c r="L66" i="18"/>
  <c r="AN65" i="18"/>
  <c r="AI65" i="18"/>
  <c r="AD65" i="18"/>
  <c r="AC65" i="18"/>
  <c r="X65" i="18"/>
  <c r="O65" i="18"/>
  <c r="N65" i="18"/>
  <c r="K65" i="18"/>
  <c r="K12" i="18" s="1"/>
  <c r="J65" i="18"/>
  <c r="AA62" i="18"/>
  <c r="Z62" i="18"/>
  <c r="Z10" i="18" s="1"/>
  <c r="Y62" i="18"/>
  <c r="X62" i="18"/>
  <c r="W62" i="18"/>
  <c r="V62" i="18"/>
  <c r="U62" i="18"/>
  <c r="T62" i="18"/>
  <c r="S62" i="18"/>
  <c r="R62" i="18"/>
  <c r="Q62" i="18"/>
  <c r="P62" i="18"/>
  <c r="J61" i="18"/>
  <c r="AA60" i="18"/>
  <c r="V60" i="18"/>
  <c r="Q60" i="18"/>
  <c r="AD59" i="18"/>
  <c r="AC59" i="18"/>
  <c r="AB59" i="18"/>
  <c r="Y59" i="18"/>
  <c r="X59" i="18"/>
  <c r="W59" i="18"/>
  <c r="V59" i="18"/>
  <c r="U59" i="18"/>
  <c r="T59" i="18"/>
  <c r="S59" i="18"/>
  <c r="R59" i="18"/>
  <c r="J59" i="18"/>
  <c r="AO58" i="18"/>
  <c r="AN58" i="18"/>
  <c r="AJ58" i="18"/>
  <c r="AJ52" i="18" s="1"/>
  <c r="AI58" i="18"/>
  <c r="AH58" i="18"/>
  <c r="AG58" i="18"/>
  <c r="AF58" i="18"/>
  <c r="AE58" i="18"/>
  <c r="AD58" i="18"/>
  <c r="AC58" i="18"/>
  <c r="AB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J58" i="18" s="1"/>
  <c r="L57" i="18"/>
  <c r="J57" i="18" s="1"/>
  <c r="L56" i="18"/>
  <c r="J56" i="18" s="1"/>
  <c r="AO55" i="18"/>
  <c r="AN55" i="18"/>
  <c r="AI55" i="18"/>
  <c r="AH55" i="18"/>
  <c r="AG55" i="18"/>
  <c r="AF55" i="18"/>
  <c r="AF52" i="18" s="1"/>
  <c r="AE55" i="18"/>
  <c r="AD55" i="18"/>
  <c r="AC55" i="18"/>
  <c r="AB55" i="18"/>
  <c r="AB52" i="18" s="1"/>
  <c r="AA55" i="18"/>
  <c r="AA52" i="18" s="1"/>
  <c r="Y55" i="18"/>
  <c r="Y52" i="18" s="1"/>
  <c r="X55" i="18"/>
  <c r="W55" i="18"/>
  <c r="V55" i="18"/>
  <c r="V52" i="18" s="1"/>
  <c r="U55" i="18"/>
  <c r="T55" i="18"/>
  <c r="S55" i="18"/>
  <c r="R55" i="18"/>
  <c r="R52" i="18" s="1"/>
  <c r="Q55" i="18"/>
  <c r="Q52" i="18" s="1"/>
  <c r="P55" i="18"/>
  <c r="O55" i="18"/>
  <c r="N55" i="18"/>
  <c r="M55" i="18"/>
  <c r="J54" i="18"/>
  <c r="J53" i="18"/>
  <c r="AM52" i="18"/>
  <c r="U52" i="18"/>
  <c r="N52" i="18"/>
  <c r="M52" i="18"/>
  <c r="AJ51" i="18"/>
  <c r="AI51" i="18"/>
  <c r="AH51" i="18"/>
  <c r="AG51" i="18"/>
  <c r="AA49" i="18"/>
  <c r="Q49" i="18"/>
  <c r="AC48" i="18"/>
  <c r="AC47" i="18" s="1"/>
  <c r="AC45" i="18" s="1"/>
  <c r="AB48" i="18"/>
  <c r="Z48" i="18"/>
  <c r="Y48" i="18"/>
  <c r="Y47" i="18" s="1"/>
  <c r="Y45" i="18" s="1"/>
  <c r="X48" i="18"/>
  <c r="X47" i="18" s="1"/>
  <c r="X45" i="18" s="1"/>
  <c r="W48" i="18"/>
  <c r="W47" i="18" s="1"/>
  <c r="W45" i="18" s="1"/>
  <c r="V48" i="18"/>
  <c r="V47" i="18" s="1"/>
  <c r="U48" i="18"/>
  <c r="U47" i="18" s="1"/>
  <c r="U44" i="18" s="1"/>
  <c r="T48" i="18"/>
  <c r="T47" i="18" s="1"/>
  <c r="S48" i="18"/>
  <c r="S47" i="18" s="1"/>
  <c r="R48" i="18"/>
  <c r="R47" i="18" s="1"/>
  <c r="R45" i="18" s="1"/>
  <c r="AB47" i="18"/>
  <c r="AB45" i="18" s="1"/>
  <c r="Q47" i="18"/>
  <c r="Q44" i="18" s="1"/>
  <c r="P47" i="18"/>
  <c r="P44" i="18" s="1"/>
  <c r="O47" i="18"/>
  <c r="O45" i="18" s="1"/>
  <c r="N47" i="18"/>
  <c r="N44" i="18" s="1"/>
  <c r="M47" i="18"/>
  <c r="M44" i="18" s="1"/>
  <c r="L47" i="18"/>
  <c r="AO45" i="18"/>
  <c r="AN45" i="18"/>
  <c r="AM45" i="18"/>
  <c r="AM13" i="18" s="1"/>
  <c r="AJ45" i="18"/>
  <c r="AI45" i="18"/>
  <c r="AH45" i="18"/>
  <c r="AG45" i="18"/>
  <c r="AF45" i="18"/>
  <c r="AE45" i="18"/>
  <c r="AD45" i="18"/>
  <c r="AA45" i="18"/>
  <c r="N45" i="18"/>
  <c r="K45" i="18"/>
  <c r="J45" i="18"/>
  <c r="J13" i="18" s="1"/>
  <c r="J8" i="18" s="1"/>
  <c r="L44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AA38" i="18"/>
  <c r="AA37" i="18" s="1"/>
  <c r="AA36" i="18" s="1"/>
  <c r="Q38" i="18"/>
  <c r="Q37" i="18" s="1"/>
  <c r="Q36" i="18" s="1"/>
  <c r="AE37" i="18"/>
  <c r="Y37" i="18"/>
  <c r="Y36" i="18" s="1"/>
  <c r="X37" i="18"/>
  <c r="X36" i="18" s="1"/>
  <c r="L37" i="18"/>
  <c r="L36" i="18" s="1"/>
  <c r="AO36" i="18"/>
  <c r="AN36" i="18"/>
  <c r="AJ36" i="18"/>
  <c r="AI36" i="18"/>
  <c r="AH36" i="18"/>
  <c r="AG36" i="18"/>
  <c r="AF36" i="18"/>
  <c r="AE36" i="18"/>
  <c r="AD36" i="18"/>
  <c r="AC36" i="18"/>
  <c r="AB36" i="18"/>
  <c r="W36" i="18"/>
  <c r="V36" i="18"/>
  <c r="U36" i="18"/>
  <c r="T36" i="18"/>
  <c r="S36" i="18"/>
  <c r="R36" i="18"/>
  <c r="P36" i="18"/>
  <c r="O36" i="18"/>
  <c r="N36" i="18"/>
  <c r="M36" i="18"/>
  <c r="AO33" i="18"/>
  <c r="AO15" i="18" s="1"/>
  <c r="AO11" i="18" s="1"/>
  <c r="AN33" i="18"/>
  <c r="AM33" i="18"/>
  <c r="AJ33" i="18"/>
  <c r="AI33" i="18"/>
  <c r="AH33" i="18"/>
  <c r="AG33" i="18"/>
  <c r="AF33" i="18"/>
  <c r="AE33" i="18"/>
  <c r="AD33" i="18"/>
  <c r="AC33" i="18"/>
  <c r="AB33" i="18"/>
  <c r="AA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N15" i="18" s="1"/>
  <c r="N11" i="18" s="1"/>
  <c r="M33" i="18"/>
  <c r="L33" i="18"/>
  <c r="AG32" i="18"/>
  <c r="AF32" i="18" s="1"/>
  <c r="Q32" i="18"/>
  <c r="P32" i="18" s="1"/>
  <c r="U31" i="18"/>
  <c r="T31" i="18" s="1"/>
  <c r="T30" i="18" s="1"/>
  <c r="T17" i="18" s="1"/>
  <c r="AJ30" i="18"/>
  <c r="AJ17" i="18" s="1"/>
  <c r="AJ13" i="18" s="1"/>
  <c r="AI30" i="18"/>
  <c r="AI17" i="18" s="1"/>
  <c r="AI13" i="18" s="1"/>
  <c r="AH30" i="18"/>
  <c r="AH17" i="18" s="1"/>
  <c r="AH13" i="18" s="1"/>
  <c r="AE30" i="18"/>
  <c r="AD30" i="18"/>
  <c r="AC30" i="18"/>
  <c r="AC17" i="18" s="1"/>
  <c r="AB30" i="18"/>
  <c r="AB17" i="18" s="1"/>
  <c r="AA30" i="18"/>
  <c r="Y30" i="18"/>
  <c r="Y17" i="18" s="1"/>
  <c r="W30" i="18"/>
  <c r="W17" i="18" s="1"/>
  <c r="V30" i="18"/>
  <c r="V17" i="18" s="1"/>
  <c r="S30" i="18"/>
  <c r="S17" i="18" s="1"/>
  <c r="R30" i="18"/>
  <c r="R17" i="18" s="1"/>
  <c r="Q30" i="18"/>
  <c r="Q17" i="18" s="1"/>
  <c r="Q13" i="18" s="1"/>
  <c r="N30" i="18"/>
  <c r="N19" i="18" s="1"/>
  <c r="L30" i="18"/>
  <c r="AF29" i="18"/>
  <c r="AA29" i="18"/>
  <c r="R29" i="18"/>
  <c r="P29" i="18"/>
  <c r="AJ28" i="18"/>
  <c r="AJ18" i="18" s="1"/>
  <c r="AJ14" i="18" s="1"/>
  <c r="AJ9" i="18" s="1"/>
  <c r="AI28" i="18"/>
  <c r="AH28" i="18"/>
  <c r="AH18" i="18" s="1"/>
  <c r="AH14" i="18" s="1"/>
  <c r="AG28" i="18"/>
  <c r="AF28" i="18"/>
  <c r="AF18" i="18" s="1"/>
  <c r="AF14" i="18" s="1"/>
  <c r="AF9" i="18" s="1"/>
  <c r="AE28" i="18"/>
  <c r="AE18" i="18" s="1"/>
  <c r="AE14" i="18" s="1"/>
  <c r="AE9" i="18" s="1"/>
  <c r="AD28" i="18"/>
  <c r="AC28" i="18"/>
  <c r="AB28" i="18"/>
  <c r="AB18" i="18" s="1"/>
  <c r="AB14" i="18" s="1"/>
  <c r="AB9" i="18" s="1"/>
  <c r="AA28" i="18"/>
  <c r="AA18" i="18" s="1"/>
  <c r="AA14" i="18" s="1"/>
  <c r="AA9" i="18" s="1"/>
  <c r="Y28" i="18"/>
  <c r="Y18" i="18" s="1"/>
  <c r="Y14" i="18" s="1"/>
  <c r="W28" i="18"/>
  <c r="W18" i="18" s="1"/>
  <c r="W14" i="18" s="1"/>
  <c r="W9" i="18" s="1"/>
  <c r="V28" i="18"/>
  <c r="V18" i="18" s="1"/>
  <c r="V14" i="18" s="1"/>
  <c r="V9" i="18" s="1"/>
  <c r="U28" i="18"/>
  <c r="U18" i="18" s="1"/>
  <c r="U14" i="18" s="1"/>
  <c r="U9" i="18" s="1"/>
  <c r="T28" i="18"/>
  <c r="S28" i="18"/>
  <c r="S18" i="18" s="1"/>
  <c r="S14" i="18" s="1"/>
  <c r="S9" i="18" s="1"/>
  <c r="R28" i="18"/>
  <c r="R18" i="18" s="1"/>
  <c r="R14" i="18" s="1"/>
  <c r="R9" i="18" s="1"/>
  <c r="Q28" i="18"/>
  <c r="Q18" i="18" s="1"/>
  <c r="Q14" i="18" s="1"/>
  <c r="Q9" i="18" s="1"/>
  <c r="J28" i="18"/>
  <c r="AF27" i="18"/>
  <c r="AA27" i="18"/>
  <c r="R27" i="18"/>
  <c r="P27" i="18" s="1"/>
  <c r="Q27" i="18"/>
  <c r="AF26" i="18"/>
  <c r="AA26" i="18"/>
  <c r="Q26" i="18"/>
  <c r="AF25" i="18"/>
  <c r="AA25" i="18"/>
  <c r="Q25" i="18"/>
  <c r="AF24" i="18"/>
  <c r="AA24" i="18"/>
  <c r="Q24" i="18"/>
  <c r="P24" i="18"/>
  <c r="AF23" i="18"/>
  <c r="AA23" i="18"/>
  <c r="T23" i="18"/>
  <c r="T20" i="18" s="1"/>
  <c r="R23" i="18"/>
  <c r="AF22" i="18"/>
  <c r="AA22" i="18"/>
  <c r="R22" i="18"/>
  <c r="P22" i="18"/>
  <c r="AF21" i="18"/>
  <c r="R21" i="18"/>
  <c r="AJ20" i="18"/>
  <c r="AJ19" i="18" s="1"/>
  <c r="AI20" i="18"/>
  <c r="AH20" i="18"/>
  <c r="AG20" i="18"/>
  <c r="AG19" i="18" s="1"/>
  <c r="AE20" i="18"/>
  <c r="AD20" i="18"/>
  <c r="AC20" i="18"/>
  <c r="AB20" i="18"/>
  <c r="Y20" i="18"/>
  <c r="X20" i="18"/>
  <c r="X19" i="18" s="1"/>
  <c r="W20" i="18"/>
  <c r="W15" i="18" s="1"/>
  <c r="W11" i="18" s="1"/>
  <c r="V20" i="18"/>
  <c r="U20" i="18"/>
  <c r="S20" i="18"/>
  <c r="S15" i="18" s="1"/>
  <c r="S11" i="18" s="1"/>
  <c r="K20" i="18"/>
  <c r="K19" i="18" s="1"/>
  <c r="AO19" i="18"/>
  <c r="AN19" i="18"/>
  <c r="AI19" i="18"/>
  <c r="AH19" i="18"/>
  <c r="P19" i="18"/>
  <c r="O19" i="18"/>
  <c r="M19" i="18"/>
  <c r="L19" i="18"/>
  <c r="AO18" i="18"/>
  <c r="AO14" i="18" s="1"/>
  <c r="AO9" i="18" s="1"/>
  <c r="AN18" i="18"/>
  <c r="AM18" i="18"/>
  <c r="AM14" i="18" s="1"/>
  <c r="AL18" i="18"/>
  <c r="AK18" i="18"/>
  <c r="AK14" i="18" s="1"/>
  <c r="AK9" i="18" s="1"/>
  <c r="AI18" i="18"/>
  <c r="AI14" i="18" s="1"/>
  <c r="AI9" i="18" s="1"/>
  <c r="AG18" i="18"/>
  <c r="AD18" i="18"/>
  <c r="AD14" i="18" s="1"/>
  <c r="AD9" i="18" s="1"/>
  <c r="AC18" i="18"/>
  <c r="AC14" i="18" s="1"/>
  <c r="AC9" i="18" s="1"/>
  <c r="X18" i="18"/>
  <c r="T18" i="18"/>
  <c r="T14" i="18" s="1"/>
  <c r="T9" i="18" s="1"/>
  <c r="P18" i="18"/>
  <c r="O18" i="18"/>
  <c r="O14" i="18" s="1"/>
  <c r="O9" i="18" s="1"/>
  <c r="N18" i="18"/>
  <c r="N14" i="18" s="1"/>
  <c r="N9" i="18" s="1"/>
  <c r="M18" i="18"/>
  <c r="L18" i="18"/>
  <c r="K18" i="18"/>
  <c r="K14" i="18" s="1"/>
  <c r="J18" i="18"/>
  <c r="J14" i="18" s="1"/>
  <c r="J9" i="18" s="1"/>
  <c r="AE17" i="18"/>
  <c r="AD17" i="18"/>
  <c r="AD13" i="18" s="1"/>
  <c r="AA17" i="18"/>
  <c r="AA13" i="18" s="1"/>
  <c r="X17" i="18"/>
  <c r="P17" i="18"/>
  <c r="O17" i="18"/>
  <c r="M17" i="18"/>
  <c r="AH15" i="18"/>
  <c r="AH11" i="18" s="1"/>
  <c r="AD15" i="18"/>
  <c r="AD11" i="18" s="1"/>
  <c r="AC15" i="18"/>
  <c r="AC11" i="18" s="1"/>
  <c r="M15" i="18"/>
  <c r="M11" i="18" s="1"/>
  <c r="AN14" i="18"/>
  <c r="AL14" i="18"/>
  <c r="AG14" i="18"/>
  <c r="AG9" i="18" s="1"/>
  <c r="X14" i="18"/>
  <c r="X9" i="18" s="1"/>
  <c r="P14" i="18"/>
  <c r="P9" i="18" s="1"/>
  <c r="M14" i="18"/>
  <c r="L14" i="18"/>
  <c r="L9" i="18" s="1"/>
  <c r="AO13" i="18"/>
  <c r="AO8" i="18" s="1"/>
  <c r="AN13" i="18"/>
  <c r="P13" i="18"/>
  <c r="K13" i="18"/>
  <c r="K8" i="18" s="1"/>
  <c r="AQ10" i="18"/>
  <c r="AQ9" i="18"/>
  <c r="AN9" i="18"/>
  <c r="Z9" i="18"/>
  <c r="M9" i="18"/>
  <c r="AQ8" i="18"/>
  <c r="Z8" i="18"/>
  <c r="AQ7" i="18"/>
  <c r="Z7" i="18"/>
  <c r="AQ6" i="18"/>
  <c r="Z6" i="18"/>
  <c r="AQ5" i="18"/>
  <c r="AN8" i="18" l="1"/>
  <c r="AL9" i="18"/>
  <c r="Y9" i="18"/>
  <c r="AH9" i="18"/>
  <c r="L55" i="18"/>
  <c r="J55" i="18" s="1"/>
  <c r="AD52" i="18"/>
  <c r="AH52" i="18"/>
  <c r="K7" i="18"/>
  <c r="P160" i="18"/>
  <c r="P156" i="18" s="1"/>
  <c r="Q20" i="18"/>
  <c r="Q19" i="18" s="1"/>
  <c r="AN52" i="18"/>
  <c r="AN12" i="18" s="1"/>
  <c r="AG124" i="18"/>
  <c r="AG120" i="18" s="1"/>
  <c r="AO160" i="18"/>
  <c r="AO156" i="18" s="1"/>
  <c r="AB205" i="18"/>
  <c r="AO232" i="18"/>
  <c r="AO157" i="18" s="1"/>
  <c r="AO155" i="18" s="1"/>
  <c r="AJ246" i="18"/>
  <c r="AE19" i="18"/>
  <c r="AE13" i="18"/>
  <c r="V19" i="18"/>
  <c r="P15" i="18"/>
  <c r="P11" i="18" s="1"/>
  <c r="L52" i="18"/>
  <c r="J52" i="18" s="1"/>
  <c r="T52" i="18"/>
  <c r="X52" i="18"/>
  <c r="AO52" i="18"/>
  <c r="O160" i="18"/>
  <c r="O156" i="18" s="1"/>
  <c r="J232" i="18"/>
  <c r="AG232" i="18"/>
  <c r="AF246" i="18"/>
  <c r="AI15" i="18"/>
  <c r="AI11" i="18" s="1"/>
  <c r="O13" i="18"/>
  <c r="AK86" i="18"/>
  <c r="AL86" i="18" s="1"/>
  <c r="AL79" i="18" s="1"/>
  <c r="Y205" i="18"/>
  <c r="J157" i="18"/>
  <c r="AD19" i="18"/>
  <c r="AN15" i="18"/>
  <c r="AN11" i="18" s="1"/>
  <c r="AN10" i="18" s="1"/>
  <c r="AI52" i="18"/>
  <c r="AK143" i="18"/>
  <c r="AL143" i="18" s="1"/>
  <c r="AK148" i="18"/>
  <c r="AL148" i="18" s="1"/>
  <c r="M158" i="18"/>
  <c r="Q220" i="18"/>
  <c r="Q219" i="18" s="1"/>
  <c r="L206" i="18"/>
  <c r="P206" i="18"/>
  <c r="T206" i="18"/>
  <c r="T158" i="18" s="1"/>
  <c r="AC206" i="18"/>
  <c r="AG206" i="18"/>
  <c r="AG158" i="18" s="1"/>
  <c r="O206" i="18"/>
  <c r="O158" i="18" s="1"/>
  <c r="S206" i="18"/>
  <c r="S158" i="18" s="1"/>
  <c r="W206" i="18"/>
  <c r="W158" i="18" s="1"/>
  <c r="Y206" i="18"/>
  <c r="Y158" i="18" s="1"/>
  <c r="AH206" i="18"/>
  <c r="AH158" i="18" s="1"/>
  <c r="AJ206" i="18"/>
  <c r="AJ158" i="18" s="1"/>
  <c r="AJ8" i="18" s="1"/>
  <c r="M246" i="18"/>
  <c r="P259" i="18"/>
  <c r="AM260" i="18"/>
  <c r="O246" i="18"/>
  <c r="T271" i="18"/>
  <c r="T270" i="18" s="1"/>
  <c r="T269" i="18" s="1"/>
  <c r="T274" i="18"/>
  <c r="T273" i="18" s="1"/>
  <c r="Q274" i="18"/>
  <c r="AH8" i="18"/>
  <c r="L15" i="18"/>
  <c r="L11" i="18" s="1"/>
  <c r="P6" i="18"/>
  <c r="X15" i="18"/>
  <c r="X11" i="18" s="1"/>
  <c r="X13" i="18"/>
  <c r="X8" i="18" s="1"/>
  <c r="K9" i="18"/>
  <c r="L158" i="18"/>
  <c r="AH160" i="18"/>
  <c r="AH156" i="18" s="1"/>
  <c r="W160" i="18"/>
  <c r="W156" i="18" s="1"/>
  <c r="AI160" i="18"/>
  <c r="AI156" i="18" s="1"/>
  <c r="AI205" i="18"/>
  <c r="AI157" i="18" s="1"/>
  <c r="AA205" i="18"/>
  <c r="Z155" i="18"/>
  <c r="Z5" i="18" s="1"/>
  <c r="Y246" i="18"/>
  <c r="N17" i="18"/>
  <c r="N13" i="18" s="1"/>
  <c r="P10" i="18"/>
  <c r="V15" i="18"/>
  <c r="V11" i="18" s="1"/>
  <c r="J33" i="18"/>
  <c r="J15" i="18" s="1"/>
  <c r="J11" i="18" s="1"/>
  <c r="O15" i="18"/>
  <c r="O11" i="18" s="1"/>
  <c r="O6" i="18" s="1"/>
  <c r="O44" i="18"/>
  <c r="M45" i="18"/>
  <c r="M13" i="18" s="1"/>
  <c r="M8" i="18" s="1"/>
  <c r="AB13" i="18"/>
  <c r="AE52" i="18"/>
  <c r="N79" i="18"/>
  <c r="Q83" i="18"/>
  <c r="Q82" i="18" s="1"/>
  <c r="AM82" i="18" s="1"/>
  <c r="M79" i="18"/>
  <c r="M12" i="18" s="1"/>
  <c r="T87" i="18"/>
  <c r="T86" i="18" s="1"/>
  <c r="N160" i="18"/>
  <c r="N156" i="18" s="1"/>
  <c r="X160" i="18"/>
  <c r="X156" i="18" s="1"/>
  <c r="T160" i="18"/>
  <c r="T156" i="18" s="1"/>
  <c r="AC160" i="18"/>
  <c r="AC156" i="18" s="1"/>
  <c r="AC6" i="18" s="1"/>
  <c r="R172" i="18"/>
  <c r="R171" i="18" s="1"/>
  <c r="Q160" i="18"/>
  <c r="Q156" i="18" s="1"/>
  <c r="AA188" i="18"/>
  <c r="AA187" i="18" s="1"/>
  <c r="M205" i="18"/>
  <c r="M157" i="18" s="1"/>
  <c r="AH205" i="18"/>
  <c r="AH157" i="18" s="1"/>
  <c r="Q214" i="18"/>
  <c r="Q213" i="18" s="1"/>
  <c r="Q205" i="18" s="1"/>
  <c r="Q206" i="18"/>
  <c r="Q158" i="18" s="1"/>
  <c r="U206" i="18"/>
  <c r="AD206" i="18"/>
  <c r="AD158" i="18" s="1"/>
  <c r="AD8" i="18" s="1"/>
  <c r="O238" i="18"/>
  <c r="O232" i="18" s="1"/>
  <c r="AF232" i="18"/>
  <c r="AM246" i="18"/>
  <c r="S246" i="18"/>
  <c r="AG246" i="18"/>
  <c r="Q279" i="18"/>
  <c r="Q278" i="18" s="1"/>
  <c r="R285" i="18"/>
  <c r="V45" i="18"/>
  <c r="V13" i="18" s="1"/>
  <c r="V44" i="18"/>
  <c r="M6" i="18"/>
  <c r="AH6" i="18"/>
  <c r="Y15" i="18"/>
  <c r="Y11" i="18" s="1"/>
  <c r="T19" i="18"/>
  <c r="T15" i="18"/>
  <c r="T11" i="18" s="1"/>
  <c r="T6" i="18" s="1"/>
  <c r="N6" i="18"/>
  <c r="AI6" i="18"/>
  <c r="AK120" i="18"/>
  <c r="P79" i="18"/>
  <c r="W6" i="18"/>
  <c r="AO6" i="18"/>
  <c r="Y13" i="18"/>
  <c r="Y8" i="18" s="1"/>
  <c r="O8" i="18"/>
  <c r="AJ79" i="18"/>
  <c r="AJ12" i="18" s="1"/>
  <c r="U158" i="18"/>
  <c r="AC246" i="18"/>
  <c r="AC13" i="18"/>
  <c r="AK68" i="18"/>
  <c r="N12" i="18"/>
  <c r="AI79" i="18"/>
  <c r="M155" i="18"/>
  <c r="V160" i="18"/>
  <c r="V156" i="18" s="1"/>
  <c r="AB160" i="18"/>
  <c r="AB156" i="18" s="1"/>
  <c r="Y155" i="18"/>
  <c r="Y157" i="18"/>
  <c r="AE205" i="18"/>
  <c r="S205" i="18"/>
  <c r="S157" i="18" s="1"/>
  <c r="AI246" i="18"/>
  <c r="V246" i="18"/>
  <c r="Y19" i="18"/>
  <c r="AB19" i="18"/>
  <c r="R20" i="18"/>
  <c r="R15" i="18" s="1"/>
  <c r="R11" i="18" s="1"/>
  <c r="AA20" i="18"/>
  <c r="AF20" i="18"/>
  <c r="AF19" i="18" s="1"/>
  <c r="AG31" i="18"/>
  <c r="R13" i="18"/>
  <c r="AM72" i="18"/>
  <c r="L76" i="18"/>
  <c r="O79" i="18"/>
  <c r="AM86" i="18"/>
  <c r="W124" i="18"/>
  <c r="W120" i="18" s="1"/>
  <c r="AA139" i="18"/>
  <c r="AA138" i="18" s="1"/>
  <c r="AA129" i="18" s="1"/>
  <c r="AA149" i="18"/>
  <c r="AA148" i="18" s="1"/>
  <c r="K155" i="18"/>
  <c r="P158" i="18"/>
  <c r="P8" i="18" s="1"/>
  <c r="AA172" i="18"/>
  <c r="AA171" i="18" s="1"/>
  <c r="AA160" i="18" s="1"/>
  <c r="AA156" i="18" s="1"/>
  <c r="AD205" i="18"/>
  <c r="N205" i="18"/>
  <c r="N157" i="18" s="1"/>
  <c r="AE246" i="18"/>
  <c r="U260" i="18"/>
  <c r="AC247" i="18"/>
  <c r="AC158" i="18" s="1"/>
  <c r="AG247" i="18"/>
  <c r="K15" i="18"/>
  <c r="K11" i="18" s="1"/>
  <c r="U15" i="18"/>
  <c r="U11" i="18" s="1"/>
  <c r="AE15" i="18"/>
  <c r="AE11" i="18" s="1"/>
  <c r="AJ15" i="18"/>
  <c r="AJ11" i="18" s="1"/>
  <c r="AJ10" i="18" s="1"/>
  <c r="I22" i="18"/>
  <c r="W19" i="18"/>
  <c r="W10" i="18" s="1"/>
  <c r="AC19" i="18"/>
  <c r="U30" i="18"/>
  <c r="U17" i="18" s="1"/>
  <c r="U13" i="18" s="1"/>
  <c r="U8" i="18" s="1"/>
  <c r="O52" i="18"/>
  <c r="S52" i="18"/>
  <c r="W52" i="18"/>
  <c r="P65" i="18"/>
  <c r="AM76" i="18"/>
  <c r="L79" i="18"/>
  <c r="J79" i="18" s="1"/>
  <c r="AG79" i="18"/>
  <c r="AM79" i="18"/>
  <c r="T109" i="18"/>
  <c r="T108" i="18" s="1"/>
  <c r="AJ124" i="18"/>
  <c r="AJ120" i="18" s="1"/>
  <c r="AI129" i="18"/>
  <c r="AI119" i="18" s="1"/>
  <c r="AA144" i="18"/>
  <c r="AA143" i="18" s="1"/>
  <c r="L160" i="18"/>
  <c r="L156" i="18" s="1"/>
  <c r="U160" i="18"/>
  <c r="U156" i="18" s="1"/>
  <c r="Y160" i="18"/>
  <c r="Y156" i="18" s="1"/>
  <c r="AD160" i="18"/>
  <c r="AD156" i="18" s="1"/>
  <c r="AD6" i="18" s="1"/>
  <c r="AN160" i="18"/>
  <c r="AN156" i="18" s="1"/>
  <c r="O205" i="18"/>
  <c r="W205" i="18"/>
  <c r="W157" i="18" s="1"/>
  <c r="AC205" i="18"/>
  <c r="AC157" i="18" s="1"/>
  <c r="AM238" i="18"/>
  <c r="AM232" i="18" s="1"/>
  <c r="AO246" i="18"/>
  <c r="AH246" i="18"/>
  <c r="L246" i="18"/>
  <c r="P246" i="18"/>
  <c r="AB246" i="18"/>
  <c r="AB157" i="18" s="1"/>
  <c r="AB260" i="18"/>
  <c r="AD260" i="18"/>
  <c r="AB15" i="18"/>
  <c r="AB11" i="18" s="1"/>
  <c r="AG15" i="18"/>
  <c r="AG11" i="18" s="1"/>
  <c r="R44" i="18"/>
  <c r="W13" i="18"/>
  <c r="W8" i="18" s="1"/>
  <c r="AK55" i="18"/>
  <c r="AC52" i="18"/>
  <c r="AG52" i="18"/>
  <c r="AG12" i="18" s="1"/>
  <c r="AO12" i="18"/>
  <c r="AK58" i="18"/>
  <c r="AL58" i="18" s="1"/>
  <c r="AH79" i="18"/>
  <c r="AF79" i="18"/>
  <c r="AF12" i="18" s="1"/>
  <c r="AF124" i="18"/>
  <c r="AF120" i="18" s="1"/>
  <c r="AK167" i="18"/>
  <c r="AK208" i="18"/>
  <c r="X205" i="18"/>
  <c r="AF205" i="18"/>
  <c r="AF157" i="18" s="1"/>
  <c r="AJ205" i="18"/>
  <c r="AJ157" i="18" s="1"/>
  <c r="AB206" i="18"/>
  <c r="AB158" i="18" s="1"/>
  <c r="AB8" i="18" s="1"/>
  <c r="AN232" i="18"/>
  <c r="AN157" i="18" s="1"/>
  <c r="AH247" i="18"/>
  <c r="AA246" i="18"/>
  <c r="AA157" i="18" s="1"/>
  <c r="AC260" i="18"/>
  <c r="W260" i="18"/>
  <c r="W155" i="18" s="1"/>
  <c r="AE260" i="18"/>
  <c r="U270" i="18"/>
  <c r="U269" i="18" s="1"/>
  <c r="U246" i="18" s="1"/>
  <c r="AD246" i="18"/>
  <c r="AA19" i="18"/>
  <c r="AA15" i="18"/>
  <c r="AA11" i="18" s="1"/>
  <c r="AF15" i="18"/>
  <c r="AF11" i="18" s="1"/>
  <c r="AM36" i="18"/>
  <c r="AM15" i="18" s="1"/>
  <c r="AM11" i="18" s="1"/>
  <c r="Q15" i="18"/>
  <c r="Q11" i="18" s="1"/>
  <c r="Q6" i="18" s="1"/>
  <c r="AM6" i="18" s="1"/>
  <c r="S45" i="18"/>
  <c r="S13" i="18" s="1"/>
  <c r="S44" i="18"/>
  <c r="T45" i="18"/>
  <c r="T13" i="18" s="1"/>
  <c r="T44" i="18"/>
  <c r="S19" i="18"/>
  <c r="AK33" i="18"/>
  <c r="AM68" i="18"/>
  <c r="AM65" i="18" s="1"/>
  <c r="AB79" i="18"/>
  <c r="AB12" i="18" s="1"/>
  <c r="AM108" i="18"/>
  <c r="Y120" i="18"/>
  <c r="Y79" i="18" s="1"/>
  <c r="Y12" i="18" s="1"/>
  <c r="AD129" i="18"/>
  <c r="AD119" i="18" s="1"/>
  <c r="AD124" i="18"/>
  <c r="AA155" i="18"/>
  <c r="AD157" i="18"/>
  <c r="AK19" i="18"/>
  <c r="AL19" i="18" s="1"/>
  <c r="AK47" i="18"/>
  <c r="AK45" i="18" s="1"/>
  <c r="AK13" i="18" s="1"/>
  <c r="AK8" i="18" s="1"/>
  <c r="AK76" i="18"/>
  <c r="AL76" i="18" s="1"/>
  <c r="X155" i="18"/>
  <c r="X246" i="18"/>
  <c r="L17" i="18"/>
  <c r="L13" i="18" s="1"/>
  <c r="L8" i="18" s="1"/>
  <c r="J12" i="18"/>
  <c r="J10" i="18" s="1"/>
  <c r="P52" i="18"/>
  <c r="U97" i="18"/>
  <c r="U96" i="18" s="1"/>
  <c r="R160" i="18"/>
  <c r="R156" i="18" s="1"/>
  <c r="AK36" i="18"/>
  <c r="AL36" i="18" s="1"/>
  <c r="AK102" i="18"/>
  <c r="AD120" i="18"/>
  <c r="AD79" i="18" s="1"/>
  <c r="T123" i="18"/>
  <c r="T121" i="18" s="1"/>
  <c r="Q123" i="18"/>
  <c r="S160" i="18"/>
  <c r="S156" i="18" s="1"/>
  <c r="S6" i="18" s="1"/>
  <c r="P129" i="18"/>
  <c r="AM143" i="18"/>
  <c r="AE160" i="18"/>
  <c r="AE156" i="18" s="1"/>
  <c r="AF172" i="18"/>
  <c r="AF171" i="18" s="1"/>
  <c r="AF160" i="18" s="1"/>
  <c r="AF156" i="18" s="1"/>
  <c r="AG171" i="18"/>
  <c r="AG160" i="18" s="1"/>
  <c r="AG156" i="18" s="1"/>
  <c r="R205" i="18"/>
  <c r="T211" i="18"/>
  <c r="T209" i="18" s="1"/>
  <c r="T208" i="18" s="1"/>
  <c r="Q211" i="18"/>
  <c r="U209" i="18"/>
  <c r="U208" i="18" s="1"/>
  <c r="U205" i="18" s="1"/>
  <c r="P254" i="18"/>
  <c r="Q253" i="18"/>
  <c r="Q252" i="18" s="1"/>
  <c r="Q246" i="18" s="1"/>
  <c r="AK116" i="18"/>
  <c r="AM138" i="18"/>
  <c r="AM129" i="18" s="1"/>
  <c r="AM148" i="18"/>
  <c r="AJ160" i="18"/>
  <c r="AJ156" i="18" s="1"/>
  <c r="AM208" i="18"/>
  <c r="AM205" i="18" s="1"/>
  <c r="AM157" i="18" s="1"/>
  <c r="AG205" i="18"/>
  <c r="AG157" i="18" s="1"/>
  <c r="Q8" i="18"/>
  <c r="P205" i="18"/>
  <c r="N206" i="18"/>
  <c r="N158" i="18" s="1"/>
  <c r="R206" i="18"/>
  <c r="R158" i="18" s="1"/>
  <c r="V206" i="18"/>
  <c r="AA206" i="18"/>
  <c r="AA158" i="18" s="1"/>
  <c r="AA8" i="18" s="1"/>
  <c r="AE206" i="18"/>
  <c r="AE158" i="18" s="1"/>
  <c r="AE8" i="18" s="1"/>
  <c r="AI206" i="18"/>
  <c r="AI158" i="18" s="1"/>
  <c r="AI8" i="18" s="1"/>
  <c r="Q232" i="18"/>
  <c r="O242" i="18"/>
  <c r="AK269" i="18"/>
  <c r="AK278" i="18"/>
  <c r="AL278" i="18" s="1"/>
  <c r="S260" i="18"/>
  <c r="S155" i="18" s="1"/>
  <c r="R289" i="18"/>
  <c r="R288" i="18" s="1"/>
  <c r="AM167" i="18"/>
  <c r="AM160" i="18" s="1"/>
  <c r="AM156" i="18" s="1"/>
  <c r="AM155" i="18" s="1"/>
  <c r="AM242" i="18"/>
  <c r="AK260" i="18"/>
  <c r="AL260" i="18" s="1"/>
  <c r="P262" i="18"/>
  <c r="AK72" i="18"/>
  <c r="AL72" i="18" s="1"/>
  <c r="S79" i="18"/>
  <c r="S10" i="18"/>
  <c r="W79" i="18"/>
  <c r="W12" i="18" s="1"/>
  <c r="W7" i="18" s="1"/>
  <c r="AB10" i="18"/>
  <c r="AA79" i="18"/>
  <c r="AA12" i="18" s="1"/>
  <c r="T129" i="18"/>
  <c r="T119" i="18" s="1"/>
  <c r="T124" i="18"/>
  <c r="T120" i="18" s="1"/>
  <c r="T79" i="18" s="1"/>
  <c r="V129" i="18"/>
  <c r="V119" i="18" s="1"/>
  <c r="V124" i="18"/>
  <c r="V120" i="18" s="1"/>
  <c r="X129" i="18"/>
  <c r="X119" i="18" s="1"/>
  <c r="X124" i="18"/>
  <c r="X120" i="18" s="1"/>
  <c r="X10" i="18" s="1"/>
  <c r="X5" i="18" s="1"/>
  <c r="AC129" i="18"/>
  <c r="AC119" i="18" s="1"/>
  <c r="AC124" i="18"/>
  <c r="AC120" i="18" s="1"/>
  <c r="AC79" i="18" s="1"/>
  <c r="AE129" i="18"/>
  <c r="AE119" i="18" s="1"/>
  <c r="AE124" i="18"/>
  <c r="AE120" i="18" s="1"/>
  <c r="AE79" i="18" s="1"/>
  <c r="J155" i="18"/>
  <c r="J6" i="18"/>
  <c r="AL208" i="18"/>
  <c r="AL205" i="18" s="1"/>
  <c r="AK205" i="18"/>
  <c r="AL47" i="18"/>
  <c r="AL45" i="18" s="1"/>
  <c r="AL13" i="18" s="1"/>
  <c r="AL8" i="18" s="1"/>
  <c r="AL55" i="18"/>
  <c r="AL52" i="18" s="1"/>
  <c r="AK52" i="18"/>
  <c r="AK65" i="18"/>
  <c r="AL68" i="18"/>
  <c r="AL65" i="18" s="1"/>
  <c r="R79" i="18"/>
  <c r="AL138" i="18"/>
  <c r="AL129" i="18" s="1"/>
  <c r="AK129" i="18"/>
  <c r="AL167" i="18"/>
  <c r="AL160" i="18" s="1"/>
  <c r="AL156" i="18" s="1"/>
  <c r="AK160" i="18"/>
  <c r="AK156" i="18" s="1"/>
  <c r="T205" i="18"/>
  <c r="P232" i="18"/>
  <c r="P157" i="18" s="1"/>
  <c r="AK238" i="18"/>
  <c r="P155" i="18"/>
  <c r="P5" i="18" s="1"/>
  <c r="V260" i="18"/>
  <c r="V247" i="18"/>
  <c r="V158" i="18" s="1"/>
  <c r="V8" i="18" s="1"/>
  <c r="AL269" i="18"/>
  <c r="R246" i="18"/>
  <c r="R157" i="18" s="1"/>
  <c r="R155" i="18"/>
  <c r="AK99" i="18"/>
  <c r="U94" i="18"/>
  <c r="U93" i="18" s="1"/>
  <c r="U121" i="18"/>
  <c r="U120" i="18" s="1"/>
  <c r="V209" i="18"/>
  <c r="V208" i="18" s="1"/>
  <c r="AK108" i="18"/>
  <c r="T261" i="18"/>
  <c r="Z336" i="6"/>
  <c r="Q336" i="6"/>
  <c r="Q87" i="6"/>
  <c r="Q86" i="6" s="1"/>
  <c r="Z87" i="6"/>
  <c r="R86" i="6"/>
  <c r="S86" i="6"/>
  <c r="T86" i="6"/>
  <c r="U86" i="6"/>
  <c r="V86" i="6"/>
  <c r="W86" i="6"/>
  <c r="X86" i="6"/>
  <c r="Y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J311" i="17"/>
  <c r="R310" i="17"/>
  <c r="Q310" i="17"/>
  <c r="AO309" i="17"/>
  <c r="AN309" i="17"/>
  <c r="AM309" i="17"/>
  <c r="AL309" i="17"/>
  <c r="AK309" i="17"/>
  <c r="AJ309" i="17"/>
  <c r="AI309" i="17"/>
  <c r="AH309" i="17"/>
  <c r="AG309" i="17"/>
  <c r="AF309" i="17"/>
  <c r="AE309" i="17"/>
  <c r="AD309" i="17"/>
  <c r="AC309" i="17"/>
  <c r="AB309" i="17"/>
  <c r="AA309" i="17"/>
  <c r="Y309" i="17"/>
  <c r="X309" i="17"/>
  <c r="W309" i="17"/>
  <c r="V309" i="17"/>
  <c r="U309" i="17"/>
  <c r="T309" i="17"/>
  <c r="S309" i="17"/>
  <c r="R309" i="17"/>
  <c r="Q309" i="17"/>
  <c r="P309" i="17"/>
  <c r="O309" i="17"/>
  <c r="N309" i="17"/>
  <c r="M309" i="17"/>
  <c r="L309" i="17"/>
  <c r="J309" i="17" s="1"/>
  <c r="J308" i="17"/>
  <c r="R307" i="17"/>
  <c r="Q307" i="17"/>
  <c r="AO306" i="17"/>
  <c r="AN306" i="17"/>
  <c r="AM306" i="17"/>
  <c r="AL306" i="17"/>
  <c r="AK306" i="17"/>
  <c r="AJ306" i="17"/>
  <c r="AI306" i="17"/>
  <c r="AH306" i="17"/>
  <c r="AG306" i="17"/>
  <c r="AF306" i="17"/>
  <c r="AE306" i="17"/>
  <c r="AD306" i="17"/>
  <c r="AC306" i="17"/>
  <c r="AB306" i="17"/>
  <c r="AA306" i="17"/>
  <c r="Y306" i="17"/>
  <c r="X306" i="17"/>
  <c r="W306" i="17"/>
  <c r="V306" i="17"/>
  <c r="U306" i="17"/>
  <c r="T306" i="17"/>
  <c r="S306" i="17"/>
  <c r="R306" i="17"/>
  <c r="Q306" i="17"/>
  <c r="P306" i="17"/>
  <c r="O306" i="17"/>
  <c r="N306" i="17"/>
  <c r="M306" i="17"/>
  <c r="L306" i="17"/>
  <c r="J306" i="17" s="1"/>
  <c r="J298" i="17"/>
  <c r="R297" i="17"/>
  <c r="Q297" i="17"/>
  <c r="AO296" i="17"/>
  <c r="AN296" i="17"/>
  <c r="AM296" i="17"/>
  <c r="AL296" i="17"/>
  <c r="AK296" i="17"/>
  <c r="AJ296" i="17"/>
  <c r="AI296" i="17"/>
  <c r="AH296" i="17"/>
  <c r="AG296" i="17"/>
  <c r="AF296" i="17"/>
  <c r="AE296" i="17"/>
  <c r="AD296" i="17"/>
  <c r="AC296" i="17"/>
  <c r="AB296" i="17"/>
  <c r="AA296" i="17"/>
  <c r="Y296" i="17"/>
  <c r="X296" i="17"/>
  <c r="W296" i="17"/>
  <c r="V296" i="17"/>
  <c r="U296" i="17"/>
  <c r="T296" i="17"/>
  <c r="S296" i="17"/>
  <c r="R296" i="17"/>
  <c r="Q296" i="17"/>
  <c r="P296" i="17"/>
  <c r="O296" i="17"/>
  <c r="N296" i="17"/>
  <c r="M296" i="17"/>
  <c r="L296" i="17"/>
  <c r="J296" i="17" s="1"/>
  <c r="W293" i="17"/>
  <c r="AK291" i="17"/>
  <c r="AJ291" i="17"/>
  <c r="AI291" i="17"/>
  <c r="AH291" i="17"/>
  <c r="AG291" i="17"/>
  <c r="AF291" i="17"/>
  <c r="AE291" i="17"/>
  <c r="AE287" i="17" s="1"/>
  <c r="AE286" i="17" s="1"/>
  <c r="AD291" i="17"/>
  <c r="AD287" i="17" s="1"/>
  <c r="AD286" i="17" s="1"/>
  <c r="AC291" i="17"/>
  <c r="AC286" i="17" s="1"/>
  <c r="AB291" i="17"/>
  <c r="AB286" i="17" s="1"/>
  <c r="AA290" i="17"/>
  <c r="V290" i="17"/>
  <c r="V287" i="17" s="1"/>
  <c r="V286" i="17" s="1"/>
  <c r="Q290" i="17"/>
  <c r="P290" i="17"/>
  <c r="AA289" i="17"/>
  <c r="Q289" i="17"/>
  <c r="R288" i="17"/>
  <c r="Z287" i="17"/>
  <c r="Z286" i="17" s="1"/>
  <c r="Y287" i="17"/>
  <c r="Y286" i="17" s="1"/>
  <c r="X287" i="17"/>
  <c r="X286" i="17" s="1"/>
  <c r="W287" i="17"/>
  <c r="U287" i="17"/>
  <c r="U286" i="17" s="1"/>
  <c r="T287" i="17"/>
  <c r="T286" i="17" s="1"/>
  <c r="S287" i="17"/>
  <c r="S286" i="17" s="1"/>
  <c r="J287" i="17"/>
  <c r="AQ286" i="17"/>
  <c r="AO286" i="17"/>
  <c r="AN286" i="17"/>
  <c r="AL286" i="17"/>
  <c r="AK286" i="17"/>
  <c r="AJ286" i="17"/>
  <c r="AI286" i="17"/>
  <c r="AH286" i="17"/>
  <c r="AG286" i="17"/>
  <c r="AF286" i="17"/>
  <c r="AA286" i="17"/>
  <c r="W286" i="17"/>
  <c r="Q286" i="17"/>
  <c r="P286" i="17"/>
  <c r="O286" i="17"/>
  <c r="N286" i="17"/>
  <c r="M286" i="17"/>
  <c r="L286" i="17"/>
  <c r="J286" i="17" s="1"/>
  <c r="J285" i="17"/>
  <c r="R284" i="17"/>
  <c r="P284" i="17" s="1"/>
  <c r="AO283" i="17"/>
  <c r="AN283" i="17"/>
  <c r="AM283" i="17"/>
  <c r="AL283" i="17"/>
  <c r="AK283" i="17"/>
  <c r="AJ283" i="17"/>
  <c r="AI283" i="17"/>
  <c r="AH283" i="17"/>
  <c r="AG283" i="17"/>
  <c r="AF283" i="17"/>
  <c r="AE283" i="17"/>
  <c r="AD283" i="17"/>
  <c r="AC283" i="17"/>
  <c r="AB283" i="17"/>
  <c r="AA283" i="17"/>
  <c r="Z283" i="17"/>
  <c r="Y283" i="17"/>
  <c r="X283" i="17"/>
  <c r="W283" i="17"/>
  <c r="V283" i="17"/>
  <c r="U283" i="17"/>
  <c r="T283" i="17"/>
  <c r="S283" i="17"/>
  <c r="R283" i="17"/>
  <c r="Q283" i="17"/>
  <c r="P283" i="17"/>
  <c r="O283" i="17"/>
  <c r="N283" i="17"/>
  <c r="M283" i="17"/>
  <c r="L283" i="17"/>
  <c r="J283" i="17" s="1"/>
  <c r="J282" i="17"/>
  <c r="Q281" i="17"/>
  <c r="AA280" i="17"/>
  <c r="R280" i="17"/>
  <c r="Q280" i="17"/>
  <c r="Q279" i="17"/>
  <c r="R278" i="17"/>
  <c r="P278" i="17" s="1"/>
  <c r="Q278" i="17"/>
  <c r="AJ277" i="17"/>
  <c r="AI277" i="17"/>
  <c r="AI276" i="17" s="1"/>
  <c r="AH277" i="17"/>
  <c r="AH276" i="17" s="1"/>
  <c r="AG277" i="17"/>
  <c r="AG276" i="17" s="1"/>
  <c r="AF277" i="17"/>
  <c r="AF276" i="17" s="1"/>
  <c r="AE277" i="17"/>
  <c r="AE276" i="17" s="1"/>
  <c r="AD277" i="17"/>
  <c r="AC277" i="17"/>
  <c r="AC276" i="17" s="1"/>
  <c r="AB277" i="17"/>
  <c r="AB276" i="17" s="1"/>
  <c r="AA277" i="17"/>
  <c r="AA276" i="17" s="1"/>
  <c r="Y277" i="17"/>
  <c r="Y276" i="17" s="1"/>
  <c r="W277" i="17"/>
  <c r="W276" i="17" s="1"/>
  <c r="V277" i="17"/>
  <c r="U277" i="17"/>
  <c r="T277" i="17"/>
  <c r="T276" i="17" s="1"/>
  <c r="S277" i="17"/>
  <c r="S276" i="17" s="1"/>
  <c r="R277" i="17"/>
  <c r="R276" i="17" s="1"/>
  <c r="J277" i="17"/>
  <c r="AO276" i="17"/>
  <c r="AN276" i="17"/>
  <c r="AJ276" i="17"/>
  <c r="AD276" i="17"/>
  <c r="X276" i="17"/>
  <c r="V276" i="17"/>
  <c r="U276" i="17"/>
  <c r="P276" i="17"/>
  <c r="O276" i="17"/>
  <c r="N276" i="17"/>
  <c r="M276" i="17"/>
  <c r="L276" i="17"/>
  <c r="J276" i="17" s="1"/>
  <c r="J275" i="17"/>
  <c r="AA274" i="17"/>
  <c r="AA272" i="17" s="1"/>
  <c r="AA271" i="17" s="1"/>
  <c r="T274" i="17"/>
  <c r="P274" i="17" s="1"/>
  <c r="Q274" i="17"/>
  <c r="AF273" i="17"/>
  <c r="T273" i="17"/>
  <c r="Q273" i="17"/>
  <c r="AJ272" i="17"/>
  <c r="AJ271" i="17" s="1"/>
  <c r="AI272" i="17"/>
  <c r="AI271" i="17" s="1"/>
  <c r="AH272" i="17"/>
  <c r="AH271" i="17" s="1"/>
  <c r="AG272" i="17"/>
  <c r="AG271" i="17" s="1"/>
  <c r="AF272" i="17"/>
  <c r="AF271" i="17" s="1"/>
  <c r="AE272" i="17"/>
  <c r="AD272" i="17"/>
  <c r="AD271" i="17" s="1"/>
  <c r="AC272" i="17"/>
  <c r="AC271" i="17" s="1"/>
  <c r="AB272" i="17"/>
  <c r="AB271" i="17" s="1"/>
  <c r="Y272" i="17"/>
  <c r="Y271" i="17" s="1"/>
  <c r="W272" i="17"/>
  <c r="W271" i="17" s="1"/>
  <c r="V272" i="17"/>
  <c r="V271" i="17" s="1"/>
  <c r="U272" i="17"/>
  <c r="S272" i="17"/>
  <c r="S271" i="17" s="1"/>
  <c r="Q272" i="17"/>
  <c r="AO271" i="17"/>
  <c r="AN271" i="17"/>
  <c r="AM271" i="17"/>
  <c r="AK271" i="17"/>
  <c r="AL271" i="17" s="1"/>
  <c r="AE271" i="17"/>
  <c r="X271" i="17"/>
  <c r="U271" i="17"/>
  <c r="O271" i="17"/>
  <c r="N271" i="17"/>
  <c r="M271" i="17"/>
  <c r="L271" i="17"/>
  <c r="J271" i="17" s="1"/>
  <c r="J270" i="17"/>
  <c r="AF269" i="17"/>
  <c r="AF268" i="17" s="1"/>
  <c r="AF267" i="17" s="1"/>
  <c r="AA269" i="17"/>
  <c r="U269" i="17"/>
  <c r="T269" i="17" s="1"/>
  <c r="T268" i="17" s="1"/>
  <c r="T267" i="17" s="1"/>
  <c r="Q269" i="17"/>
  <c r="P269" i="17"/>
  <c r="AJ268" i="17"/>
  <c r="AI268" i="17"/>
  <c r="AI267" i="17" s="1"/>
  <c r="AH268" i="17"/>
  <c r="AH267" i="17" s="1"/>
  <c r="AG268" i="17"/>
  <c r="AG267" i="17" s="1"/>
  <c r="AD268" i="17"/>
  <c r="AC268" i="17"/>
  <c r="AC267" i="17" s="1"/>
  <c r="AB268" i="17"/>
  <c r="AB267" i="17" s="1"/>
  <c r="Y268" i="17"/>
  <c r="Y267" i="17" s="1"/>
  <c r="X268" i="17"/>
  <c r="X267" i="17" s="1"/>
  <c r="W268" i="17"/>
  <c r="W267" i="17" s="1"/>
  <c r="V268" i="17"/>
  <c r="V267" i="17" s="1"/>
  <c r="U268" i="17"/>
  <c r="U267" i="17" s="1"/>
  <c r="S268" i="17"/>
  <c r="S267" i="17" s="1"/>
  <c r="R268" i="17"/>
  <c r="R267" i="17" s="1"/>
  <c r="J268" i="17"/>
  <c r="AO267" i="17"/>
  <c r="AN267" i="17"/>
  <c r="AJ267" i="17"/>
  <c r="AE267" i="17"/>
  <c r="AD267" i="17"/>
  <c r="AA267" i="17"/>
  <c r="Q267" i="17"/>
  <c r="P267" i="17"/>
  <c r="O267" i="17"/>
  <c r="N267" i="17"/>
  <c r="M267" i="17"/>
  <c r="L267" i="17"/>
  <c r="J267" i="17"/>
  <c r="AK265" i="17"/>
  <c r="AL265" i="17" s="1"/>
  <c r="O265" i="17"/>
  <c r="N265" i="17"/>
  <c r="M265" i="17"/>
  <c r="L265" i="17"/>
  <c r="AA264" i="17"/>
  <c r="V264" i="17"/>
  <c r="V263" i="17" s="1"/>
  <c r="Q264" i="17"/>
  <c r="AI263" i="17"/>
  <c r="AH263" i="17"/>
  <c r="AG263" i="17"/>
  <c r="AF263" i="17"/>
  <c r="AF258" i="17" s="1"/>
  <c r="AE263" i="17"/>
  <c r="AE245" i="17" s="1"/>
  <c r="AD263" i="17"/>
  <c r="AD245" i="17" s="1"/>
  <c r="AC263" i="17"/>
  <c r="AB263" i="17"/>
  <c r="Y263" i="17"/>
  <c r="Y245" i="17" s="1"/>
  <c r="X263" i="17"/>
  <c r="X245" i="17" s="1"/>
  <c r="W263" i="17"/>
  <c r="U263" i="17"/>
  <c r="T263" i="17"/>
  <c r="T245" i="17" s="1"/>
  <c r="S263" i="17"/>
  <c r="R263" i="17"/>
  <c r="AA261" i="17"/>
  <c r="T261" i="17"/>
  <c r="Q261" i="17"/>
  <c r="AA260" i="17"/>
  <c r="T260" i="17"/>
  <c r="R260" i="17"/>
  <c r="Q260" i="17"/>
  <c r="AE259" i="17"/>
  <c r="AD259" i="17"/>
  <c r="AC259" i="17"/>
  <c r="AC258" i="17" s="1"/>
  <c r="AB259" i="17"/>
  <c r="AB258" i="17" s="1"/>
  <c r="Y259" i="17"/>
  <c r="X259" i="17"/>
  <c r="W259" i="17"/>
  <c r="W258" i="17" s="1"/>
  <c r="V259" i="17"/>
  <c r="U259" i="17"/>
  <c r="S259" i="17"/>
  <c r="R259" i="17"/>
  <c r="R258" i="17" s="1"/>
  <c r="AQ258" i="17"/>
  <c r="AG258" i="17"/>
  <c r="AA258" i="17"/>
  <c r="Z258" i="17"/>
  <c r="Y258" i="17"/>
  <c r="U258" i="17"/>
  <c r="Q258" i="17"/>
  <c r="P258" i="17"/>
  <c r="O258" i="17"/>
  <c r="N258" i="17"/>
  <c r="M258" i="17"/>
  <c r="L258" i="17"/>
  <c r="J258" i="17" s="1"/>
  <c r="AF257" i="17"/>
  <c r="AF256" i="17" s="1"/>
  <c r="AF255" i="17" s="1"/>
  <c r="AA257" i="17"/>
  <c r="V257" i="17"/>
  <c r="V256" i="17" s="1"/>
  <c r="V255" i="17" s="1"/>
  <c r="R257" i="17"/>
  <c r="Q257" i="17"/>
  <c r="P257" i="17" s="1"/>
  <c r="AO256" i="17"/>
  <c r="AO255" i="17" s="1"/>
  <c r="AN256" i="17"/>
  <c r="AM256" i="17"/>
  <c r="AM255" i="17" s="1"/>
  <c r="AL256" i="17"/>
  <c r="AL255" i="17" s="1"/>
  <c r="AK256" i="17"/>
  <c r="AK255" i="17" s="1"/>
  <c r="AJ256" i="17"/>
  <c r="AJ255" i="17" s="1"/>
  <c r="AI256" i="17"/>
  <c r="AI255" i="17" s="1"/>
  <c r="AH256" i="17"/>
  <c r="AG256" i="17"/>
  <c r="AG255" i="17" s="1"/>
  <c r="AE256" i="17"/>
  <c r="AE255" i="17" s="1"/>
  <c r="AD256" i="17"/>
  <c r="AD255" i="17" s="1"/>
  <c r="AC256" i="17"/>
  <c r="AC255" i="17" s="1"/>
  <c r="AB256" i="17"/>
  <c r="AB255" i="17" s="1"/>
  <c r="AA256" i="17"/>
  <c r="AA255" i="17" s="1"/>
  <c r="Y256" i="17"/>
  <c r="Y255" i="17" s="1"/>
  <c r="W256" i="17"/>
  <c r="W255" i="17" s="1"/>
  <c r="U256" i="17"/>
  <c r="U255" i="17" s="1"/>
  <c r="T256" i="17"/>
  <c r="T255" i="17" s="1"/>
  <c r="S256" i="17"/>
  <c r="R256" i="17"/>
  <c r="R255" i="17" s="1"/>
  <c r="AN255" i="17"/>
  <c r="AH255" i="17"/>
  <c r="X255" i="17"/>
  <c r="S255" i="17"/>
  <c r="P255" i="17"/>
  <c r="M255" i="17"/>
  <c r="L255" i="17"/>
  <c r="J255" i="17" s="1"/>
  <c r="AA253" i="17"/>
  <c r="X253" i="17"/>
  <c r="X251" i="17" s="1"/>
  <c r="X250" i="17" s="1"/>
  <c r="V253" i="17"/>
  <c r="V251" i="17" s="1"/>
  <c r="V250" i="17" s="1"/>
  <c r="Q253" i="17"/>
  <c r="AA252" i="17"/>
  <c r="AA251" i="17" s="1"/>
  <c r="AA250" i="17" s="1"/>
  <c r="Q252" i="17"/>
  <c r="P252" i="17" s="1"/>
  <c r="AE251" i="17"/>
  <c r="AE250" i="17" s="1"/>
  <c r="AD251" i="17"/>
  <c r="AD250" i="17" s="1"/>
  <c r="AC251" i="17"/>
  <c r="AC250" i="17" s="1"/>
  <c r="AB251" i="17"/>
  <c r="AB250" i="17" s="1"/>
  <c r="Y251" i="17"/>
  <c r="Y250" i="17" s="1"/>
  <c r="W251" i="17"/>
  <c r="U251" i="17"/>
  <c r="U250" i="17" s="1"/>
  <c r="T251" i="17"/>
  <c r="T250" i="17" s="1"/>
  <c r="S251" i="17"/>
  <c r="R251" i="17"/>
  <c r="R250" i="17" s="1"/>
  <c r="AO250" i="17"/>
  <c r="AN250" i="17"/>
  <c r="AM250" i="17"/>
  <c r="AL250" i="17"/>
  <c r="AK250" i="17"/>
  <c r="AJ250" i="17"/>
  <c r="AI250" i="17"/>
  <c r="AH250" i="17"/>
  <c r="AG250" i="17"/>
  <c r="AF250" i="17"/>
  <c r="W250" i="17"/>
  <c r="S250" i="17"/>
  <c r="P250" i="17"/>
  <c r="O250" i="17"/>
  <c r="N250" i="17"/>
  <c r="M250" i="17"/>
  <c r="L250" i="17"/>
  <c r="AA249" i="17"/>
  <c r="AA248" i="17" s="1"/>
  <c r="Q249" i="17"/>
  <c r="Q248" i="17" s="1"/>
  <c r="AI248" i="17"/>
  <c r="AH248" i="17"/>
  <c r="AH247" i="17" s="1"/>
  <c r="AG248" i="17"/>
  <c r="AG247" i="17" s="1"/>
  <c r="AF248" i="17"/>
  <c r="AF247" i="17" s="1"/>
  <c r="AE248" i="17"/>
  <c r="AD248" i="17"/>
  <c r="AC248" i="17"/>
  <c r="AC247" i="17" s="1"/>
  <c r="AB248" i="17"/>
  <c r="Y248" i="17"/>
  <c r="Y247" i="17" s="1"/>
  <c r="X248" i="17"/>
  <c r="X247" i="17" s="1"/>
  <c r="W248" i="17"/>
  <c r="W247" i="17" s="1"/>
  <c r="V248" i="17"/>
  <c r="V247" i="17" s="1"/>
  <c r="U248" i="17"/>
  <c r="T248" i="17"/>
  <c r="T247" i="17" s="1"/>
  <c r="S248" i="17"/>
  <c r="S247" i="17" s="1"/>
  <c r="R248" i="17"/>
  <c r="R247" i="17" s="1"/>
  <c r="AO247" i="17"/>
  <c r="AN247" i="17"/>
  <c r="AM247" i="17"/>
  <c r="AL247" i="17"/>
  <c r="AK247" i="17"/>
  <c r="AJ247" i="17"/>
  <c r="AI247" i="17"/>
  <c r="AE247" i="17"/>
  <c r="AD247" i="17"/>
  <c r="AB247" i="17"/>
  <c r="U247" i="17"/>
  <c r="O247" i="17"/>
  <c r="N247" i="17"/>
  <c r="M247" i="17"/>
  <c r="L247" i="17"/>
  <c r="L246" i="17"/>
  <c r="AM245" i="17"/>
  <c r="AL245" i="17"/>
  <c r="AK245" i="17"/>
  <c r="AJ245" i="17"/>
  <c r="AF245" i="17"/>
  <c r="AC245" i="17"/>
  <c r="AB245" i="17"/>
  <c r="AA245" i="17"/>
  <c r="W245" i="17"/>
  <c r="U245" i="17"/>
  <c r="R245" i="17"/>
  <c r="Q245" i="17"/>
  <c r="P245" i="17"/>
  <c r="O245" i="17"/>
  <c r="N245" i="17"/>
  <c r="M245" i="17"/>
  <c r="L245" i="17"/>
  <c r="M244" i="17"/>
  <c r="K244" i="17"/>
  <c r="L243" i="17"/>
  <c r="AO241" i="17"/>
  <c r="AN241" i="17"/>
  <c r="AM241" i="17"/>
  <c r="AL241" i="17"/>
  <c r="AK241" i="17"/>
  <c r="AG241" i="17"/>
  <c r="AF241" i="17"/>
  <c r="AE241" i="17"/>
  <c r="AD241" i="17"/>
  <c r="AC241" i="17"/>
  <c r="AB241" i="17"/>
  <c r="Y241" i="17"/>
  <c r="Y240" i="17" s="1"/>
  <c r="X241" i="17"/>
  <c r="X240" i="17" s="1"/>
  <c r="W241" i="17"/>
  <c r="V241" i="17"/>
  <c r="U241" i="17"/>
  <c r="U240" i="17" s="1"/>
  <c r="T241" i="17"/>
  <c r="T240" i="17" s="1"/>
  <c r="S241" i="17"/>
  <c r="S240" i="17" s="1"/>
  <c r="R241" i="17"/>
  <c r="O241" i="17"/>
  <c r="L241" i="17" s="1"/>
  <c r="AO240" i="17"/>
  <c r="AN240" i="17"/>
  <c r="AJ240" i="17"/>
  <c r="AI240" i="17"/>
  <c r="AH240" i="17"/>
  <c r="AG240" i="17"/>
  <c r="AF240" i="17"/>
  <c r="AE240" i="17"/>
  <c r="AD240" i="17"/>
  <c r="AC240" i="17"/>
  <c r="AB240" i="17"/>
  <c r="AA240" i="17"/>
  <c r="Z240" i="17"/>
  <c r="W240" i="17"/>
  <c r="V240" i="17"/>
  <c r="R240" i="17"/>
  <c r="Q240" i="17"/>
  <c r="P240" i="17"/>
  <c r="O240" i="17"/>
  <c r="N240" i="17"/>
  <c r="M240" i="17"/>
  <c r="R238" i="17"/>
  <c r="P238" i="17" s="1"/>
  <c r="P237" i="17" s="1"/>
  <c r="P236" i="17" s="1"/>
  <c r="L238" i="17"/>
  <c r="AO237" i="17"/>
  <c r="AN237" i="17"/>
  <c r="AM237" i="17"/>
  <c r="AL237" i="17"/>
  <c r="AK237" i="17"/>
  <c r="AG237" i="17"/>
  <c r="AG236" i="17" s="1"/>
  <c r="AF237" i="17"/>
  <c r="AE237" i="17"/>
  <c r="AE236" i="17" s="1"/>
  <c r="AE230" i="17" s="1"/>
  <c r="AD237" i="17"/>
  <c r="AD236" i="17" s="1"/>
  <c r="AD230" i="17" s="1"/>
  <c r="AC237" i="17"/>
  <c r="AC236" i="17" s="1"/>
  <c r="AC230" i="17" s="1"/>
  <c r="AB237" i="17"/>
  <c r="AA237" i="17"/>
  <c r="AA236" i="17" s="1"/>
  <c r="AA230" i="17" s="1"/>
  <c r="Y237" i="17"/>
  <c r="Y236" i="17" s="1"/>
  <c r="Y230" i="17" s="1"/>
  <c r="X237" i="17"/>
  <c r="W237" i="17"/>
  <c r="V237" i="17"/>
  <c r="V236" i="17" s="1"/>
  <c r="U237" i="17"/>
  <c r="U236" i="17" s="1"/>
  <c r="U230" i="17" s="1"/>
  <c r="T237" i="17"/>
  <c r="T236" i="17" s="1"/>
  <c r="T230" i="17" s="1"/>
  <c r="S237" i="17"/>
  <c r="Q237" i="17"/>
  <c r="Q236" i="17" s="1"/>
  <c r="AM236" i="17" s="1"/>
  <c r="O237" i="17"/>
  <c r="L237" i="17" s="1"/>
  <c r="L236" i="17" s="1"/>
  <c r="L230" i="17" s="1"/>
  <c r="AO236" i="17"/>
  <c r="AN236" i="17"/>
  <c r="AJ236" i="17"/>
  <c r="AI236" i="17"/>
  <c r="AH236" i="17"/>
  <c r="AF236" i="17"/>
  <c r="AB236" i="17"/>
  <c r="AB230" i="17" s="1"/>
  <c r="Z236" i="17"/>
  <c r="X236" i="17"/>
  <c r="X230" i="17" s="1"/>
  <c r="W236" i="17"/>
  <c r="S236" i="17"/>
  <c r="S230" i="17" s="1"/>
  <c r="O236" i="17"/>
  <c r="O230" i="17" s="1"/>
  <c r="N236" i="17"/>
  <c r="N230" i="17" s="1"/>
  <c r="M236" i="17"/>
  <c r="AO233" i="17"/>
  <c r="AN233" i="17"/>
  <c r="AM233" i="17"/>
  <c r="AL233" i="17"/>
  <c r="AK233" i="17"/>
  <c r="AJ233" i="17"/>
  <c r="AI233" i="17"/>
  <c r="AH233" i="17"/>
  <c r="AG233" i="17"/>
  <c r="AF233" i="17"/>
  <c r="AE233" i="17"/>
  <c r="AD233" i="17"/>
  <c r="AC233" i="17"/>
  <c r="AB233" i="17"/>
  <c r="AA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L232" i="17"/>
  <c r="L231" i="17"/>
  <c r="W230" i="17"/>
  <c r="V230" i="17"/>
  <c r="Q230" i="17"/>
  <c r="M230" i="17"/>
  <c r="K230" i="17"/>
  <c r="L229" i="17"/>
  <c r="AO227" i="17"/>
  <c r="AN227" i="17"/>
  <c r="AM227" i="17"/>
  <c r="AL227" i="17"/>
  <c r="AK227" i="17"/>
  <c r="AJ227" i="17"/>
  <c r="AI227" i="17"/>
  <c r="AH227" i="17"/>
  <c r="AG227" i="17"/>
  <c r="AF227" i="17"/>
  <c r="AE227" i="17"/>
  <c r="AD227" i="17"/>
  <c r="AC227" i="17"/>
  <c r="AB227" i="17"/>
  <c r="AA227" i="17"/>
  <c r="Y227" i="17"/>
  <c r="X227" i="17"/>
  <c r="W227" i="17"/>
  <c r="V227" i="17"/>
  <c r="U227" i="17"/>
  <c r="T227" i="17"/>
  <c r="S227" i="17"/>
  <c r="R227" i="17"/>
  <c r="Q227" i="17"/>
  <c r="P227" i="17"/>
  <c r="O227" i="17"/>
  <c r="N227" i="17"/>
  <c r="M227" i="17"/>
  <c r="L227" i="17"/>
  <c r="AO225" i="17"/>
  <c r="AN225" i="17"/>
  <c r="AM225" i="17"/>
  <c r="AL225" i="17"/>
  <c r="AK225" i="17"/>
  <c r="AJ225" i="17"/>
  <c r="AI225" i="17"/>
  <c r="AH225" i="17"/>
  <c r="AG225" i="17"/>
  <c r="AF225" i="17"/>
  <c r="AE225" i="17"/>
  <c r="AD225" i="17"/>
  <c r="AC225" i="17"/>
  <c r="AB225" i="17"/>
  <c r="AA225" i="17"/>
  <c r="Y225" i="17"/>
  <c r="X225" i="17"/>
  <c r="W225" i="17"/>
  <c r="V225" i="17"/>
  <c r="U225" i="17"/>
  <c r="T225" i="17"/>
  <c r="S225" i="17"/>
  <c r="R225" i="17"/>
  <c r="Q225" i="17"/>
  <c r="P225" i="17"/>
  <c r="O225" i="17"/>
  <c r="N225" i="17"/>
  <c r="M225" i="17"/>
  <c r="L225" i="17"/>
  <c r="AO223" i="17"/>
  <c r="AN223" i="17"/>
  <c r="AM223" i="17"/>
  <c r="AL223" i="17"/>
  <c r="AK223" i="17"/>
  <c r="AJ223" i="17"/>
  <c r="AJ204" i="17" s="1"/>
  <c r="AJ156" i="17" s="1"/>
  <c r="AI223" i="17"/>
  <c r="AH223" i="17"/>
  <c r="AG223" i="17"/>
  <c r="AF223" i="17"/>
  <c r="AE223" i="17"/>
  <c r="AD223" i="17"/>
  <c r="AC223" i="17"/>
  <c r="AB223" i="17"/>
  <c r="AA223" i="17"/>
  <c r="AA204" i="17" s="1"/>
  <c r="AA156" i="17" s="1"/>
  <c r="Y223" i="17"/>
  <c r="X223" i="17"/>
  <c r="W223" i="17"/>
  <c r="V223" i="17"/>
  <c r="V204" i="17" s="1"/>
  <c r="U223" i="17"/>
  <c r="T223" i="17"/>
  <c r="S223" i="17"/>
  <c r="S204" i="17" s="1"/>
  <c r="R223" i="17"/>
  <c r="R204" i="17" s="1"/>
  <c r="R156" i="17" s="1"/>
  <c r="Q223" i="17"/>
  <c r="P223" i="17"/>
  <c r="O223" i="17"/>
  <c r="N223" i="17"/>
  <c r="M223" i="17"/>
  <c r="L223" i="17"/>
  <c r="Q222" i="17"/>
  <c r="Q221" i="17"/>
  <c r="Q220" i="17"/>
  <c r="Q219" i="17"/>
  <c r="AJ218" i="17"/>
  <c r="AJ217" i="17" s="1"/>
  <c r="AI218" i="17"/>
  <c r="AI217" i="17" s="1"/>
  <c r="AH218" i="17"/>
  <c r="AH217" i="17" s="1"/>
  <c r="AG218" i="17"/>
  <c r="AG217" i="17" s="1"/>
  <c r="AF218" i="17"/>
  <c r="AF217" i="17" s="1"/>
  <c r="AE218" i="17"/>
  <c r="AE217" i="17" s="1"/>
  <c r="AD218" i="17"/>
  <c r="AD217" i="17" s="1"/>
  <c r="AC218" i="17"/>
  <c r="AC217" i="17" s="1"/>
  <c r="AB218" i="17"/>
  <c r="AB217" i="17" s="1"/>
  <c r="AA218" i="17"/>
  <c r="AA217" i="17" s="1"/>
  <c r="Y218" i="17"/>
  <c r="W218" i="17"/>
  <c r="W217" i="17" s="1"/>
  <c r="V218" i="17"/>
  <c r="U218" i="17"/>
  <c r="U217" i="17" s="1"/>
  <c r="T218" i="17"/>
  <c r="T217" i="17" s="1"/>
  <c r="S218" i="17"/>
  <c r="S217" i="17" s="1"/>
  <c r="R218" i="17"/>
  <c r="R217" i="17" s="1"/>
  <c r="AO217" i="17"/>
  <c r="AN217" i="17"/>
  <c r="AM217" i="17"/>
  <c r="AL217" i="17"/>
  <c r="AK217" i="17"/>
  <c r="Y217" i="17"/>
  <c r="X217" i="17"/>
  <c r="V217" i="17"/>
  <c r="P217" i="17"/>
  <c r="O217" i="17"/>
  <c r="N217" i="17"/>
  <c r="M217" i="17"/>
  <c r="L217" i="17"/>
  <c r="Q216" i="17"/>
  <c r="Q215" i="17"/>
  <c r="Q214" i="17"/>
  <c r="Q213" i="17"/>
  <c r="AO212" i="17"/>
  <c r="AO211" i="17" s="1"/>
  <c r="AN212" i="17"/>
  <c r="AN211" i="17" s="1"/>
  <c r="AM212" i="17"/>
  <c r="AM211" i="17" s="1"/>
  <c r="AL212" i="17"/>
  <c r="AK212" i="17"/>
  <c r="AK211" i="17" s="1"/>
  <c r="AJ212" i="17"/>
  <c r="AJ211" i="17" s="1"/>
  <c r="AI212" i="17"/>
  <c r="AI211" i="17" s="1"/>
  <c r="AH212" i="17"/>
  <c r="AH211" i="17" s="1"/>
  <c r="AG212" i="17"/>
  <c r="AG211" i="17" s="1"/>
  <c r="AF212" i="17"/>
  <c r="AF211" i="17" s="1"/>
  <c r="AE212" i="17"/>
  <c r="AE211" i="17" s="1"/>
  <c r="AD212" i="17"/>
  <c r="AC212" i="17"/>
  <c r="AC211" i="17" s="1"/>
  <c r="AB212" i="17"/>
  <c r="AB211" i="17" s="1"/>
  <c r="AA212" i="17"/>
  <c r="AA211" i="17" s="1"/>
  <c r="Y212" i="17"/>
  <c r="Y211" i="17" s="1"/>
  <c r="W212" i="17"/>
  <c r="W211" i="17" s="1"/>
  <c r="V212" i="17"/>
  <c r="V211" i="17" s="1"/>
  <c r="U212" i="17"/>
  <c r="U211" i="17" s="1"/>
  <c r="T212" i="17"/>
  <c r="T211" i="17" s="1"/>
  <c r="S212" i="17"/>
  <c r="S211" i="17" s="1"/>
  <c r="R212" i="17"/>
  <c r="R211" i="17" s="1"/>
  <c r="AL211" i="17"/>
  <c r="AD211" i="17"/>
  <c r="X211" i="17"/>
  <c r="P211" i="17"/>
  <c r="O211" i="17"/>
  <c r="N211" i="17"/>
  <c r="M211" i="17"/>
  <c r="L211" i="17"/>
  <c r="AF209" i="17"/>
  <c r="AF207" i="17" s="1"/>
  <c r="AF206" i="17" s="1"/>
  <c r="AA209" i="17"/>
  <c r="U209" i="17"/>
  <c r="AA208" i="17"/>
  <c r="V208" i="17"/>
  <c r="Q208" i="17" s="1"/>
  <c r="AO207" i="17"/>
  <c r="AN207" i="17"/>
  <c r="AN206" i="17" s="1"/>
  <c r="AM207" i="17"/>
  <c r="AL207" i="17"/>
  <c r="AK207" i="17"/>
  <c r="AJ207" i="17"/>
  <c r="AJ206" i="17" s="1"/>
  <c r="AI207" i="17"/>
  <c r="AI206" i="17" s="1"/>
  <c r="AH207" i="17"/>
  <c r="AH206" i="17" s="1"/>
  <c r="AG207" i="17"/>
  <c r="AE207" i="17"/>
  <c r="AE206" i="17" s="1"/>
  <c r="AD207" i="17"/>
  <c r="AD206" i="17" s="1"/>
  <c r="AC207" i="17"/>
  <c r="AB207" i="17"/>
  <c r="Y207" i="17"/>
  <c r="Y206" i="17" s="1"/>
  <c r="X207" i="17"/>
  <c r="X206" i="17" s="1"/>
  <c r="W207" i="17"/>
  <c r="W206" i="17" s="1"/>
  <c r="S207" i="17"/>
  <c r="S206" i="17" s="1"/>
  <c r="R207" i="17"/>
  <c r="R206" i="17" s="1"/>
  <c r="AO206" i="17"/>
  <c r="AO203" i="17" s="1"/>
  <c r="AG206" i="17"/>
  <c r="AC206" i="17"/>
  <c r="AB206" i="17"/>
  <c r="AA206" i="17"/>
  <c r="Q206" i="17"/>
  <c r="P206" i="17"/>
  <c r="O206" i="17"/>
  <c r="N206" i="17"/>
  <c r="M206" i="17"/>
  <c r="L206" i="17"/>
  <c r="AI204" i="17"/>
  <c r="AI156" i="17" s="1"/>
  <c r="AN203" i="17"/>
  <c r="K203" i="17"/>
  <c r="J203" i="17"/>
  <c r="P199" i="17"/>
  <c r="P196" i="17"/>
  <c r="P193" i="17"/>
  <c r="AA191" i="17"/>
  <c r="X191" i="17"/>
  <c r="Q191" i="17"/>
  <c r="AA190" i="17"/>
  <c r="X190" i="17"/>
  <c r="Q190" i="17"/>
  <c r="AA189" i="17"/>
  <c r="AA188" i="17"/>
  <c r="T188" i="17"/>
  <c r="R188" i="17"/>
  <c r="Q188" i="17"/>
  <c r="X187" i="17"/>
  <c r="Q187" i="17"/>
  <c r="AJ186" i="17"/>
  <c r="AJ185" i="17" s="1"/>
  <c r="AI186" i="17"/>
  <c r="AI185" i="17" s="1"/>
  <c r="AH186" i="17"/>
  <c r="AH185" i="17" s="1"/>
  <c r="AG186" i="17"/>
  <c r="AG185" i="17" s="1"/>
  <c r="AF186" i="17"/>
  <c r="AF185" i="17" s="1"/>
  <c r="AE186" i="17"/>
  <c r="AD186" i="17"/>
  <c r="AD185" i="17" s="1"/>
  <c r="AC186" i="17"/>
  <c r="AC185" i="17" s="1"/>
  <c r="AB186" i="17"/>
  <c r="AB185" i="17" s="1"/>
  <c r="S186" i="17"/>
  <c r="S185" i="17" s="1"/>
  <c r="R186" i="17"/>
  <c r="AO185" i="17"/>
  <c r="AN185" i="17"/>
  <c r="AM185" i="17"/>
  <c r="AL185" i="17"/>
  <c r="AK185" i="17"/>
  <c r="AE185" i="17"/>
  <c r="Y185" i="17"/>
  <c r="X185" i="17"/>
  <c r="W185" i="17"/>
  <c r="V185" i="17"/>
  <c r="U185" i="17"/>
  <c r="T185" i="17"/>
  <c r="R185" i="17"/>
  <c r="Q185" i="17"/>
  <c r="P185" i="17"/>
  <c r="O185" i="17"/>
  <c r="N185" i="17"/>
  <c r="M185" i="17"/>
  <c r="L185" i="17"/>
  <c r="AA184" i="17"/>
  <c r="Q184" i="17"/>
  <c r="AG183" i="17"/>
  <c r="AF183" i="17"/>
  <c r="AE183" i="17"/>
  <c r="AD183" i="17"/>
  <c r="AC183" i="17"/>
  <c r="AB183" i="17"/>
  <c r="AA183" i="17"/>
  <c r="Y183" i="17"/>
  <c r="Y182" i="17" s="1"/>
  <c r="X183" i="17"/>
  <c r="X182" i="17" s="1"/>
  <c r="W183" i="17"/>
  <c r="W182" i="17" s="1"/>
  <c r="V183" i="17"/>
  <c r="U183" i="17"/>
  <c r="U182" i="17" s="1"/>
  <c r="T183" i="17"/>
  <c r="T182" i="17" s="1"/>
  <c r="S183" i="17"/>
  <c r="S182" i="17" s="1"/>
  <c r="R183" i="17"/>
  <c r="Q183" i="17"/>
  <c r="AO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C182" i="17"/>
  <c r="AB182" i="17"/>
  <c r="V182" i="17"/>
  <c r="R182" i="17"/>
  <c r="O182" i="17"/>
  <c r="N182" i="17"/>
  <c r="M182" i="17"/>
  <c r="L182" i="17"/>
  <c r="AA181" i="17"/>
  <c r="AA179" i="17" s="1"/>
  <c r="AA178" i="17" s="1"/>
  <c r="Q181" i="17"/>
  <c r="Q178" i="17" s="1"/>
  <c r="AE179" i="17"/>
  <c r="AE178" i="17" s="1"/>
  <c r="AD179" i="17"/>
  <c r="AD178" i="17" s="1"/>
  <c r="AC179" i="17"/>
  <c r="AC178" i="17" s="1"/>
  <c r="AB179" i="17"/>
  <c r="AB178" i="17" s="1"/>
  <c r="Y179" i="17"/>
  <c r="Y178" i="17" s="1"/>
  <c r="X179" i="17"/>
  <c r="W179" i="17"/>
  <c r="W178" i="17" s="1"/>
  <c r="V179" i="17"/>
  <c r="V178" i="17" s="1"/>
  <c r="U179" i="17"/>
  <c r="U178" i="17" s="1"/>
  <c r="T179" i="17"/>
  <c r="T178" i="17" s="1"/>
  <c r="AO178" i="17"/>
  <c r="AN178" i="17"/>
  <c r="AM178" i="17"/>
  <c r="AL178" i="17"/>
  <c r="AK178" i="17"/>
  <c r="AJ178" i="17"/>
  <c r="AI178" i="17"/>
  <c r="AH178" i="17"/>
  <c r="AG178" i="17"/>
  <c r="AF178" i="17"/>
  <c r="Z178" i="17"/>
  <c r="X178" i="17"/>
  <c r="S178" i="17"/>
  <c r="R178" i="17"/>
  <c r="P178" i="17"/>
  <c r="O178" i="17"/>
  <c r="N178" i="17"/>
  <c r="M178" i="17"/>
  <c r="L178" i="17"/>
  <c r="AF177" i="17"/>
  <c r="R177" i="17"/>
  <c r="Q177" i="17"/>
  <c r="AA176" i="17"/>
  <c r="AF175" i="17"/>
  <c r="AA175" i="17"/>
  <c r="Q175" i="17"/>
  <c r="AF174" i="17"/>
  <c r="AA174" i="17"/>
  <c r="R174" i="17"/>
  <c r="Q174" i="17"/>
  <c r="AF173" i="17"/>
  <c r="Q173" i="17"/>
  <c r="AF172" i="17"/>
  <c r="Q172" i="17"/>
  <c r="AF171" i="17"/>
  <c r="R171" i="17"/>
  <c r="Q171" i="17"/>
  <c r="AO170" i="17"/>
  <c r="AN170" i="17"/>
  <c r="AN169" i="17" s="1"/>
  <c r="AM170" i="17"/>
  <c r="AL170" i="17"/>
  <c r="AK170" i="17"/>
  <c r="AH170" i="17"/>
  <c r="AH169" i="17" s="1"/>
  <c r="AG170" i="17"/>
  <c r="AE170" i="17"/>
  <c r="AE169" i="17" s="1"/>
  <c r="AD170" i="17"/>
  <c r="AD169" i="17" s="1"/>
  <c r="AC170" i="17"/>
  <c r="AC169" i="17" s="1"/>
  <c r="AB170" i="17"/>
  <c r="AB169" i="17" s="1"/>
  <c r="Y170" i="17"/>
  <c r="Y169" i="17" s="1"/>
  <c r="W170" i="17"/>
  <c r="W169" i="17" s="1"/>
  <c r="V170" i="17"/>
  <c r="V169" i="17" s="1"/>
  <c r="U170" i="17"/>
  <c r="U169" i="17" s="1"/>
  <c r="T170" i="17"/>
  <c r="T169" i="17" s="1"/>
  <c r="S170" i="17"/>
  <c r="AO169" i="17"/>
  <c r="AL169" i="17"/>
  <c r="AJ169" i="17"/>
  <c r="AI169" i="17"/>
  <c r="X169" i="17"/>
  <c r="S169" i="17"/>
  <c r="Q169" i="17"/>
  <c r="AM169" i="17" s="1"/>
  <c r="O169" i="17"/>
  <c r="N169" i="17"/>
  <c r="M169" i="17"/>
  <c r="L169" i="17"/>
  <c r="J169" i="17" s="1"/>
  <c r="J158" i="17" s="1"/>
  <c r="J154" i="17" s="1"/>
  <c r="AA167" i="17"/>
  <c r="R167" i="17"/>
  <c r="R166" i="17" s="1"/>
  <c r="R165" i="17" s="1"/>
  <c r="Q167" i="17"/>
  <c r="AG166" i="17"/>
  <c r="AG165" i="17" s="1"/>
  <c r="AF166" i="17"/>
  <c r="AE166" i="17"/>
  <c r="AD166" i="17"/>
  <c r="AD165" i="17" s="1"/>
  <c r="AC166" i="17"/>
  <c r="AC165" i="17" s="1"/>
  <c r="AB166" i="17"/>
  <c r="Y166" i="17"/>
  <c r="Y165" i="17" s="1"/>
  <c r="X166" i="17"/>
  <c r="X165" i="17" s="1"/>
  <c r="W166" i="17"/>
  <c r="W165" i="17" s="1"/>
  <c r="V166" i="17"/>
  <c r="V165" i="17" s="1"/>
  <c r="U166" i="17"/>
  <c r="T166" i="17"/>
  <c r="T165" i="17" s="1"/>
  <c r="S166" i="17"/>
  <c r="S165" i="17" s="1"/>
  <c r="AO165" i="17"/>
  <c r="AN165" i="17"/>
  <c r="AJ165" i="17"/>
  <c r="AI165" i="17"/>
  <c r="AH165" i="17"/>
  <c r="AF165" i="17"/>
  <c r="AE165" i="17"/>
  <c r="AB165" i="17"/>
  <c r="AA165" i="17"/>
  <c r="U165" i="17"/>
  <c r="Q165" i="17"/>
  <c r="P165" i="17"/>
  <c r="P158" i="17" s="1"/>
  <c r="P154" i="17" s="1"/>
  <c r="O165" i="17"/>
  <c r="N165" i="17"/>
  <c r="M165" i="17"/>
  <c r="L165" i="17"/>
  <c r="K165" i="17"/>
  <c r="AA164" i="17"/>
  <c r="AA163" i="17" s="1"/>
  <c r="T164" i="17"/>
  <c r="T163" i="17" s="1"/>
  <c r="T162" i="17" s="1"/>
  <c r="R164" i="17"/>
  <c r="R163" i="17" s="1"/>
  <c r="R162" i="17" s="1"/>
  <c r="Q164" i="17"/>
  <c r="AK163" i="17"/>
  <c r="AJ163" i="17"/>
  <c r="AI163" i="17"/>
  <c r="AI162" i="17" s="1"/>
  <c r="AI158" i="17" s="1"/>
  <c r="AI154" i="17" s="1"/>
  <c r="AH163" i="17"/>
  <c r="AG163" i="17"/>
  <c r="AG162" i="17" s="1"/>
  <c r="AF163" i="17"/>
  <c r="AF162" i="17" s="1"/>
  <c r="AE163" i="17"/>
  <c r="AE162" i="17" s="1"/>
  <c r="AD163" i="17"/>
  <c r="AC163" i="17"/>
  <c r="AC162" i="17" s="1"/>
  <c r="AB163" i="17"/>
  <c r="AB162" i="17" s="1"/>
  <c r="Y163" i="17"/>
  <c r="Y162" i="17" s="1"/>
  <c r="X163" i="17"/>
  <c r="W163" i="17"/>
  <c r="W162" i="17" s="1"/>
  <c r="V163" i="17"/>
  <c r="V162" i="17" s="1"/>
  <c r="U163" i="17"/>
  <c r="U162" i="17" s="1"/>
  <c r="S163" i="17"/>
  <c r="S162" i="17" s="1"/>
  <c r="Q163" i="17"/>
  <c r="AO162" i="17"/>
  <c r="AN162" i="17"/>
  <c r="AM162" i="17"/>
  <c r="AK162" i="17"/>
  <c r="AL162" i="17" s="1"/>
  <c r="AJ162" i="17"/>
  <c r="AH162" i="17"/>
  <c r="AD162" i="17"/>
  <c r="X162" i="17"/>
  <c r="O162" i="17"/>
  <c r="N162" i="17"/>
  <c r="M162" i="17"/>
  <c r="L162" i="17"/>
  <c r="L161" i="17"/>
  <c r="P160" i="17"/>
  <c r="N160" i="17"/>
  <c r="M160" i="17"/>
  <c r="L160" i="17"/>
  <c r="L159" i="17"/>
  <c r="K158" i="17"/>
  <c r="AO157" i="17"/>
  <c r="AN157" i="17"/>
  <c r="AM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K157" i="17"/>
  <c r="J157" i="17"/>
  <c r="AO156" i="17"/>
  <c r="AN156" i="17"/>
  <c r="AM156" i="17"/>
  <c r="AL156" i="17"/>
  <c r="AK156" i="17"/>
  <c r="K156" i="17"/>
  <c r="J156" i="17"/>
  <c r="K154" i="17"/>
  <c r="AA149" i="17"/>
  <c r="R149" i="17"/>
  <c r="R147" i="17" s="1"/>
  <c r="R146" i="17" s="1"/>
  <c r="Q149" i="17"/>
  <c r="AA148" i="17"/>
  <c r="T148" i="17"/>
  <c r="T147" i="17" s="1"/>
  <c r="T146" i="17" s="1"/>
  <c r="Q148" i="17"/>
  <c r="AE147" i="17"/>
  <c r="AE146" i="17" s="1"/>
  <c r="AD147" i="17"/>
  <c r="AC147" i="17"/>
  <c r="AC146" i="17" s="1"/>
  <c r="AB147" i="17"/>
  <c r="AB146" i="17" s="1"/>
  <c r="Y147" i="17"/>
  <c r="X147" i="17"/>
  <c r="X146" i="17" s="1"/>
  <c r="W147" i="17"/>
  <c r="W146" i="17" s="1"/>
  <c r="V147" i="17"/>
  <c r="V146" i="17" s="1"/>
  <c r="U147" i="17"/>
  <c r="S147" i="17"/>
  <c r="S146" i="17" s="1"/>
  <c r="AO146" i="17"/>
  <c r="AN146" i="17"/>
  <c r="AJ146" i="17"/>
  <c r="AI146" i="17"/>
  <c r="AH146" i="17"/>
  <c r="AG146" i="17"/>
  <c r="AF146" i="17"/>
  <c r="AD146" i="17"/>
  <c r="Y146" i="17"/>
  <c r="U146" i="17"/>
  <c r="Q146" i="17"/>
  <c r="P146" i="17"/>
  <c r="O146" i="17"/>
  <c r="N146" i="17"/>
  <c r="M146" i="17"/>
  <c r="L146" i="17"/>
  <c r="AA144" i="17"/>
  <c r="R144" i="17"/>
  <c r="R142" i="17" s="1"/>
  <c r="R141" i="17" s="1"/>
  <c r="Q144" i="17"/>
  <c r="AA143" i="17"/>
  <c r="T143" i="17"/>
  <c r="T142" i="17" s="1"/>
  <c r="T141" i="17" s="1"/>
  <c r="Q143" i="17"/>
  <c r="AE142" i="17"/>
  <c r="AE141" i="17" s="1"/>
  <c r="AD142" i="17"/>
  <c r="AD141" i="17" s="1"/>
  <c r="AC142" i="17"/>
  <c r="AC141" i="17" s="1"/>
  <c r="AB142" i="17"/>
  <c r="AB141" i="17" s="1"/>
  <c r="Y142" i="17"/>
  <c r="X142" i="17"/>
  <c r="X141" i="17" s="1"/>
  <c r="W142" i="17"/>
  <c r="W141" i="17" s="1"/>
  <c r="V142" i="17"/>
  <c r="V141" i="17" s="1"/>
  <c r="U142" i="17"/>
  <c r="S142" i="17"/>
  <c r="S141" i="17" s="1"/>
  <c r="AO141" i="17"/>
  <c r="AN141" i="17"/>
  <c r="AJ141" i="17"/>
  <c r="AI141" i="17"/>
  <c r="AH141" i="17"/>
  <c r="AG141" i="17"/>
  <c r="AF141" i="17"/>
  <c r="Y141" i="17"/>
  <c r="U141" i="17"/>
  <c r="Q141" i="17"/>
  <c r="P141" i="17"/>
  <c r="O141" i="17"/>
  <c r="N141" i="17"/>
  <c r="M141" i="17"/>
  <c r="L141" i="17"/>
  <c r="AA139" i="17"/>
  <c r="R139" i="17"/>
  <c r="Q139" i="17"/>
  <c r="AA138" i="17"/>
  <c r="T138" i="17"/>
  <c r="T137" i="17" s="1"/>
  <c r="T136" i="17" s="1"/>
  <c r="Q138" i="17"/>
  <c r="AE137" i="17"/>
  <c r="AE136" i="17" s="1"/>
  <c r="AD137" i="17"/>
  <c r="AD136" i="17" s="1"/>
  <c r="AC137" i="17"/>
  <c r="AC136" i="17" s="1"/>
  <c r="AB137" i="17"/>
  <c r="Y137" i="17"/>
  <c r="X137" i="17"/>
  <c r="X136" i="17" s="1"/>
  <c r="W137" i="17"/>
  <c r="W136" i="17" s="1"/>
  <c r="W127" i="17" s="1"/>
  <c r="W117" i="17" s="1"/>
  <c r="V137" i="17"/>
  <c r="V136" i="17" s="1"/>
  <c r="U137" i="17"/>
  <c r="U136" i="17" s="1"/>
  <c r="U127" i="17" s="1"/>
  <c r="S137" i="17"/>
  <c r="R137" i="17"/>
  <c r="R136" i="17" s="1"/>
  <c r="R127" i="17" s="1"/>
  <c r="AO136" i="17"/>
  <c r="AN136" i="17"/>
  <c r="AN127" i="17" s="1"/>
  <c r="AJ136" i="17"/>
  <c r="AJ127" i="17" s="1"/>
  <c r="AJ117" i="17" s="1"/>
  <c r="AI136" i="17"/>
  <c r="AI127" i="17" s="1"/>
  <c r="AI117" i="17" s="1"/>
  <c r="AH136" i="17"/>
  <c r="AH127" i="17" s="1"/>
  <c r="AH117" i="17" s="1"/>
  <c r="AG136" i="17"/>
  <c r="AG127" i="17" s="1"/>
  <c r="AG117" i="17" s="1"/>
  <c r="AF136" i="17"/>
  <c r="AF127" i="17" s="1"/>
  <c r="AF117" i="17" s="1"/>
  <c r="AB136" i="17"/>
  <c r="AB127" i="17" s="1"/>
  <c r="Y136" i="17"/>
  <c r="Y127" i="17" s="1"/>
  <c r="Y117" i="17" s="1"/>
  <c r="S136" i="17"/>
  <c r="S127" i="17" s="1"/>
  <c r="Q136" i="17"/>
  <c r="P136" i="17"/>
  <c r="O136" i="17"/>
  <c r="O127" i="17" s="1"/>
  <c r="N136" i="17"/>
  <c r="N127" i="17" s="1"/>
  <c r="M136" i="17"/>
  <c r="M127" i="17" s="1"/>
  <c r="L136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L129" i="17"/>
  <c r="L128" i="17"/>
  <c r="AO127" i="17"/>
  <c r="P127" i="17"/>
  <c r="L127" i="17"/>
  <c r="J127" i="17"/>
  <c r="L126" i="17"/>
  <c r="K126" i="17"/>
  <c r="AA125" i="17"/>
  <c r="T125" i="17"/>
  <c r="T124" i="17" s="1"/>
  <c r="T123" i="17" s="1"/>
  <c r="R125" i="17"/>
  <c r="Q125" i="17"/>
  <c r="Q124" i="17" s="1"/>
  <c r="AI124" i="17"/>
  <c r="AI123" i="17" s="1"/>
  <c r="AH124" i="17"/>
  <c r="AG124" i="17"/>
  <c r="AG123" i="17" s="1"/>
  <c r="AF124" i="17"/>
  <c r="AF123" i="17" s="1"/>
  <c r="AE124" i="17"/>
  <c r="AE123" i="17" s="1"/>
  <c r="AD124" i="17"/>
  <c r="AD123" i="17" s="1"/>
  <c r="AC124" i="17"/>
  <c r="AC123" i="17" s="1"/>
  <c r="AB124" i="17"/>
  <c r="AB123" i="17" s="1"/>
  <c r="AA124" i="17"/>
  <c r="AA123" i="17" s="1"/>
  <c r="Y124" i="17"/>
  <c r="X124" i="17"/>
  <c r="X123" i="17" s="1"/>
  <c r="W124" i="17"/>
  <c r="W123" i="17" s="1"/>
  <c r="V124" i="17"/>
  <c r="V123" i="17" s="1"/>
  <c r="U124" i="17"/>
  <c r="U123" i="17" s="1"/>
  <c r="S124" i="17"/>
  <c r="S123" i="17" s="1"/>
  <c r="R124" i="17"/>
  <c r="R123" i="17" s="1"/>
  <c r="AO123" i="17"/>
  <c r="AN123" i="17"/>
  <c r="AM123" i="17"/>
  <c r="AL123" i="17"/>
  <c r="AK123" i="17"/>
  <c r="AJ123" i="17"/>
  <c r="AH123" i="17"/>
  <c r="Y123" i="17"/>
  <c r="O123" i="17"/>
  <c r="N123" i="17"/>
  <c r="M123" i="17"/>
  <c r="L123" i="17"/>
  <c r="AJ122" i="17"/>
  <c r="AJ118" i="17" s="1"/>
  <c r="P122" i="17"/>
  <c r="P118" i="17" s="1"/>
  <c r="V121" i="17"/>
  <c r="U121" i="17"/>
  <c r="T121" i="17" s="1"/>
  <c r="T119" i="17" s="1"/>
  <c r="AA120" i="17"/>
  <c r="V120" i="17"/>
  <c r="Q120" i="17"/>
  <c r="AD119" i="17"/>
  <c r="AC119" i="17"/>
  <c r="AB119" i="17"/>
  <c r="AB118" i="17" s="1"/>
  <c r="Y119" i="17"/>
  <c r="X119" i="17"/>
  <c r="W119" i="17"/>
  <c r="S119" i="17"/>
  <c r="S118" i="17" s="1"/>
  <c r="R119" i="17"/>
  <c r="R118" i="17" s="1"/>
  <c r="AO118" i="17"/>
  <c r="AN118" i="17"/>
  <c r="AM118" i="17"/>
  <c r="AL118" i="17"/>
  <c r="Q118" i="17"/>
  <c r="O118" i="17"/>
  <c r="N118" i="17"/>
  <c r="M118" i="17"/>
  <c r="L118" i="17"/>
  <c r="R116" i="17"/>
  <c r="R115" i="17" s="1"/>
  <c r="R114" i="17" s="1"/>
  <c r="Q116" i="17"/>
  <c r="AJ115" i="17"/>
  <c r="AI115" i="17"/>
  <c r="AH115" i="17"/>
  <c r="AG115" i="17"/>
  <c r="AF115" i="17"/>
  <c r="AE115" i="17"/>
  <c r="AD115" i="17"/>
  <c r="AC115" i="17"/>
  <c r="AB115" i="17"/>
  <c r="AA115" i="17"/>
  <c r="Y115" i="17"/>
  <c r="X115" i="17"/>
  <c r="W115" i="17"/>
  <c r="V115" i="17"/>
  <c r="U115" i="17"/>
  <c r="T115" i="17"/>
  <c r="S115" i="17"/>
  <c r="AO114" i="17"/>
  <c r="AN114" i="17"/>
  <c r="AL114" i="17"/>
  <c r="AJ114" i="17"/>
  <c r="AI114" i="17"/>
  <c r="AH114" i="17"/>
  <c r="AG114" i="17"/>
  <c r="AF114" i="17"/>
  <c r="AE114" i="17"/>
  <c r="AD114" i="17"/>
  <c r="AC114" i="17"/>
  <c r="AB114" i="17"/>
  <c r="AA114" i="17"/>
  <c r="Y114" i="17"/>
  <c r="X114" i="17"/>
  <c r="W114" i="17"/>
  <c r="V114" i="17"/>
  <c r="U114" i="17"/>
  <c r="T114" i="17"/>
  <c r="S114" i="17"/>
  <c r="Q114" i="17"/>
  <c r="P114" i="17"/>
  <c r="O114" i="17"/>
  <c r="N114" i="17"/>
  <c r="M114" i="17"/>
  <c r="L114" i="17"/>
  <c r="AA113" i="17"/>
  <c r="R113" i="17"/>
  <c r="R112" i="17" s="1"/>
  <c r="R111" i="17" s="1"/>
  <c r="Q113" i="17"/>
  <c r="Q112" i="17" s="1"/>
  <c r="AJ112" i="17"/>
  <c r="AJ111" i="17" s="1"/>
  <c r="AI112" i="17"/>
  <c r="AI111" i="17" s="1"/>
  <c r="AH112" i="17"/>
  <c r="AH111" i="17" s="1"/>
  <c r="AG112" i="17"/>
  <c r="AG111" i="17" s="1"/>
  <c r="AF112" i="17"/>
  <c r="AF111" i="17" s="1"/>
  <c r="AE112" i="17"/>
  <c r="AE111" i="17" s="1"/>
  <c r="AD112" i="17"/>
  <c r="AD111" i="17" s="1"/>
  <c r="AC112" i="17"/>
  <c r="AC111" i="17" s="1"/>
  <c r="AB112" i="17"/>
  <c r="AB111" i="17" s="1"/>
  <c r="AA112" i="17"/>
  <c r="Y112" i="17"/>
  <c r="X112" i="17"/>
  <c r="X111" i="17" s="1"/>
  <c r="W112" i="17"/>
  <c r="W111" i="17" s="1"/>
  <c r="V112" i="17"/>
  <c r="V111" i="17" s="1"/>
  <c r="U112" i="17"/>
  <c r="T112" i="17"/>
  <c r="T111" i="17" s="1"/>
  <c r="S112" i="17"/>
  <c r="S111" i="17" s="1"/>
  <c r="AO111" i="17"/>
  <c r="AN111" i="17"/>
  <c r="AM111" i="17"/>
  <c r="AL111" i="17"/>
  <c r="AK111" i="17"/>
  <c r="Y111" i="17"/>
  <c r="U111" i="17"/>
  <c r="O111" i="17"/>
  <c r="N111" i="17"/>
  <c r="M111" i="17"/>
  <c r="L111" i="17"/>
  <c r="AF109" i="17"/>
  <c r="AA109" i="17"/>
  <c r="T109" i="17"/>
  <c r="L109" i="17"/>
  <c r="AF108" i="17"/>
  <c r="T108" i="17"/>
  <c r="T107" i="17" s="1"/>
  <c r="T106" i="17" s="1"/>
  <c r="Q108" i="17"/>
  <c r="L108" i="17"/>
  <c r="AJ107" i="17"/>
  <c r="AJ106" i="17" s="1"/>
  <c r="AI107" i="17"/>
  <c r="AI106" i="17" s="1"/>
  <c r="AH107" i="17"/>
  <c r="AH106" i="17" s="1"/>
  <c r="AG107" i="17"/>
  <c r="AG106" i="17" s="1"/>
  <c r="AF107" i="17"/>
  <c r="AF106" i="17" s="1"/>
  <c r="AE107" i="17"/>
  <c r="AD107" i="17"/>
  <c r="AD106" i="17" s="1"/>
  <c r="AC107" i="17"/>
  <c r="AC106" i="17" s="1"/>
  <c r="AB107" i="17"/>
  <c r="AB106" i="17" s="1"/>
  <c r="AA107" i="17"/>
  <c r="AA106" i="17" s="1"/>
  <c r="Y107" i="17"/>
  <c r="Y106" i="17" s="1"/>
  <c r="W107" i="17"/>
  <c r="V107" i="17"/>
  <c r="V106" i="17" s="1"/>
  <c r="U107" i="17"/>
  <c r="U106" i="17" s="1"/>
  <c r="S107" i="17"/>
  <c r="S106" i="17" s="1"/>
  <c r="AO106" i="17"/>
  <c r="AN106" i="17"/>
  <c r="AL106" i="17"/>
  <c r="AE106" i="17"/>
  <c r="X106" i="17"/>
  <c r="W106" i="17"/>
  <c r="R106" i="17"/>
  <c r="Q106" i="17"/>
  <c r="P106" i="17"/>
  <c r="AM106" i="17" s="1"/>
  <c r="O106" i="17"/>
  <c r="N106" i="17"/>
  <c r="M106" i="17"/>
  <c r="L106" i="17"/>
  <c r="AF104" i="17"/>
  <c r="Q104" i="17"/>
  <c r="AF103" i="17"/>
  <c r="AA103" i="17"/>
  <c r="AA101" i="17" s="1"/>
  <c r="AA100" i="17" s="1"/>
  <c r="R103" i="17"/>
  <c r="R101" i="17" s="1"/>
  <c r="R100" i="17" s="1"/>
  <c r="Q103" i="17"/>
  <c r="AF102" i="17"/>
  <c r="Q102" i="17"/>
  <c r="Q101" i="17" s="1"/>
  <c r="Q100" i="17" s="1"/>
  <c r="AJ101" i="17"/>
  <c r="AJ100" i="17" s="1"/>
  <c r="AI101" i="17"/>
  <c r="AI100" i="17" s="1"/>
  <c r="AH101" i="17"/>
  <c r="AG101" i="17"/>
  <c r="AG100" i="17" s="1"/>
  <c r="AF101" i="17"/>
  <c r="AF100" i="17" s="1"/>
  <c r="AE101" i="17"/>
  <c r="AE100" i="17" s="1"/>
  <c r="AD101" i="17"/>
  <c r="AD100" i="17" s="1"/>
  <c r="AC101" i="17"/>
  <c r="AC100" i="17" s="1"/>
  <c r="AB101" i="17"/>
  <c r="AB100" i="17" s="1"/>
  <c r="Y101" i="17"/>
  <c r="Y100" i="17" s="1"/>
  <c r="W101" i="17"/>
  <c r="W100" i="17" s="1"/>
  <c r="V101" i="17"/>
  <c r="V100" i="17" s="1"/>
  <c r="U101" i="17"/>
  <c r="U100" i="17" s="1"/>
  <c r="T101" i="17"/>
  <c r="T100" i="17" s="1"/>
  <c r="S101" i="17"/>
  <c r="S100" i="17" s="1"/>
  <c r="P101" i="17"/>
  <c r="AO100" i="17"/>
  <c r="AN100" i="17"/>
  <c r="AL100" i="17"/>
  <c r="AH100" i="17"/>
  <c r="X100" i="17"/>
  <c r="P100" i="17"/>
  <c r="O100" i="17"/>
  <c r="N100" i="17"/>
  <c r="M100" i="17"/>
  <c r="L100" i="17"/>
  <c r="AF99" i="17"/>
  <c r="Q99" i="17"/>
  <c r="Q98" i="17" s="1"/>
  <c r="Q97" i="17" s="1"/>
  <c r="AJ98" i="17"/>
  <c r="AJ97" i="17" s="1"/>
  <c r="AI98" i="17"/>
  <c r="AI97" i="17" s="1"/>
  <c r="AH98" i="17"/>
  <c r="AH97" i="17" s="1"/>
  <c r="AG98" i="17"/>
  <c r="AF98" i="17"/>
  <c r="AF97" i="17" s="1"/>
  <c r="AE98" i="17"/>
  <c r="AE97" i="17" s="1"/>
  <c r="AD98" i="17"/>
  <c r="AD97" i="17" s="1"/>
  <c r="AC98" i="17"/>
  <c r="AC97" i="17" s="1"/>
  <c r="AB98" i="17"/>
  <c r="AB97" i="17" s="1"/>
  <c r="AA98" i="17"/>
  <c r="AA97" i="17" s="1"/>
  <c r="Y98" i="17"/>
  <c r="Y97" i="17" s="1"/>
  <c r="X98" i="17"/>
  <c r="W98" i="17"/>
  <c r="W97" i="17" s="1"/>
  <c r="V98" i="17"/>
  <c r="V97" i="17" s="1"/>
  <c r="U98" i="17"/>
  <c r="U97" i="17" s="1"/>
  <c r="T98" i="17"/>
  <c r="T97" i="17" s="1"/>
  <c r="S98" i="17"/>
  <c r="S97" i="17" s="1"/>
  <c r="R98" i="17"/>
  <c r="R97" i="17" s="1"/>
  <c r="AO97" i="17"/>
  <c r="AN97" i="17"/>
  <c r="AL97" i="17"/>
  <c r="AG97" i="17"/>
  <c r="X97" i="17"/>
  <c r="P97" i="17"/>
  <c r="O97" i="17"/>
  <c r="N97" i="17"/>
  <c r="M97" i="17"/>
  <c r="L97" i="17"/>
  <c r="AA96" i="17"/>
  <c r="AA95" i="17" s="1"/>
  <c r="U96" i="17"/>
  <c r="Q96" i="17" s="1"/>
  <c r="Q95" i="17" s="1"/>
  <c r="AD95" i="17"/>
  <c r="AD94" i="17" s="1"/>
  <c r="AC95" i="17"/>
  <c r="AB95" i="17"/>
  <c r="AB94" i="17" s="1"/>
  <c r="Y95" i="17"/>
  <c r="Y94" i="17" s="1"/>
  <c r="X95" i="17"/>
  <c r="X94" i="17" s="1"/>
  <c r="W95" i="17"/>
  <c r="W94" i="17" s="1"/>
  <c r="V95" i="17"/>
  <c r="T95" i="17"/>
  <c r="S95" i="17"/>
  <c r="S94" i="17" s="1"/>
  <c r="R95" i="17"/>
  <c r="R94" i="17" s="1"/>
  <c r="AO94" i="17"/>
  <c r="AN94" i="17"/>
  <c r="AM94" i="17"/>
  <c r="AL94" i="17"/>
  <c r="AK94" i="17"/>
  <c r="AJ94" i="17"/>
  <c r="AI94" i="17"/>
  <c r="AH94" i="17"/>
  <c r="AG94" i="17"/>
  <c r="AF94" i="17"/>
  <c r="AE94" i="17"/>
  <c r="AC94" i="17"/>
  <c r="V94" i="17"/>
  <c r="T94" i="17"/>
  <c r="O94" i="17"/>
  <c r="N94" i="17"/>
  <c r="M94" i="17"/>
  <c r="L94" i="17"/>
  <c r="AA93" i="17"/>
  <c r="U93" i="17"/>
  <c r="Q93" i="17" s="1"/>
  <c r="Q92" i="17" s="1"/>
  <c r="AE92" i="17"/>
  <c r="AE91" i="17" s="1"/>
  <c r="AD92" i="17"/>
  <c r="AD91" i="17" s="1"/>
  <c r="AC92" i="17"/>
  <c r="AC91" i="17" s="1"/>
  <c r="AB92" i="17"/>
  <c r="AB91" i="17" s="1"/>
  <c r="AA92" i="17"/>
  <c r="Y92" i="17"/>
  <c r="Y91" i="17" s="1"/>
  <c r="X92" i="17"/>
  <c r="X91" i="17" s="1"/>
  <c r="W92" i="17"/>
  <c r="W91" i="17" s="1"/>
  <c r="V92" i="17"/>
  <c r="V91" i="17" s="1"/>
  <c r="T92" i="17"/>
  <c r="T91" i="17" s="1"/>
  <c r="S92" i="17"/>
  <c r="S91" i="17" s="1"/>
  <c r="R92" i="17"/>
  <c r="R91" i="17" s="1"/>
  <c r="AO91" i="17"/>
  <c r="AN91" i="17"/>
  <c r="AM91" i="17"/>
  <c r="AL91" i="17"/>
  <c r="AK91" i="17"/>
  <c r="AJ91" i="17"/>
  <c r="AI91" i="17"/>
  <c r="AH91" i="17"/>
  <c r="AG91" i="17"/>
  <c r="AF91" i="17"/>
  <c r="O91" i="17"/>
  <c r="N91" i="17"/>
  <c r="M91" i="17"/>
  <c r="L91" i="17"/>
  <c r="AK90" i="17"/>
  <c r="AL90" i="17" s="1"/>
  <c r="L90" i="17"/>
  <c r="J89" i="17"/>
  <c r="AF88" i="17"/>
  <c r="AF85" i="17" s="1"/>
  <c r="AF84" i="17" s="1"/>
  <c r="AA88" i="17"/>
  <c r="R88" i="17"/>
  <c r="R85" i="17" s="1"/>
  <c r="R84" i="17" s="1"/>
  <c r="Q88" i="17"/>
  <c r="T87" i="17"/>
  <c r="Q87" i="17"/>
  <c r="AA86" i="17"/>
  <c r="T86" i="17"/>
  <c r="Q86" i="17"/>
  <c r="AK85" i="17"/>
  <c r="AJ85" i="17"/>
  <c r="AJ84" i="17" s="1"/>
  <c r="AI85" i="17"/>
  <c r="AI84" i="17" s="1"/>
  <c r="AH85" i="17"/>
  <c r="AH84" i="17" s="1"/>
  <c r="AG85" i="17"/>
  <c r="AG84" i="17" s="1"/>
  <c r="AE85" i="17"/>
  <c r="AE84" i="17" s="1"/>
  <c r="AD85" i="17"/>
  <c r="AD84" i="17" s="1"/>
  <c r="AC85" i="17"/>
  <c r="AB85" i="17"/>
  <c r="AB84" i="17" s="1"/>
  <c r="Y85" i="17"/>
  <c r="Y84" i="17" s="1"/>
  <c r="X85" i="17"/>
  <c r="X84" i="17" s="1"/>
  <c r="W85" i="17"/>
  <c r="V85" i="17"/>
  <c r="U85" i="17"/>
  <c r="U84" i="17" s="1"/>
  <c r="S85" i="17"/>
  <c r="S84" i="17" s="1"/>
  <c r="J85" i="17"/>
  <c r="AO84" i="17"/>
  <c r="AO77" i="17" s="1"/>
  <c r="AN84" i="17"/>
  <c r="AN77" i="17" s="1"/>
  <c r="AC84" i="17"/>
  <c r="AA84" i="17"/>
  <c r="W84" i="17"/>
  <c r="V84" i="17"/>
  <c r="Q84" i="17"/>
  <c r="P84" i="17"/>
  <c r="O84" i="17"/>
  <c r="N84" i="17"/>
  <c r="M84" i="17"/>
  <c r="L84" i="17"/>
  <c r="J84" i="17" s="1"/>
  <c r="AF82" i="17"/>
  <c r="AF81" i="17" s="1"/>
  <c r="AF80" i="17" s="1"/>
  <c r="AA82" i="17"/>
  <c r="AA81" i="17" s="1"/>
  <c r="AA80" i="17" s="1"/>
  <c r="X82" i="17"/>
  <c r="X81" i="17" s="1"/>
  <c r="X80" i="17" s="1"/>
  <c r="V82" i="17"/>
  <c r="V81" i="17" s="1"/>
  <c r="V80" i="17" s="1"/>
  <c r="R82" i="17"/>
  <c r="R81" i="17" s="1"/>
  <c r="R80" i="17" s="1"/>
  <c r="Q82" i="17"/>
  <c r="Q81" i="17" s="1"/>
  <c r="Q80" i="17" s="1"/>
  <c r="AJ81" i="17"/>
  <c r="AJ80" i="17" s="1"/>
  <c r="AJ77" i="17" s="1"/>
  <c r="AI81" i="17"/>
  <c r="AI80" i="17" s="1"/>
  <c r="AH81" i="17"/>
  <c r="AH80" i="17" s="1"/>
  <c r="AH77" i="17" s="1"/>
  <c r="AG81" i="17"/>
  <c r="AG80" i="17" s="1"/>
  <c r="AE81" i="17"/>
  <c r="AE80" i="17" s="1"/>
  <c r="AD81" i="17"/>
  <c r="AD80" i="17" s="1"/>
  <c r="AC81" i="17"/>
  <c r="AC80" i="17" s="1"/>
  <c r="AB81" i="17"/>
  <c r="Y81" i="17"/>
  <c r="Y80" i="17" s="1"/>
  <c r="W81" i="17"/>
  <c r="W80" i="17" s="1"/>
  <c r="U81" i="17"/>
  <c r="T81" i="17"/>
  <c r="T80" i="17" s="1"/>
  <c r="S81" i="17"/>
  <c r="AL80" i="17"/>
  <c r="AB80" i="17"/>
  <c r="U80" i="17"/>
  <c r="S80" i="17"/>
  <c r="O80" i="17"/>
  <c r="N80" i="17"/>
  <c r="M80" i="17"/>
  <c r="L80" i="17"/>
  <c r="J80" i="17" s="1"/>
  <c r="L79" i="17"/>
  <c r="J79" i="17" s="1"/>
  <c r="L78" i="17"/>
  <c r="J78" i="17" s="1"/>
  <c r="K77" i="17"/>
  <c r="L76" i="17"/>
  <c r="AO74" i="17"/>
  <c r="AN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AK74" i="17" s="1"/>
  <c r="AL74" i="17" s="1"/>
  <c r="O74" i="17"/>
  <c r="N74" i="17"/>
  <c r="M74" i="17"/>
  <c r="L74" i="17"/>
  <c r="AO72" i="17"/>
  <c r="AN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AF70" i="17"/>
  <c r="AF69" i="17" s="1"/>
  <c r="AF68" i="17" s="1"/>
  <c r="AF65" i="17" s="1"/>
  <c r="AA70" i="17"/>
  <c r="AA68" i="17" s="1"/>
  <c r="AA65" i="17" s="1"/>
  <c r="R70" i="17"/>
  <c r="Q70" i="17"/>
  <c r="Q68" i="17" s="1"/>
  <c r="AG69" i="17"/>
  <c r="AG68" i="17" s="1"/>
  <c r="AG65" i="17" s="1"/>
  <c r="AB69" i="17"/>
  <c r="Y69" i="17"/>
  <c r="Y68" i="17" s="1"/>
  <c r="W69" i="17"/>
  <c r="W68" i="17" s="1"/>
  <c r="W65" i="17" s="1"/>
  <c r="V69" i="17"/>
  <c r="V68" i="17" s="1"/>
  <c r="V65" i="17" s="1"/>
  <c r="U69" i="17"/>
  <c r="T69" i="17"/>
  <c r="T68" i="17" s="1"/>
  <c r="T65" i="17" s="1"/>
  <c r="S69" i="17"/>
  <c r="S68" i="17" s="1"/>
  <c r="S65" i="17" s="1"/>
  <c r="R69" i="17"/>
  <c r="R68" i="17" s="1"/>
  <c r="R65" i="17" s="1"/>
  <c r="AO68" i="17"/>
  <c r="AN68" i="17"/>
  <c r="AN65" i="17" s="1"/>
  <c r="AJ68" i="17"/>
  <c r="AJ65" i="17" s="1"/>
  <c r="AI68" i="17"/>
  <c r="AI65" i="17" s="1"/>
  <c r="AH68" i="17"/>
  <c r="AE68" i="17"/>
  <c r="AE65" i="17" s="1"/>
  <c r="AD68" i="17"/>
  <c r="AD65" i="17" s="1"/>
  <c r="AC68" i="17"/>
  <c r="AC65" i="17" s="1"/>
  <c r="AB68" i="17"/>
  <c r="Z68" i="17"/>
  <c r="X68" i="17"/>
  <c r="X65" i="17" s="1"/>
  <c r="U68" i="17"/>
  <c r="U65" i="17" s="1"/>
  <c r="P68" i="17"/>
  <c r="O68" i="17"/>
  <c r="O65" i="17" s="1"/>
  <c r="N68" i="17"/>
  <c r="N65" i="17" s="1"/>
  <c r="M68" i="17"/>
  <c r="L68" i="17"/>
  <c r="L65" i="17" s="1"/>
  <c r="L67" i="17"/>
  <c r="L66" i="17"/>
  <c r="AO65" i="17"/>
  <c r="AH65" i="17"/>
  <c r="AB65" i="17"/>
  <c r="M65" i="17"/>
  <c r="K65" i="17"/>
  <c r="K12" i="17" s="1"/>
  <c r="J65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J61" i="17"/>
  <c r="AA60" i="17"/>
  <c r="V60" i="17"/>
  <c r="Q60" i="17"/>
  <c r="AD59" i="17"/>
  <c r="AC59" i="17"/>
  <c r="AB59" i="17"/>
  <c r="Y59" i="17"/>
  <c r="X59" i="17"/>
  <c r="W59" i="17"/>
  <c r="V59" i="17"/>
  <c r="U59" i="17"/>
  <c r="T59" i="17"/>
  <c r="S59" i="17"/>
  <c r="R59" i="17"/>
  <c r="J59" i="17"/>
  <c r="AO58" i="17"/>
  <c r="AN58" i="17"/>
  <c r="AJ58" i="17"/>
  <c r="AJ52" i="17" s="1"/>
  <c r="AI58" i="17"/>
  <c r="AH58" i="17"/>
  <c r="AG58" i="17"/>
  <c r="AF58" i="17"/>
  <c r="AE58" i="17"/>
  <c r="AD58" i="17"/>
  <c r="AC58" i="17"/>
  <c r="AB58" i="17"/>
  <c r="Y58" i="17"/>
  <c r="X58" i="17"/>
  <c r="X52" i="17" s="1"/>
  <c r="W58" i="17"/>
  <c r="V58" i="17"/>
  <c r="U58" i="17"/>
  <c r="T58" i="17"/>
  <c r="S58" i="17"/>
  <c r="R58" i="17"/>
  <c r="Q58" i="17"/>
  <c r="P58" i="17"/>
  <c r="O58" i="17"/>
  <c r="N58" i="17"/>
  <c r="M58" i="17"/>
  <c r="L58" i="17"/>
  <c r="J58" i="17" s="1"/>
  <c r="L57" i="17"/>
  <c r="J57" i="17" s="1"/>
  <c r="L56" i="17"/>
  <c r="J56" i="17" s="1"/>
  <c r="AO55" i="17"/>
  <c r="AN55" i="17"/>
  <c r="AI55" i="17"/>
  <c r="AI52" i="17" s="1"/>
  <c r="AH55" i="17"/>
  <c r="AG55" i="17"/>
  <c r="AF55" i="17"/>
  <c r="AE55" i="17"/>
  <c r="AE52" i="17" s="1"/>
  <c r="AD55" i="17"/>
  <c r="AC55" i="17"/>
  <c r="AB55" i="17"/>
  <c r="AA55" i="17"/>
  <c r="AA52" i="17" s="1"/>
  <c r="Y55" i="17"/>
  <c r="X55" i="17"/>
  <c r="W55" i="17"/>
  <c r="V55" i="17"/>
  <c r="V52" i="17" s="1"/>
  <c r="U55" i="17"/>
  <c r="T55" i="17"/>
  <c r="S55" i="17"/>
  <c r="R55" i="17"/>
  <c r="R52" i="17" s="1"/>
  <c r="Q55" i="17"/>
  <c r="P55" i="17"/>
  <c r="O55" i="17"/>
  <c r="N55" i="17"/>
  <c r="M55" i="17"/>
  <c r="J54" i="17"/>
  <c r="J53" i="17"/>
  <c r="AO52" i="17"/>
  <c r="AM52" i="17"/>
  <c r="M52" i="17"/>
  <c r="AJ51" i="17"/>
  <c r="AI51" i="17"/>
  <c r="AH51" i="17"/>
  <c r="AG51" i="17"/>
  <c r="AA49" i="17"/>
  <c r="Q49" i="17"/>
  <c r="AC48" i="17"/>
  <c r="AC47" i="17" s="1"/>
  <c r="AC45" i="17" s="1"/>
  <c r="AB48" i="17"/>
  <c r="AB47" i="17" s="1"/>
  <c r="AB45" i="17" s="1"/>
  <c r="Z48" i="17"/>
  <c r="Y48" i="17"/>
  <c r="Y47" i="17" s="1"/>
  <c r="Y45" i="17" s="1"/>
  <c r="X48" i="17"/>
  <c r="X47" i="17" s="1"/>
  <c r="X45" i="17" s="1"/>
  <c r="W48" i="17"/>
  <c r="W47" i="17" s="1"/>
  <c r="W45" i="17" s="1"/>
  <c r="V48" i="17"/>
  <c r="V47" i="17" s="1"/>
  <c r="V45" i="17" s="1"/>
  <c r="U48" i="17"/>
  <c r="U47" i="17" s="1"/>
  <c r="U44" i="17" s="1"/>
  <c r="T48" i="17"/>
  <c r="T47" i="17" s="1"/>
  <c r="S48" i="17"/>
  <c r="S47" i="17" s="1"/>
  <c r="S45" i="17" s="1"/>
  <c r="R48" i="17"/>
  <c r="R47" i="17" s="1"/>
  <c r="R45" i="17" s="1"/>
  <c r="Q47" i="17"/>
  <c r="Q44" i="17" s="1"/>
  <c r="P47" i="17"/>
  <c r="P44" i="17" s="1"/>
  <c r="O47" i="17"/>
  <c r="O45" i="17" s="1"/>
  <c r="N47" i="17"/>
  <c r="N45" i="17" s="1"/>
  <c r="M47" i="17"/>
  <c r="M45" i="17" s="1"/>
  <c r="L47" i="17"/>
  <c r="L44" i="17" s="1"/>
  <c r="AO45" i="17"/>
  <c r="AO13" i="17" s="1"/>
  <c r="AO8" i="17" s="1"/>
  <c r="AN45" i="17"/>
  <c r="AN13" i="17" s="1"/>
  <c r="AN8" i="17" s="1"/>
  <c r="AM45" i="17"/>
  <c r="AM13" i="17" s="1"/>
  <c r="AJ45" i="17"/>
  <c r="AI45" i="17"/>
  <c r="AH45" i="17"/>
  <c r="AG45" i="17"/>
  <c r="AF45" i="17"/>
  <c r="AE45" i="17"/>
  <c r="AD45" i="17"/>
  <c r="AA45" i="17"/>
  <c r="K45" i="17"/>
  <c r="K13" i="17" s="1"/>
  <c r="K8" i="17" s="1"/>
  <c r="J45" i="17"/>
  <c r="J13" i="17" s="1"/>
  <c r="J8" i="17" s="1"/>
  <c r="AA40" i="17"/>
  <c r="Z40" i="17"/>
  <c r="Y40" i="17"/>
  <c r="X40" i="17"/>
  <c r="W40" i="17"/>
  <c r="V40" i="17"/>
  <c r="U40" i="17"/>
  <c r="T40" i="17"/>
  <c r="S40" i="17"/>
  <c r="R40" i="17"/>
  <c r="Q40" i="17"/>
  <c r="P40" i="17"/>
  <c r="AA38" i="17"/>
  <c r="AA37" i="17" s="1"/>
  <c r="AA36" i="17" s="1"/>
  <c r="Q38" i="17"/>
  <c r="Q37" i="17" s="1"/>
  <c r="Q36" i="17" s="1"/>
  <c r="AE37" i="17"/>
  <c r="AE36" i="17" s="1"/>
  <c r="Y37" i="17"/>
  <c r="Y36" i="17" s="1"/>
  <c r="X37" i="17"/>
  <c r="X36" i="17" s="1"/>
  <c r="L37" i="17"/>
  <c r="L36" i="17" s="1"/>
  <c r="AO36" i="17"/>
  <c r="AN36" i="17"/>
  <c r="AJ36" i="17"/>
  <c r="AI36" i="17"/>
  <c r="AH36" i="17"/>
  <c r="AG36" i="17"/>
  <c r="AF36" i="17"/>
  <c r="AD36" i="17"/>
  <c r="AC36" i="17"/>
  <c r="AB36" i="17"/>
  <c r="W36" i="17"/>
  <c r="V36" i="17"/>
  <c r="U36" i="17"/>
  <c r="T36" i="17"/>
  <c r="S36" i="17"/>
  <c r="R36" i="17"/>
  <c r="P36" i="17"/>
  <c r="O36" i="17"/>
  <c r="N36" i="17"/>
  <c r="M36" i="17"/>
  <c r="AO33" i="17"/>
  <c r="AO15" i="17" s="1"/>
  <c r="AO11" i="17" s="1"/>
  <c r="AN33" i="17"/>
  <c r="AM33" i="17"/>
  <c r="AJ33" i="17"/>
  <c r="AI33" i="17"/>
  <c r="AH33" i="17"/>
  <c r="AG33" i="17"/>
  <c r="AG32" i="17" s="1"/>
  <c r="AF32" i="17" s="1"/>
  <c r="AF33" i="17"/>
  <c r="AE33" i="17"/>
  <c r="AD33" i="17"/>
  <c r="AC33" i="17"/>
  <c r="AB33" i="17"/>
  <c r="AA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M15" i="17" s="1"/>
  <c r="M11" i="17" s="1"/>
  <c r="L33" i="17"/>
  <c r="J33" i="17" s="1"/>
  <c r="J15" i="17" s="1"/>
  <c r="J11" i="17" s="1"/>
  <c r="Q32" i="17"/>
  <c r="P32" i="17" s="1"/>
  <c r="U31" i="17"/>
  <c r="T31" i="17" s="1"/>
  <c r="T30" i="17" s="1"/>
  <c r="T17" i="17" s="1"/>
  <c r="AJ30" i="17"/>
  <c r="AJ17" i="17" s="1"/>
  <c r="AJ13" i="17" s="1"/>
  <c r="AI30" i="17"/>
  <c r="AI17" i="17" s="1"/>
  <c r="AI13" i="17" s="1"/>
  <c r="AH30" i="17"/>
  <c r="AE30" i="17"/>
  <c r="AE17" i="17" s="1"/>
  <c r="AD30" i="17"/>
  <c r="AD17" i="17" s="1"/>
  <c r="AC30" i="17"/>
  <c r="AC17" i="17" s="1"/>
  <c r="AB30" i="17"/>
  <c r="AB17" i="17" s="1"/>
  <c r="AA30" i="17"/>
  <c r="AA17" i="17" s="1"/>
  <c r="AA13" i="17" s="1"/>
  <c r="Y30" i="17"/>
  <c r="Y17" i="17" s="1"/>
  <c r="W30" i="17"/>
  <c r="W17" i="17" s="1"/>
  <c r="V30" i="17"/>
  <c r="V17" i="17" s="1"/>
  <c r="S30" i="17"/>
  <c r="R30" i="17"/>
  <c r="R17" i="17" s="1"/>
  <c r="N30" i="17"/>
  <c r="N19" i="17" s="1"/>
  <c r="L30" i="17"/>
  <c r="L19" i="17" s="1"/>
  <c r="AF29" i="17"/>
  <c r="AA29" i="17"/>
  <c r="AA28" i="17" s="1"/>
  <c r="AA18" i="17" s="1"/>
  <c r="AA14" i="17" s="1"/>
  <c r="AA9" i="17" s="1"/>
  <c r="R29" i="17"/>
  <c r="R28" i="17" s="1"/>
  <c r="R18" i="17" s="1"/>
  <c r="R14" i="17" s="1"/>
  <c r="R9" i="17" s="1"/>
  <c r="P29" i="17"/>
  <c r="AJ28" i="17"/>
  <c r="AJ18" i="17" s="1"/>
  <c r="AJ14" i="17" s="1"/>
  <c r="AJ9" i="17" s="1"/>
  <c r="AI28" i="17"/>
  <c r="AI18" i="17" s="1"/>
  <c r="AI14" i="17" s="1"/>
  <c r="AI9" i="17" s="1"/>
  <c r="AH28" i="17"/>
  <c r="AG28" i="17"/>
  <c r="AF28" i="17"/>
  <c r="AF18" i="17" s="1"/>
  <c r="AF14" i="17" s="1"/>
  <c r="AF9" i="17" s="1"/>
  <c r="AE28" i="17"/>
  <c r="AE18" i="17" s="1"/>
  <c r="AE14" i="17" s="1"/>
  <c r="AE9" i="17" s="1"/>
  <c r="AD28" i="17"/>
  <c r="AD18" i="17" s="1"/>
  <c r="AD14" i="17" s="1"/>
  <c r="AD9" i="17" s="1"/>
  <c r="AC28" i="17"/>
  <c r="AC18" i="17" s="1"/>
  <c r="AC14" i="17" s="1"/>
  <c r="AB28" i="17"/>
  <c r="Y28" i="17"/>
  <c r="W28" i="17"/>
  <c r="V28" i="17"/>
  <c r="U28" i="17"/>
  <c r="U18" i="17" s="1"/>
  <c r="U14" i="17" s="1"/>
  <c r="T28" i="17"/>
  <c r="T18" i="17" s="1"/>
  <c r="T14" i="17" s="1"/>
  <c r="S28" i="17"/>
  <c r="S18" i="17" s="1"/>
  <c r="S14" i="17" s="1"/>
  <c r="S9" i="17" s="1"/>
  <c r="Q28" i="17"/>
  <c r="J28" i="17"/>
  <c r="J18" i="17" s="1"/>
  <c r="J14" i="17" s="1"/>
  <c r="J9" i="17" s="1"/>
  <c r="AF27" i="17"/>
  <c r="AA27" i="17"/>
  <c r="R27" i="17"/>
  <c r="P27" i="17" s="1"/>
  <c r="Q27" i="17"/>
  <c r="AF26" i="17"/>
  <c r="AA26" i="17"/>
  <c r="Q26" i="17"/>
  <c r="AF25" i="17"/>
  <c r="AA25" i="17"/>
  <c r="Q25" i="17"/>
  <c r="AF24" i="17"/>
  <c r="AA24" i="17"/>
  <c r="Q24" i="17"/>
  <c r="P24" i="17"/>
  <c r="AF23" i="17"/>
  <c r="AA23" i="17"/>
  <c r="T23" i="17"/>
  <c r="T20" i="17" s="1"/>
  <c r="R23" i="17"/>
  <c r="AF22" i="17"/>
  <c r="AA22" i="17"/>
  <c r="R22" i="17"/>
  <c r="P22" i="17"/>
  <c r="AF21" i="17"/>
  <c r="R21" i="17"/>
  <c r="AJ20" i="17"/>
  <c r="AI20" i="17"/>
  <c r="AH20" i="17"/>
  <c r="AG20" i="17"/>
  <c r="AF20" i="17"/>
  <c r="AE20" i="17"/>
  <c r="AD20" i="17"/>
  <c r="AC20" i="17"/>
  <c r="AB20" i="17"/>
  <c r="Y20" i="17"/>
  <c r="X20" i="17"/>
  <c r="W20" i="17"/>
  <c r="V20" i="17"/>
  <c r="V15" i="17" s="1"/>
  <c r="V11" i="17" s="1"/>
  <c r="U20" i="17"/>
  <c r="S20" i="17"/>
  <c r="K20" i="17"/>
  <c r="K15" i="17" s="1"/>
  <c r="K11" i="17" s="1"/>
  <c r="AO19" i="17"/>
  <c r="AN19" i="17"/>
  <c r="AD19" i="17"/>
  <c r="AC19" i="17"/>
  <c r="X19" i="17"/>
  <c r="P19" i="17"/>
  <c r="O19" i="17"/>
  <c r="M19" i="17"/>
  <c r="K19" i="17"/>
  <c r="AO18" i="17"/>
  <c r="AO14" i="17" s="1"/>
  <c r="AN18" i="17"/>
  <c r="AM18" i="17"/>
  <c r="AM14" i="17" s="1"/>
  <c r="AL18" i="17"/>
  <c r="AL14" i="17" s="1"/>
  <c r="AL9" i="17" s="1"/>
  <c r="AK18" i="17"/>
  <c r="AK14" i="17" s="1"/>
  <c r="AB18" i="17"/>
  <c r="AB14" i="17" s="1"/>
  <c r="AB9" i="17" s="1"/>
  <c r="Y18" i="17"/>
  <c r="Y14" i="17" s="1"/>
  <c r="Y9" i="17" s="1"/>
  <c r="X18" i="17"/>
  <c r="X14" i="17" s="1"/>
  <c r="Q18" i="17"/>
  <c r="Q14" i="17" s="1"/>
  <c r="Q9" i="17" s="1"/>
  <c r="P18" i="17"/>
  <c r="O18" i="17"/>
  <c r="O14" i="17" s="1"/>
  <c r="O9" i="17" s="1"/>
  <c r="N18" i="17"/>
  <c r="M18" i="17"/>
  <c r="M14" i="17" s="1"/>
  <c r="M9" i="17" s="1"/>
  <c r="L18" i="17"/>
  <c r="K18" i="17"/>
  <c r="K14" i="17" s="1"/>
  <c r="K9" i="17" s="1"/>
  <c r="AH17" i="17"/>
  <c r="X17" i="17"/>
  <c r="S17" i="17"/>
  <c r="P17" i="17"/>
  <c r="P13" i="17" s="1"/>
  <c r="O17" i="17"/>
  <c r="M17" i="17"/>
  <c r="AI15" i="17"/>
  <c r="AI11" i="17" s="1"/>
  <c r="AI6" i="17" s="1"/>
  <c r="AN14" i="17"/>
  <c r="AN9" i="17" s="1"/>
  <c r="P14" i="17"/>
  <c r="P9" i="17" s="1"/>
  <c r="N14" i="17"/>
  <c r="N9" i="17" s="1"/>
  <c r="L14" i="17"/>
  <c r="L9" i="17" s="1"/>
  <c r="AQ10" i="17"/>
  <c r="AQ9" i="17"/>
  <c r="Z9" i="17"/>
  <c r="AQ8" i="17"/>
  <c r="Z8" i="17"/>
  <c r="AQ7" i="17"/>
  <c r="Z7" i="17"/>
  <c r="AQ6" i="17"/>
  <c r="Z6" i="17"/>
  <c r="S283" i="15"/>
  <c r="T283" i="15"/>
  <c r="U283" i="15"/>
  <c r="V283" i="15"/>
  <c r="W283" i="15"/>
  <c r="X283" i="15"/>
  <c r="Y283" i="15"/>
  <c r="Z283" i="15"/>
  <c r="AA283" i="15"/>
  <c r="Q283" i="15"/>
  <c r="Q258" i="15"/>
  <c r="AA258" i="15"/>
  <c r="Z236" i="15"/>
  <c r="AA223" i="15"/>
  <c r="Q223" i="15"/>
  <c r="Q165" i="15"/>
  <c r="AA165" i="15"/>
  <c r="Q106" i="15"/>
  <c r="P62" i="15"/>
  <c r="P309" i="15"/>
  <c r="P306" i="15"/>
  <c r="P296" i="15"/>
  <c r="P199" i="15"/>
  <c r="P196" i="15"/>
  <c r="P193" i="15"/>
  <c r="P106" i="15"/>
  <c r="P40" i="15"/>
  <c r="R330" i="6"/>
  <c r="Z89" i="6"/>
  <c r="R321" i="6"/>
  <c r="Z323" i="6"/>
  <c r="Z322" i="6" s="1"/>
  <c r="Z253" i="6"/>
  <c r="Z273" i="6"/>
  <c r="Z272" i="6" s="1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Q230" i="6"/>
  <c r="R228" i="6"/>
  <c r="S228" i="6"/>
  <c r="T228" i="6"/>
  <c r="U228" i="6"/>
  <c r="V228" i="6"/>
  <c r="W228" i="6"/>
  <c r="X228" i="6"/>
  <c r="Y228" i="6"/>
  <c r="AA228" i="6"/>
  <c r="AB228" i="6"/>
  <c r="AC228" i="6"/>
  <c r="AD228" i="6"/>
  <c r="AE251" i="6"/>
  <c r="AE228" i="6" s="1"/>
  <c r="AF251" i="6"/>
  <c r="AF228" i="6" s="1"/>
  <c r="AG251" i="6"/>
  <c r="AH251" i="6"/>
  <c r="AI251" i="6"/>
  <c r="Q253" i="6"/>
  <c r="Q251" i="6" s="1"/>
  <c r="Q89" i="6"/>
  <c r="AN158" i="17" l="1"/>
  <c r="AN154" i="17" s="1"/>
  <c r="Z251" i="6"/>
  <c r="Z228" i="6" s="1"/>
  <c r="AK9" i="17"/>
  <c r="AO9" i="17"/>
  <c r="AI19" i="17"/>
  <c r="AI8" i="17"/>
  <c r="O15" i="17"/>
  <c r="O11" i="17" s="1"/>
  <c r="T85" i="17"/>
  <c r="T84" i="17" s="1"/>
  <c r="AF122" i="17"/>
  <c r="AF118" i="17" s="1"/>
  <c r="AM136" i="17"/>
  <c r="AM127" i="17" s="1"/>
  <c r="AF170" i="17"/>
  <c r="AF169" i="17" s="1"/>
  <c r="AA170" i="17"/>
  <c r="AA169" i="17" s="1"/>
  <c r="AA203" i="17"/>
  <c r="M204" i="17"/>
  <c r="M156" i="17" s="1"/>
  <c r="Q204" i="17"/>
  <c r="Q156" i="17" s="1"/>
  <c r="U204" i="17"/>
  <c r="U156" i="17" s="1"/>
  <c r="Y204" i="17"/>
  <c r="Y156" i="17" s="1"/>
  <c r="AD204" i="17"/>
  <c r="AD156" i="17" s="1"/>
  <c r="AH204" i="17"/>
  <c r="AH156" i="17" s="1"/>
  <c r="Q256" i="17"/>
  <c r="Q255" i="17" s="1"/>
  <c r="V10" i="18"/>
  <c r="AK79" i="18"/>
  <c r="S8" i="18"/>
  <c r="AN6" i="18"/>
  <c r="V6" i="18"/>
  <c r="AA137" i="17"/>
  <c r="AA136" i="17" s="1"/>
  <c r="AA127" i="17" s="1"/>
  <c r="AA142" i="17"/>
  <c r="AA141" i="17" s="1"/>
  <c r="O158" i="17"/>
  <c r="O154" i="17" s="1"/>
  <c r="L203" i="17"/>
  <c r="AE203" i="17"/>
  <c r="AE155" i="17" s="1"/>
  <c r="Q10" i="18"/>
  <c r="Q155" i="18"/>
  <c r="AF155" i="18"/>
  <c r="T8" i="18"/>
  <c r="I21" i="18"/>
  <c r="AN7" i="18"/>
  <c r="AO7" i="18"/>
  <c r="AO5" i="18" s="1"/>
  <c r="AC9" i="17"/>
  <c r="N15" i="17"/>
  <c r="N11" i="17" s="1"/>
  <c r="P52" i="17"/>
  <c r="T52" i="17"/>
  <c r="J230" i="17"/>
  <c r="J155" i="17" s="1"/>
  <c r="J153" i="17" s="1"/>
  <c r="O244" i="17"/>
  <c r="Q79" i="18"/>
  <c r="Q12" i="18" s="1"/>
  <c r="AD155" i="18"/>
  <c r="Y7" i="18"/>
  <c r="AH12" i="18"/>
  <c r="AH7" i="18" s="1"/>
  <c r="O157" i="18"/>
  <c r="O155" i="18" s="1"/>
  <c r="W19" i="17"/>
  <c r="AG15" i="17"/>
  <c r="AG11" i="17" s="1"/>
  <c r="AK84" i="17"/>
  <c r="AJ158" i="17"/>
  <c r="AJ154" i="17" s="1"/>
  <c r="N204" i="17"/>
  <c r="X204" i="17"/>
  <c r="AE204" i="17"/>
  <c r="AE156" i="17" s="1"/>
  <c r="AF7" i="18"/>
  <c r="AC155" i="18"/>
  <c r="O52" i="17"/>
  <c r="S52" i="17"/>
  <c r="W52" i="17"/>
  <c r="AK118" i="17"/>
  <c r="AB203" i="17"/>
  <c r="Q212" i="17"/>
  <c r="Q211" i="17" s="1"/>
  <c r="M7" i="18"/>
  <c r="M5" i="18" s="1"/>
  <c r="M10" i="18"/>
  <c r="AA8" i="17"/>
  <c r="AC52" i="17"/>
  <c r="AG52" i="17"/>
  <c r="Z10" i="17"/>
  <c r="AG77" i="17"/>
  <c r="AG12" i="17" s="1"/>
  <c r="Q251" i="17"/>
  <c r="Q250" i="17" s="1"/>
  <c r="S258" i="17"/>
  <c r="P244" i="17"/>
  <c r="AQ153" i="17"/>
  <c r="AQ5" i="17" s="1"/>
  <c r="AE12" i="18"/>
  <c r="T12" i="18"/>
  <c r="AA7" i="18"/>
  <c r="U157" i="18"/>
  <c r="AD12" i="18"/>
  <c r="AK15" i="18"/>
  <c r="AK11" i="18" s="1"/>
  <c r="AF6" i="18"/>
  <c r="AB7" i="18"/>
  <c r="AI12" i="18"/>
  <c r="AI10" i="18" s="1"/>
  <c r="AH5" i="18"/>
  <c r="AH155" i="18"/>
  <c r="X6" i="18"/>
  <c r="AH19" i="17"/>
  <c r="AN15" i="17"/>
  <c r="AN11" i="17" s="1"/>
  <c r="AN6" i="17" s="1"/>
  <c r="AE13" i="17"/>
  <c r="AE8" i="17" s="1"/>
  <c r="U15" i="17"/>
  <c r="U11" i="17" s="1"/>
  <c r="Q20" i="17"/>
  <c r="AG19" i="17"/>
  <c r="AK33" i="17"/>
  <c r="AK36" i="17"/>
  <c r="AL36" i="17" s="1"/>
  <c r="AC15" i="17"/>
  <c r="AC11" i="17" s="1"/>
  <c r="O44" i="17"/>
  <c r="X13" i="17"/>
  <c r="L55" i="17"/>
  <c r="J55" i="17" s="1"/>
  <c r="Q52" i="17"/>
  <c r="U52" i="17"/>
  <c r="Y52" i="17"/>
  <c r="N52" i="17"/>
  <c r="AK58" i="17"/>
  <c r="AL58" i="17" s="1"/>
  <c r="AK72" i="17"/>
  <c r="AL72" i="17" s="1"/>
  <c r="O77" i="17"/>
  <c r="V119" i="17"/>
  <c r="W122" i="17"/>
  <c r="W118" i="17" s="1"/>
  <c r="AI122" i="17"/>
  <c r="AI118" i="17" s="1"/>
  <c r="AM146" i="17"/>
  <c r="AA147" i="17"/>
  <c r="AA146" i="17" s="1"/>
  <c r="L158" i="17"/>
  <c r="L154" i="17" s="1"/>
  <c r="AO158" i="17"/>
  <c r="AO154" i="17" s="1"/>
  <c r="AO6" i="17" s="1"/>
  <c r="M158" i="17"/>
  <c r="M154" i="17" s="1"/>
  <c r="M6" i="17" s="1"/>
  <c r="AM165" i="17"/>
  <c r="AH158" i="17"/>
  <c r="AH154" i="17" s="1"/>
  <c r="O203" i="17"/>
  <c r="X203" i="17"/>
  <c r="X155" i="17" s="1"/>
  <c r="AD203" i="17"/>
  <c r="Q218" i="17"/>
  <c r="Q217" i="17" s="1"/>
  <c r="L204" i="17"/>
  <c r="P204" i="17"/>
  <c r="P156" i="17" s="1"/>
  <c r="P8" i="17" s="1"/>
  <c r="T204" i="17"/>
  <c r="T156" i="17" s="1"/>
  <c r="AC204" i="17"/>
  <c r="AC156" i="17" s="1"/>
  <c r="AG204" i="17"/>
  <c r="AG156" i="17" s="1"/>
  <c r="O204" i="17"/>
  <c r="O156" i="17" s="1"/>
  <c r="W204" i="17"/>
  <c r="W156" i="17" s="1"/>
  <c r="AB204" i="17"/>
  <c r="AB156" i="17" s="1"/>
  <c r="AF204" i="17"/>
  <c r="AF156" i="17" s="1"/>
  <c r="N156" i="17"/>
  <c r="AN244" i="17"/>
  <c r="N244" i="17"/>
  <c r="T259" i="17"/>
  <c r="T258" i="17" s="1"/>
  <c r="R272" i="17"/>
  <c r="R271" i="17" s="1"/>
  <c r="U244" i="17"/>
  <c r="AG245" i="17"/>
  <c r="N8" i="18"/>
  <c r="N7" i="18"/>
  <c r="AC8" i="18"/>
  <c r="AJ7" i="18"/>
  <c r="AO10" i="18"/>
  <c r="N10" i="18"/>
  <c r="U19" i="18"/>
  <c r="K10" i="17"/>
  <c r="R77" i="17"/>
  <c r="AF77" i="17"/>
  <c r="W77" i="17"/>
  <c r="W12" i="17" s="1"/>
  <c r="AD127" i="17"/>
  <c r="AD117" i="17" s="1"/>
  <c r="AD122" i="17"/>
  <c r="AD118" i="17" s="1"/>
  <c r="AD77" i="17" s="1"/>
  <c r="AN5" i="18"/>
  <c r="AE15" i="17"/>
  <c r="AE11" i="17" s="1"/>
  <c r="AJ12" i="17"/>
  <c r="S77" i="17"/>
  <c r="X156" i="17"/>
  <c r="X8" i="17" s="1"/>
  <c r="P10" i="17"/>
  <c r="AG18" i="17"/>
  <c r="AG14" i="17" s="1"/>
  <c r="AG9" i="17" s="1"/>
  <c r="W10" i="17"/>
  <c r="O12" i="17"/>
  <c r="O10" i="17" s="1"/>
  <c r="AB77" i="17"/>
  <c r="L244" i="17"/>
  <c r="AG7" i="18"/>
  <c r="AM72" i="17"/>
  <c r="M77" i="17"/>
  <c r="AA77" i="17"/>
  <c r="AA12" i="17" s="1"/>
  <c r="AG122" i="17"/>
  <c r="AG118" i="17" s="1"/>
  <c r="AM141" i="17"/>
  <c r="R203" i="17"/>
  <c r="Y203" i="17"/>
  <c r="T209" i="17"/>
  <c r="T207" i="17" s="1"/>
  <c r="T206" i="17" s="1"/>
  <c r="T203" i="17" s="1"/>
  <c r="U207" i="17"/>
  <c r="U206" i="17" s="1"/>
  <c r="U153" i="17" s="1"/>
  <c r="M203" i="17"/>
  <c r="M155" i="17" s="1"/>
  <c r="AH203" i="17"/>
  <c r="AJ230" i="17"/>
  <c r="AG244" i="17"/>
  <c r="AI258" i="17"/>
  <c r="AI245" i="17"/>
  <c r="AL246" i="18"/>
  <c r="AL33" i="18"/>
  <c r="AL15" i="18" s="1"/>
  <c r="AL11" i="18" s="1"/>
  <c r="AK246" i="18"/>
  <c r="AI7" i="18"/>
  <c r="W5" i="18"/>
  <c r="U6" i="18"/>
  <c r="AB155" i="18"/>
  <c r="L12" i="18"/>
  <c r="U95" i="17"/>
  <c r="U94" i="17" s="1"/>
  <c r="AJ203" i="17"/>
  <c r="AJ155" i="17" s="1"/>
  <c r="AJ153" i="17" s="1"/>
  <c r="O155" i="17"/>
  <c r="O153" i="17" s="1"/>
  <c r="AH258" i="17"/>
  <c r="AH245" i="17"/>
  <c r="P288" i="17"/>
  <c r="R287" i="17"/>
  <c r="R286" i="17" s="1"/>
  <c r="J7" i="18"/>
  <c r="R8" i="18"/>
  <c r="AF31" i="18"/>
  <c r="AF30" i="18" s="1"/>
  <c r="AF17" i="18" s="1"/>
  <c r="AF13" i="18" s="1"/>
  <c r="AG30" i="18"/>
  <c r="AG17" i="18" s="1"/>
  <c r="AG13" i="18" s="1"/>
  <c r="AG8" i="18" s="1"/>
  <c r="P15" i="17"/>
  <c r="P11" i="17" s="1"/>
  <c r="P6" i="17" s="1"/>
  <c r="W18" i="17"/>
  <c r="W14" i="17" s="1"/>
  <c r="W9" i="17" s="1"/>
  <c r="AH18" i="17"/>
  <c r="AH14" i="17" s="1"/>
  <c r="AH9" i="17" s="1"/>
  <c r="T9" i="17"/>
  <c r="AD13" i="17"/>
  <c r="AJ8" i="17"/>
  <c r="AN52" i="17"/>
  <c r="AN12" i="17" s="1"/>
  <c r="AN10" i="17" s="1"/>
  <c r="O13" i="17"/>
  <c r="O8" i="17" s="1"/>
  <c r="X9" i="17"/>
  <c r="AD15" i="17"/>
  <c r="AD11" i="17" s="1"/>
  <c r="AH15" i="17"/>
  <c r="AH11" i="17" s="1"/>
  <c r="U9" i="17"/>
  <c r="S44" i="17"/>
  <c r="L52" i="17"/>
  <c r="J52" i="17" s="1"/>
  <c r="Y122" i="17"/>
  <c r="Y118" i="17" s="1"/>
  <c r="AH122" i="17"/>
  <c r="AH118" i="17" s="1"/>
  <c r="Q158" i="17"/>
  <c r="Q154" i="17" s="1"/>
  <c r="L156" i="17"/>
  <c r="AK165" i="17"/>
  <c r="AK158" i="17" s="1"/>
  <c r="AK154" i="17" s="1"/>
  <c r="R170" i="17"/>
  <c r="R169" i="17" s="1"/>
  <c r="R158" i="17" s="1"/>
  <c r="R154" i="17" s="1"/>
  <c r="K155" i="17"/>
  <c r="K153" i="17" s="1"/>
  <c r="AN230" i="17"/>
  <c r="S245" i="17"/>
  <c r="S156" i="17" s="1"/>
  <c r="AE258" i="17"/>
  <c r="S244" i="17"/>
  <c r="W244" i="17"/>
  <c r="Q277" i="17"/>
  <c r="Q276" i="17" s="1"/>
  <c r="Q244" i="17" s="1"/>
  <c r="Y10" i="18"/>
  <c r="Y5" i="18" s="1"/>
  <c r="R19" i="18"/>
  <c r="R10" i="18" s="1"/>
  <c r="L157" i="18"/>
  <c r="L155" i="18" s="1"/>
  <c r="J246" i="18"/>
  <c r="AN155" i="18"/>
  <c r="L6" i="18"/>
  <c r="O12" i="18"/>
  <c r="K6" i="18"/>
  <c r="K5" i="18" s="1"/>
  <c r="K10" i="18"/>
  <c r="AE157" i="18"/>
  <c r="N158" i="17"/>
  <c r="N154" i="17" s="1"/>
  <c r="N6" i="17" s="1"/>
  <c r="X158" i="17"/>
  <c r="X154" i="17" s="1"/>
  <c r="N203" i="17"/>
  <c r="N155" i="17" s="1"/>
  <c r="N153" i="17" s="1"/>
  <c r="AC203" i="17"/>
  <c r="AA244" i="17"/>
  <c r="AA155" i="17" s="1"/>
  <c r="AM244" i="17"/>
  <c r="AK258" i="17"/>
  <c r="AL258" i="17" s="1"/>
  <c r="T272" i="17"/>
  <c r="T271" i="17" s="1"/>
  <c r="T244" i="17" s="1"/>
  <c r="T155" i="17" s="1"/>
  <c r="J5" i="18"/>
  <c r="AC12" i="18"/>
  <c r="Q5" i="18"/>
  <c r="AM5" i="18" s="1"/>
  <c r="Q157" i="18"/>
  <c r="Q7" i="18" s="1"/>
  <c r="AB6" i="18"/>
  <c r="Y6" i="18"/>
  <c r="AG203" i="17"/>
  <c r="J244" i="17"/>
  <c r="X244" i="17"/>
  <c r="AC244" i="17"/>
  <c r="AC155" i="17" s="1"/>
  <c r="X258" i="17"/>
  <c r="X153" i="17" s="1"/>
  <c r="AD258" i="17"/>
  <c r="P260" i="17"/>
  <c r="Z153" i="17"/>
  <c r="Z5" i="17" s="1"/>
  <c r="R12" i="18"/>
  <c r="R7" i="18" s="1"/>
  <c r="S12" i="18"/>
  <c r="S7" i="18" s="1"/>
  <c r="X157" i="18"/>
  <c r="AA10" i="18"/>
  <c r="AA5" i="18" s="1"/>
  <c r="AH10" i="18"/>
  <c r="Y13" i="17"/>
  <c r="Y8" i="17" s="1"/>
  <c r="AI244" i="17"/>
  <c r="AI230" i="17"/>
  <c r="S12" i="17"/>
  <c r="Q77" i="17"/>
  <c r="AM80" i="17"/>
  <c r="Q203" i="17"/>
  <c r="Q153" i="17"/>
  <c r="V244" i="17"/>
  <c r="AE244" i="17"/>
  <c r="AD10" i="18"/>
  <c r="AD7" i="18"/>
  <c r="AD5" i="18" s="1"/>
  <c r="T44" i="17"/>
  <c r="T45" i="17"/>
  <c r="AO230" i="17"/>
  <c r="AO244" i="17"/>
  <c r="W13" i="17"/>
  <c r="W8" i="17" s="1"/>
  <c r="AB13" i="17"/>
  <c r="AB8" i="17" s="1"/>
  <c r="AH13" i="17"/>
  <c r="AH8" i="17" s="1"/>
  <c r="S15" i="17"/>
  <c r="S11" i="17" s="1"/>
  <c r="AM36" i="17"/>
  <c r="AM15" i="17" s="1"/>
  <c r="AM11" i="17" s="1"/>
  <c r="N44" i="17"/>
  <c r="R44" i="17"/>
  <c r="R12" i="17" s="1"/>
  <c r="V44" i="17"/>
  <c r="AC13" i="17"/>
  <c r="AC8" i="17" s="1"/>
  <c r="AB52" i="17"/>
  <c r="AF52" i="17"/>
  <c r="AO12" i="17"/>
  <c r="AO10" i="17" s="1"/>
  <c r="AK97" i="17"/>
  <c r="AC158" i="17"/>
  <c r="AC154" i="17" s="1"/>
  <c r="AC6" i="17" s="1"/>
  <c r="L155" i="17"/>
  <c r="AM206" i="17"/>
  <c r="AM203" i="17" s="1"/>
  <c r="S203" i="17"/>
  <c r="S155" i="17" s="1"/>
  <c r="Q209" i="17"/>
  <c r="AB244" i="17"/>
  <c r="AB155" i="17" s="1"/>
  <c r="AF244" i="17"/>
  <c r="AJ244" i="17"/>
  <c r="AM12" i="18"/>
  <c r="AM10" i="18" s="1"/>
  <c r="AI5" i="18"/>
  <c r="Y15" i="17"/>
  <c r="Y11" i="17" s="1"/>
  <c r="R13" i="17"/>
  <c r="R8" i="17" s="1"/>
  <c r="AM74" i="17"/>
  <c r="P82" i="17"/>
  <c r="Q121" i="17"/>
  <c r="AK136" i="17"/>
  <c r="AK146" i="17"/>
  <c r="AL146" i="17" s="1"/>
  <c r="V158" i="17"/>
  <c r="V154" i="17" s="1"/>
  <c r="V6" i="17" s="1"/>
  <c r="AD158" i="17"/>
  <c r="AD154" i="17" s="1"/>
  <c r="AG230" i="17"/>
  <c r="AM240" i="17"/>
  <c r="AK267" i="17"/>
  <c r="AG155" i="18"/>
  <c r="AG6" i="18"/>
  <c r="P12" i="18"/>
  <c r="P7" i="18" s="1"/>
  <c r="R6" i="18"/>
  <c r="Y19" i="17"/>
  <c r="AE19" i="17"/>
  <c r="AB15" i="17"/>
  <c r="AB11" i="17" s="1"/>
  <c r="AB6" i="17" s="1"/>
  <c r="AF15" i="17"/>
  <c r="AF11" i="17" s="1"/>
  <c r="AJ15" i="17"/>
  <c r="AJ11" i="17" s="1"/>
  <c r="AJ6" i="17" s="1"/>
  <c r="AA20" i="17"/>
  <c r="AA15" i="17" s="1"/>
  <c r="AA11" i="17" s="1"/>
  <c r="V19" i="17"/>
  <c r="T13" i="17"/>
  <c r="T8" i="17" s="1"/>
  <c r="AD52" i="17"/>
  <c r="AH52" i="17"/>
  <c r="AH12" i="17" s="1"/>
  <c r="N77" i="17"/>
  <c r="N12" i="17" s="1"/>
  <c r="N7" i="17" s="1"/>
  <c r="AI77" i="17"/>
  <c r="AI12" i="17" s="1"/>
  <c r="AK100" i="17"/>
  <c r="AM158" i="17"/>
  <c r="AM154" i="17" s="1"/>
  <c r="AE158" i="17"/>
  <c r="AE154" i="17" s="1"/>
  <c r="AO155" i="17"/>
  <c r="AO153" i="17" s="1"/>
  <c r="W203" i="17"/>
  <c r="AF230" i="17"/>
  <c r="AN155" i="17"/>
  <c r="AN153" i="17" s="1"/>
  <c r="Y244" i="17"/>
  <c r="AD244" i="17"/>
  <c r="AD155" i="17" s="1"/>
  <c r="AH244" i="17"/>
  <c r="Z86" i="6"/>
  <c r="S5" i="18"/>
  <c r="N155" i="18"/>
  <c r="U155" i="18"/>
  <c r="K6" i="17"/>
  <c r="S13" i="17"/>
  <c r="S19" i="17"/>
  <c r="S10" i="17" s="1"/>
  <c r="AB19" i="17"/>
  <c r="AF19" i="17"/>
  <c r="AJ19" i="17"/>
  <c r="W15" i="17"/>
  <c r="W11" i="17" s="1"/>
  <c r="R20" i="17"/>
  <c r="R19" i="17" s="1"/>
  <c r="R10" i="17" s="1"/>
  <c r="V13" i="17"/>
  <c r="AG31" i="17"/>
  <c r="AF31" i="17" s="1"/>
  <c r="AF30" i="17" s="1"/>
  <c r="AF17" i="17" s="1"/>
  <c r="AF13" i="17" s="1"/>
  <c r="AF8" i="17" s="1"/>
  <c r="L15" i="17"/>
  <c r="L11" i="17" s="1"/>
  <c r="M44" i="17"/>
  <c r="AK47" i="17"/>
  <c r="AK45" i="17" s="1"/>
  <c r="AK13" i="17" s="1"/>
  <c r="AK8" i="17" s="1"/>
  <c r="AK55" i="17"/>
  <c r="AL55" i="17" s="1"/>
  <c r="AL52" i="17" s="1"/>
  <c r="AK68" i="17"/>
  <c r="AK114" i="17"/>
  <c r="AK141" i="17"/>
  <c r="AL141" i="17" s="1"/>
  <c r="AF158" i="17"/>
  <c r="AF154" i="17" s="1"/>
  <c r="AB158" i="17"/>
  <c r="AB154" i="17" s="1"/>
  <c r="AA186" i="17"/>
  <c r="AA185" i="17" s="1"/>
  <c r="AA158" i="17" s="1"/>
  <c r="AA154" i="17" s="1"/>
  <c r="AF203" i="17"/>
  <c r="AF155" i="17" s="1"/>
  <c r="AH230" i="17"/>
  <c r="R237" i="17"/>
  <c r="R236" i="17" s="1"/>
  <c r="R230" i="17" s="1"/>
  <c r="AM258" i="17"/>
  <c r="AM230" i="17" s="1"/>
  <c r="AJ155" i="18"/>
  <c r="AJ6" i="18"/>
  <c r="AJ5" i="18" s="1"/>
  <c r="AE155" i="18"/>
  <c r="AE6" i="18"/>
  <c r="AI155" i="18"/>
  <c r="AA6" i="18"/>
  <c r="T260" i="18"/>
  <c r="T155" i="18" s="1"/>
  <c r="T246" i="18"/>
  <c r="T157" i="18" s="1"/>
  <c r="T7" i="18" s="1"/>
  <c r="V205" i="18"/>
  <c r="V157" i="18" s="1"/>
  <c r="V155" i="18"/>
  <c r="V5" i="18" s="1"/>
  <c r="U79" i="18"/>
  <c r="U12" i="18" s="1"/>
  <c r="U10" i="18"/>
  <c r="U5" i="18" s="1"/>
  <c r="AL238" i="18"/>
  <c r="AL232" i="18" s="1"/>
  <c r="AK232" i="18"/>
  <c r="AK157" i="18" s="1"/>
  <c r="AK155" i="18" s="1"/>
  <c r="AC7" i="18"/>
  <c r="AC5" i="18" s="1"/>
  <c r="AC10" i="18"/>
  <c r="AL6" i="18"/>
  <c r="T10" i="18"/>
  <c r="R5" i="18"/>
  <c r="AK12" i="18"/>
  <c r="AK10" i="18" s="1"/>
  <c r="AL157" i="18"/>
  <c r="AL155" i="18" s="1"/>
  <c r="X79" i="18"/>
  <c r="X12" i="18" s="1"/>
  <c r="X7" i="18" s="1"/>
  <c r="V79" i="18"/>
  <c r="V12" i="18" s="1"/>
  <c r="AE7" i="18"/>
  <c r="AE5" i="18" s="1"/>
  <c r="AE10" i="18"/>
  <c r="AK6" i="18"/>
  <c r="AL12" i="18"/>
  <c r="AL7" i="18" s="1"/>
  <c r="AJ10" i="17"/>
  <c r="T19" i="17"/>
  <c r="T15" i="17"/>
  <c r="T11" i="17" s="1"/>
  <c r="J6" i="17"/>
  <c r="AL33" i="17"/>
  <c r="AL15" i="17" s="1"/>
  <c r="AL11" i="17" s="1"/>
  <c r="X15" i="17"/>
  <c r="X11" i="17" s="1"/>
  <c r="X6" i="17" s="1"/>
  <c r="AL84" i="17"/>
  <c r="AL77" i="17" s="1"/>
  <c r="AK77" i="17"/>
  <c r="AI10" i="17"/>
  <c r="AF6" i="17"/>
  <c r="R15" i="17"/>
  <c r="R11" i="17" s="1"/>
  <c r="L6" i="17"/>
  <c r="AK65" i="17"/>
  <c r="AL68" i="17"/>
  <c r="AL65" i="17" s="1"/>
  <c r="Y65" i="17"/>
  <c r="AM68" i="17"/>
  <c r="AM65" i="17" s="1"/>
  <c r="Q65" i="17"/>
  <c r="Q15" i="17"/>
  <c r="Q11" i="17" s="1"/>
  <c r="Q6" i="17" s="1"/>
  <c r="AM6" i="17" s="1"/>
  <c r="T127" i="17"/>
  <c r="T117" i="17" s="1"/>
  <c r="T122" i="17"/>
  <c r="T118" i="17" s="1"/>
  <c r="T77" i="17" s="1"/>
  <c r="T12" i="17" s="1"/>
  <c r="V127" i="17"/>
  <c r="V117" i="17" s="1"/>
  <c r="V122" i="17"/>
  <c r="X127" i="17"/>
  <c r="X117" i="17" s="1"/>
  <c r="X122" i="17"/>
  <c r="X118" i="17" s="1"/>
  <c r="X10" i="17" s="1"/>
  <c r="AC127" i="17"/>
  <c r="AC117" i="17" s="1"/>
  <c r="AC122" i="17"/>
  <c r="AC118" i="17" s="1"/>
  <c r="AC77" i="17" s="1"/>
  <c r="AE127" i="17"/>
  <c r="AE117" i="17" s="1"/>
  <c r="AE122" i="17"/>
  <c r="AE118" i="17" s="1"/>
  <c r="AE77" i="17" s="1"/>
  <c r="U158" i="17"/>
  <c r="U154" i="17" s="1"/>
  <c r="U6" i="17" s="1"/>
  <c r="W158" i="17"/>
  <c r="W154" i="17" s="1"/>
  <c r="W6" i="17" s="1"/>
  <c r="W153" i="17"/>
  <c r="Y158" i="17"/>
  <c r="Y154" i="17" s="1"/>
  <c r="Y6" i="17" s="1"/>
  <c r="Y153" i="17"/>
  <c r="T158" i="17"/>
  <c r="T154" i="17" s="1"/>
  <c r="T153" i="17"/>
  <c r="AA153" i="17"/>
  <c r="P230" i="17"/>
  <c r="AK236" i="17"/>
  <c r="P153" i="17"/>
  <c r="P5" i="17" s="1"/>
  <c r="I22" i="17"/>
  <c r="AM84" i="17"/>
  <c r="AM77" i="17" s="1"/>
  <c r="AL136" i="17"/>
  <c r="AL127" i="17" s="1"/>
  <c r="AK127" i="17"/>
  <c r="S158" i="17"/>
  <c r="S154" i="17" s="1"/>
  <c r="S153" i="17"/>
  <c r="S5" i="17" s="1"/>
  <c r="V258" i="17"/>
  <c r="V245" i="17"/>
  <c r="V156" i="17" s="1"/>
  <c r="AL267" i="17"/>
  <c r="M13" i="17"/>
  <c r="N17" i="17"/>
  <c r="N13" i="17" s="1"/>
  <c r="V18" i="17"/>
  <c r="V14" i="17" s="1"/>
  <c r="V9" i="17" s="1"/>
  <c r="Q30" i="17"/>
  <c r="U30" i="17"/>
  <c r="P65" i="17"/>
  <c r="L77" i="17"/>
  <c r="J77" i="17" s="1"/>
  <c r="P77" i="17"/>
  <c r="AI203" i="17"/>
  <c r="AI155" i="17" s="1"/>
  <c r="AI153" i="17" s="1"/>
  <c r="L240" i="17"/>
  <c r="U92" i="17"/>
  <c r="U91" i="17" s="1"/>
  <c r="U119" i="17"/>
  <c r="U118" i="17" s="1"/>
  <c r="Q127" i="17"/>
  <c r="AG169" i="17"/>
  <c r="AG158" i="17" s="1"/>
  <c r="AG154" i="17" s="1"/>
  <c r="P203" i="17"/>
  <c r="V207" i="17"/>
  <c r="V206" i="17" s="1"/>
  <c r="V203" i="17" s="1"/>
  <c r="V155" i="17" s="1"/>
  <c r="AK106" i="17"/>
  <c r="AK206" i="17"/>
  <c r="AK240" i="17"/>
  <c r="AL240" i="17" s="1"/>
  <c r="Q249" i="6"/>
  <c r="Q228" i="6"/>
  <c r="AE249" i="6"/>
  <c r="AC249" i="6"/>
  <c r="AA249" i="6"/>
  <c r="X249" i="6"/>
  <c r="V249" i="6"/>
  <c r="T249" i="6"/>
  <c r="R249" i="6"/>
  <c r="AF249" i="6"/>
  <c r="AD249" i="6"/>
  <c r="AB249" i="6"/>
  <c r="Y249" i="6"/>
  <c r="W249" i="6"/>
  <c r="U249" i="6"/>
  <c r="S249" i="6"/>
  <c r="U7" i="18" l="1"/>
  <c r="Y155" i="17"/>
  <c r="AG5" i="18"/>
  <c r="AF12" i="17"/>
  <c r="Z249" i="6"/>
  <c r="AL165" i="17"/>
  <c r="AL158" i="17" s="1"/>
  <c r="AL154" i="17" s="1"/>
  <c r="AK52" i="17"/>
  <c r="V118" i="17"/>
  <c r="V10" i="17" s="1"/>
  <c r="AK15" i="17"/>
  <c r="AK11" i="17" s="1"/>
  <c r="AH155" i="17"/>
  <c r="AH153" i="17" s="1"/>
  <c r="AD8" i="17"/>
  <c r="O6" i="17"/>
  <c r="AG30" i="17"/>
  <c r="AG17" i="17" s="1"/>
  <c r="AG13" i="17" s="1"/>
  <c r="M153" i="17"/>
  <c r="N5" i="18"/>
  <c r="N8" i="17"/>
  <c r="AG155" i="17"/>
  <c r="AG7" i="17" s="1"/>
  <c r="AA19" i="17"/>
  <c r="AA10" i="17" s="1"/>
  <c r="AB5" i="18"/>
  <c r="AM7" i="18"/>
  <c r="AH10" i="17"/>
  <c r="R244" i="17"/>
  <c r="R155" i="17" s="1"/>
  <c r="R7" i="17" s="1"/>
  <c r="AE12" i="17"/>
  <c r="AF10" i="17"/>
  <c r="AD6" i="17"/>
  <c r="Y77" i="17"/>
  <c r="Y10" i="17"/>
  <c r="Y5" i="17" s="1"/>
  <c r="AF8" i="18"/>
  <c r="AF5" i="18" s="1"/>
  <c r="AF10" i="18"/>
  <c r="X5" i="17"/>
  <c r="R6" i="17"/>
  <c r="V7" i="18"/>
  <c r="AD12" i="17"/>
  <c r="AD10" i="17" s="1"/>
  <c r="U203" i="17"/>
  <c r="U155" i="17" s="1"/>
  <c r="AB153" i="17"/>
  <c r="S6" i="17"/>
  <c r="P155" i="17"/>
  <c r="J12" i="17"/>
  <c r="AA7" i="17"/>
  <c r="AL47" i="17"/>
  <c r="AL45" i="17" s="1"/>
  <c r="AL13" i="17" s="1"/>
  <c r="AL8" i="17" s="1"/>
  <c r="I21" i="17"/>
  <c r="AO7" i="17"/>
  <c r="AO5" i="17" s="1"/>
  <c r="T5" i="18"/>
  <c r="R153" i="17"/>
  <c r="R5" i="17" s="1"/>
  <c r="S8" i="17"/>
  <c r="W155" i="17"/>
  <c r="W7" i="17" s="1"/>
  <c r="AK276" i="17"/>
  <c r="AL276" i="17" s="1"/>
  <c r="AL244" i="17" s="1"/>
  <c r="L153" i="17"/>
  <c r="O7" i="17"/>
  <c r="O5" i="17" s="1"/>
  <c r="AG10" i="18"/>
  <c r="O7" i="18"/>
  <c r="O5" i="18" s="1"/>
  <c r="O10" i="18"/>
  <c r="V8" i="17"/>
  <c r="T7" i="17"/>
  <c r="W5" i="17"/>
  <c r="Y12" i="17"/>
  <c r="Y7" i="17" s="1"/>
  <c r="AH6" i="17"/>
  <c r="AC153" i="17"/>
  <c r="M12" i="17"/>
  <c r="M7" i="17" s="1"/>
  <c r="Q155" i="17"/>
  <c r="AE153" i="17"/>
  <c r="AB12" i="17"/>
  <c r="AB10" i="17" s="1"/>
  <c r="L7" i="18"/>
  <c r="L5" i="18" s="1"/>
  <c r="L10" i="18"/>
  <c r="K7" i="17"/>
  <c r="K5" i="17" s="1"/>
  <c r="N5" i="17"/>
  <c r="AC12" i="17"/>
  <c r="AC7" i="17" s="1"/>
  <c r="AC5" i="17" s="1"/>
  <c r="AM155" i="17"/>
  <c r="AM153" i="17" s="1"/>
  <c r="AJ7" i="17"/>
  <c r="AJ5" i="17" s="1"/>
  <c r="AF7" i="17"/>
  <c r="AF5" i="17" s="1"/>
  <c r="AF153" i="17"/>
  <c r="AH7" i="17"/>
  <c r="AH5" i="17" s="1"/>
  <c r="AD153" i="17"/>
  <c r="AE6" i="17"/>
  <c r="U77" i="17"/>
  <c r="U12" i="17" s="1"/>
  <c r="V153" i="17"/>
  <c r="V5" i="17" s="1"/>
  <c r="AD7" i="17"/>
  <c r="AD5" i="17" s="1"/>
  <c r="S7" i="17"/>
  <c r="AN7" i="17"/>
  <c r="AN5" i="17" s="1"/>
  <c r="AK7" i="18"/>
  <c r="AK5" i="18" s="1"/>
  <c r="AL5" i="18"/>
  <c r="AL10" i="18"/>
  <c r="J7" i="17"/>
  <c r="J10" i="17"/>
  <c r="AE7" i="17"/>
  <c r="AE10" i="17"/>
  <c r="AL206" i="17"/>
  <c r="AL203" i="17" s="1"/>
  <c r="AK203" i="17"/>
  <c r="AG153" i="17"/>
  <c r="AG6" i="17"/>
  <c r="U19" i="17"/>
  <c r="U10" i="17" s="1"/>
  <c r="U5" i="17" s="1"/>
  <c r="U17" i="17"/>
  <c r="U13" i="17" s="1"/>
  <c r="U8" i="17" s="1"/>
  <c r="M8" i="17"/>
  <c r="AL6" i="17"/>
  <c r="P12" i="17"/>
  <c r="N10" i="17"/>
  <c r="L17" i="17"/>
  <c r="L13" i="17" s="1"/>
  <c r="L8" i="17" s="1"/>
  <c r="Q12" i="17"/>
  <c r="Q7" i="17" s="1"/>
  <c r="AK12" i="17"/>
  <c r="AK10" i="17" s="1"/>
  <c r="X77" i="17"/>
  <c r="X12" i="17" s="1"/>
  <c r="X7" i="17" s="1"/>
  <c r="AI7" i="17"/>
  <c r="AI5" i="17" s="1"/>
  <c r="AA5" i="17"/>
  <c r="T10" i="17"/>
  <c r="T5" i="17" s="1"/>
  <c r="AG10" i="17"/>
  <c r="AG8" i="17"/>
  <c r="Q19" i="17"/>
  <c r="Q17" i="17"/>
  <c r="Q13" i="17" s="1"/>
  <c r="Q8" i="17" s="1"/>
  <c r="AL236" i="17"/>
  <c r="AL230" i="17" s="1"/>
  <c r="AK230" i="17"/>
  <c r="AK6" i="17"/>
  <c r="L12" i="17"/>
  <c r="AM12" i="17"/>
  <c r="AM10" i="17" s="1"/>
  <c r="AL12" i="17"/>
  <c r="AL10" i="17" s="1"/>
  <c r="V77" i="17"/>
  <c r="V12" i="17" s="1"/>
  <c r="V7" i="17" s="1"/>
  <c r="J5" i="17"/>
  <c r="AA6" i="17"/>
  <c r="T6" i="17"/>
  <c r="P260" i="6"/>
  <c r="P259" i="6"/>
  <c r="P262" i="6"/>
  <c r="P249" i="6"/>
  <c r="P63" i="6"/>
  <c r="P73" i="6"/>
  <c r="R276" i="6"/>
  <c r="R275" i="6" s="1"/>
  <c r="S276" i="6"/>
  <c r="S275" i="6" s="1"/>
  <c r="T276" i="6"/>
  <c r="T275" i="6" s="1"/>
  <c r="U276" i="6"/>
  <c r="U275" i="6" s="1"/>
  <c r="V276" i="6"/>
  <c r="V275" i="6" s="1"/>
  <c r="W276" i="6"/>
  <c r="W275" i="6"/>
  <c r="AA28" i="6"/>
  <c r="Z59" i="6"/>
  <c r="AE5" i="17" l="1"/>
  <c r="AB7" i="17"/>
  <c r="AB5" i="17" s="1"/>
  <c r="M5" i="17"/>
  <c r="AC10" i="17"/>
  <c r="M10" i="17"/>
  <c r="U7" i="17"/>
  <c r="AK244" i="17"/>
  <c r="P7" i="17"/>
  <c r="AM7" i="17" s="1"/>
  <c r="Q10" i="17"/>
  <c r="Q5" i="17" s="1"/>
  <c r="AM5" i="17" s="1"/>
  <c r="AK19" i="17"/>
  <c r="AL19" i="17" s="1"/>
  <c r="AL155" i="17"/>
  <c r="AL153" i="17" s="1"/>
  <c r="L7" i="17"/>
  <c r="L5" i="17" s="1"/>
  <c r="L10" i="17"/>
  <c r="AG5" i="17"/>
  <c r="AK155" i="17"/>
  <c r="AK153" i="17" s="1"/>
  <c r="Y334" i="6"/>
  <c r="Z206" i="6"/>
  <c r="AL7" i="17" l="1"/>
  <c r="AL5" i="17" s="1"/>
  <c r="AK7" i="17"/>
  <c r="AK5" i="17" s="1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Q260" i="6"/>
  <c r="Z264" i="6"/>
  <c r="Q264" i="6"/>
  <c r="AH115" i="14"/>
  <c r="AI115" i="14"/>
  <c r="AJ115" i="14"/>
  <c r="AK115" i="14"/>
  <c r="AH184" i="14"/>
  <c r="AH116" i="14" s="1"/>
  <c r="AI184" i="14"/>
  <c r="AI116" i="14" s="1"/>
  <c r="AJ184" i="14"/>
  <c r="AJ116" i="14" s="1"/>
  <c r="AJ114" i="14" s="1"/>
  <c r="AK184" i="14"/>
  <c r="AK116" i="14" s="1"/>
  <c r="AH197" i="14"/>
  <c r="AI197" i="14"/>
  <c r="AJ197" i="14"/>
  <c r="AK197" i="14"/>
  <c r="AH54" i="14"/>
  <c r="AI54" i="14"/>
  <c r="AK54" i="14"/>
  <c r="AJ60" i="14"/>
  <c r="AJ54" i="14" s="1"/>
  <c r="AE28" i="6"/>
  <c r="AI294" i="6"/>
  <c r="AH114" i="14" l="1"/>
  <c r="AI114" i="14"/>
  <c r="AE294" i="6"/>
  <c r="J311" i="15"/>
  <c r="R310" i="15"/>
  <c r="Q310" i="15"/>
  <c r="AO309" i="15"/>
  <c r="AN309" i="15"/>
  <c r="AM309" i="15"/>
  <c r="AL309" i="15"/>
  <c r="AK309" i="15"/>
  <c r="AJ309" i="15"/>
  <c r="AI309" i="15"/>
  <c r="AH309" i="15"/>
  <c r="AG309" i="15"/>
  <c r="AF309" i="15"/>
  <c r="AE309" i="15"/>
  <c r="AD309" i="15"/>
  <c r="AC309" i="15"/>
  <c r="AB309" i="15"/>
  <c r="AA309" i="15"/>
  <c r="Y309" i="15"/>
  <c r="X309" i="15"/>
  <c r="W309" i="15"/>
  <c r="V309" i="15"/>
  <c r="U309" i="15"/>
  <c r="T309" i="15"/>
  <c r="S309" i="15"/>
  <c r="R309" i="15"/>
  <c r="Q309" i="15"/>
  <c r="O309" i="15"/>
  <c r="N309" i="15"/>
  <c r="M309" i="15"/>
  <c r="L309" i="15"/>
  <c r="J309" i="15" s="1"/>
  <c r="J308" i="15"/>
  <c r="R307" i="15"/>
  <c r="Q307" i="15"/>
  <c r="AO306" i="15"/>
  <c r="AN306" i="15"/>
  <c r="AM306" i="15"/>
  <c r="AL306" i="15"/>
  <c r="AK306" i="15"/>
  <c r="AJ306" i="15"/>
  <c r="AI306" i="15"/>
  <c r="AH306" i="15"/>
  <c r="AG306" i="15"/>
  <c r="AF306" i="15"/>
  <c r="AE306" i="15"/>
  <c r="AD306" i="15"/>
  <c r="AC306" i="15"/>
  <c r="AB306" i="15"/>
  <c r="AA306" i="15"/>
  <c r="Y306" i="15"/>
  <c r="X306" i="15"/>
  <c r="W306" i="15"/>
  <c r="V306" i="15"/>
  <c r="U306" i="15"/>
  <c r="T306" i="15"/>
  <c r="S306" i="15"/>
  <c r="R306" i="15"/>
  <c r="Q306" i="15"/>
  <c r="O306" i="15"/>
  <c r="N306" i="15"/>
  <c r="M306" i="15"/>
  <c r="L306" i="15"/>
  <c r="J306" i="15" s="1"/>
  <c r="J298" i="15"/>
  <c r="R297" i="15"/>
  <c r="Q297" i="15"/>
  <c r="AO296" i="15"/>
  <c r="AN296" i="15"/>
  <c r="AM296" i="15"/>
  <c r="AL296" i="15"/>
  <c r="AK296" i="15"/>
  <c r="AJ296" i="15"/>
  <c r="AI296" i="15"/>
  <c r="AH296" i="15"/>
  <c r="AG296" i="15"/>
  <c r="AF296" i="15"/>
  <c r="AE296" i="15"/>
  <c r="AD296" i="15"/>
  <c r="AC296" i="15"/>
  <c r="AB296" i="15"/>
  <c r="AA296" i="15"/>
  <c r="Y296" i="15"/>
  <c r="X296" i="15"/>
  <c r="W296" i="15"/>
  <c r="V296" i="15"/>
  <c r="U296" i="15"/>
  <c r="T296" i="15"/>
  <c r="S296" i="15"/>
  <c r="R296" i="15"/>
  <c r="Q296" i="15"/>
  <c r="O296" i="15"/>
  <c r="N296" i="15"/>
  <c r="M296" i="15"/>
  <c r="L296" i="15"/>
  <c r="J296" i="15" s="1"/>
  <c r="AA261" i="15"/>
  <c r="AA260" i="15"/>
  <c r="P240" i="15"/>
  <c r="Z240" i="15"/>
  <c r="AA240" i="15"/>
  <c r="Q240" i="15"/>
  <c r="AO241" i="15"/>
  <c r="AN241" i="15"/>
  <c r="AM241" i="15"/>
  <c r="AL241" i="15"/>
  <c r="AK241" i="15"/>
  <c r="AG241" i="15"/>
  <c r="AF241" i="15"/>
  <c r="AE241" i="15"/>
  <c r="AD241" i="15"/>
  <c r="AC241" i="15"/>
  <c r="AB241" i="15"/>
  <c r="Y241" i="15"/>
  <c r="Y240" i="15" s="1"/>
  <c r="X241" i="15"/>
  <c r="X240" i="15" s="1"/>
  <c r="W241" i="15"/>
  <c r="W240" i="15" s="1"/>
  <c r="V241" i="15"/>
  <c r="V240" i="15" s="1"/>
  <c r="U241" i="15"/>
  <c r="U240" i="15" s="1"/>
  <c r="T241" i="15"/>
  <c r="T240" i="15" s="1"/>
  <c r="S241" i="15"/>
  <c r="S240" i="15" s="1"/>
  <c r="R241" i="15"/>
  <c r="R240" i="15" s="1"/>
  <c r="O241" i="15"/>
  <c r="L241" i="15" s="1"/>
  <c r="AO240" i="15"/>
  <c r="AN240" i="15"/>
  <c r="AJ240" i="15"/>
  <c r="AI240" i="15"/>
  <c r="AH240" i="15"/>
  <c r="AG240" i="15"/>
  <c r="AF240" i="15"/>
  <c r="AE240" i="15"/>
  <c r="AD240" i="15"/>
  <c r="AC240" i="15"/>
  <c r="AB240" i="15"/>
  <c r="O240" i="15"/>
  <c r="N240" i="15"/>
  <c r="M240" i="15"/>
  <c r="L243" i="15"/>
  <c r="AO233" i="15"/>
  <c r="AN233" i="15"/>
  <c r="AM233" i="15"/>
  <c r="AL233" i="15"/>
  <c r="AK233" i="15"/>
  <c r="AJ233" i="15"/>
  <c r="AI233" i="15"/>
  <c r="AH233" i="15"/>
  <c r="AG233" i="15"/>
  <c r="AF233" i="15"/>
  <c r="AE233" i="15"/>
  <c r="AD233" i="15"/>
  <c r="AC233" i="15"/>
  <c r="AB233" i="15"/>
  <c r="AA233" i="15"/>
  <c r="Y233" i="15"/>
  <c r="X233" i="15"/>
  <c r="W233" i="15"/>
  <c r="V233" i="15"/>
  <c r="U233" i="15"/>
  <c r="T233" i="15"/>
  <c r="S233" i="15"/>
  <c r="R233" i="15"/>
  <c r="Q233" i="15"/>
  <c r="P233" i="15"/>
  <c r="O233" i="15"/>
  <c r="N233" i="15"/>
  <c r="M233" i="15"/>
  <c r="L233" i="15"/>
  <c r="AO227" i="15"/>
  <c r="AN227" i="15"/>
  <c r="AM227" i="15"/>
  <c r="AL227" i="15"/>
  <c r="AK227" i="15"/>
  <c r="AJ227" i="15"/>
  <c r="AI227" i="15"/>
  <c r="AH227" i="15"/>
  <c r="AG227" i="15"/>
  <c r="AF227" i="15"/>
  <c r="AE227" i="15"/>
  <c r="AD227" i="15"/>
  <c r="AC227" i="15"/>
  <c r="AB227" i="15"/>
  <c r="AA227" i="15"/>
  <c r="Y227" i="15"/>
  <c r="X227" i="15"/>
  <c r="W227" i="15"/>
  <c r="V227" i="15"/>
  <c r="U227" i="15"/>
  <c r="T227" i="15"/>
  <c r="S227" i="15"/>
  <c r="R227" i="15"/>
  <c r="Q227" i="15"/>
  <c r="P227" i="15"/>
  <c r="O227" i="15"/>
  <c r="N227" i="15"/>
  <c r="M227" i="15"/>
  <c r="L227" i="15"/>
  <c r="R178" i="15"/>
  <c r="S178" i="15"/>
  <c r="Z178" i="15"/>
  <c r="P178" i="15"/>
  <c r="AA149" i="15"/>
  <c r="R149" i="15"/>
  <c r="R147" i="15" s="1"/>
  <c r="R146" i="15" s="1"/>
  <c r="Q149" i="15"/>
  <c r="AA148" i="15"/>
  <c r="AA147" i="15" s="1"/>
  <c r="AA146" i="15" s="1"/>
  <c r="T148" i="15"/>
  <c r="Q148" i="15"/>
  <c r="AE147" i="15"/>
  <c r="AE146" i="15" s="1"/>
  <c r="AD147" i="15"/>
  <c r="AD146" i="15" s="1"/>
  <c r="AC147" i="15"/>
  <c r="AB147" i="15"/>
  <c r="Y147" i="15"/>
  <c r="Y146" i="15" s="1"/>
  <c r="X147" i="15"/>
  <c r="W147" i="15"/>
  <c r="V147" i="15"/>
  <c r="U147" i="15"/>
  <c r="U146" i="15" s="1"/>
  <c r="T147" i="15"/>
  <c r="T146" i="15" s="1"/>
  <c r="S147" i="15"/>
  <c r="AO146" i="15"/>
  <c r="AN146" i="15"/>
  <c r="AJ146" i="15"/>
  <c r="AI146" i="15"/>
  <c r="AH146" i="15"/>
  <c r="AG146" i="15"/>
  <c r="AF146" i="15"/>
  <c r="AC146" i="15"/>
  <c r="AB146" i="15"/>
  <c r="X146" i="15"/>
  <c r="W146" i="15"/>
  <c r="V146" i="15"/>
  <c r="S146" i="15"/>
  <c r="Q146" i="15"/>
  <c r="P146" i="15"/>
  <c r="O146" i="15"/>
  <c r="N146" i="15"/>
  <c r="M146" i="15"/>
  <c r="L146" i="15"/>
  <c r="AA144" i="15"/>
  <c r="R144" i="15"/>
  <c r="R142" i="15" s="1"/>
  <c r="R141" i="15" s="1"/>
  <c r="Q144" i="15"/>
  <c r="AA143" i="15"/>
  <c r="T143" i="15"/>
  <c r="Q143" i="15"/>
  <c r="AE142" i="15"/>
  <c r="AD142" i="15"/>
  <c r="AC142" i="15"/>
  <c r="AB142" i="15"/>
  <c r="Y142" i="15"/>
  <c r="X142" i="15"/>
  <c r="W142" i="15"/>
  <c r="V142" i="15"/>
  <c r="U142" i="15"/>
  <c r="T142" i="15"/>
  <c r="S142" i="15"/>
  <c r="AO141" i="15"/>
  <c r="AN141" i="15"/>
  <c r="AJ141" i="15"/>
  <c r="AI141" i="15"/>
  <c r="AH141" i="15"/>
  <c r="AG141" i="15"/>
  <c r="AF141" i="15"/>
  <c r="AE141" i="15"/>
  <c r="AD141" i="15"/>
  <c r="AC141" i="15"/>
  <c r="AB141" i="15"/>
  <c r="Y141" i="15"/>
  <c r="X141" i="15"/>
  <c r="W141" i="15"/>
  <c r="V141" i="15"/>
  <c r="U141" i="15"/>
  <c r="T141" i="15"/>
  <c r="S141" i="15"/>
  <c r="Q141" i="15"/>
  <c r="P141" i="15"/>
  <c r="O141" i="15"/>
  <c r="N141" i="15"/>
  <c r="M141" i="15"/>
  <c r="L141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Q130" i="15"/>
  <c r="R130" i="15"/>
  <c r="S130" i="15"/>
  <c r="T130" i="15"/>
  <c r="U130" i="15"/>
  <c r="V130" i="15"/>
  <c r="W130" i="15"/>
  <c r="X130" i="15"/>
  <c r="Y130" i="15"/>
  <c r="Z130" i="15"/>
  <c r="AA130" i="15"/>
  <c r="P130" i="15"/>
  <c r="R72" i="15"/>
  <c r="S72" i="15"/>
  <c r="T72" i="15"/>
  <c r="U72" i="15"/>
  <c r="V72" i="15"/>
  <c r="W72" i="15"/>
  <c r="X72" i="15"/>
  <c r="Y72" i="15"/>
  <c r="Z72" i="15"/>
  <c r="AA72" i="15"/>
  <c r="Q72" i="15"/>
  <c r="R74" i="15"/>
  <c r="S74" i="15"/>
  <c r="T74" i="15"/>
  <c r="U74" i="15"/>
  <c r="V74" i="15"/>
  <c r="W74" i="15"/>
  <c r="X74" i="15"/>
  <c r="Y74" i="15"/>
  <c r="Z74" i="15"/>
  <c r="AA74" i="15"/>
  <c r="Q74" i="15"/>
  <c r="AO74" i="15"/>
  <c r="AN74" i="15"/>
  <c r="AJ74" i="15"/>
  <c r="AI74" i="15"/>
  <c r="AH74" i="15"/>
  <c r="AG74" i="15"/>
  <c r="AF74" i="15"/>
  <c r="AE74" i="15"/>
  <c r="AD74" i="15"/>
  <c r="AC74" i="15"/>
  <c r="AB74" i="15"/>
  <c r="P74" i="15"/>
  <c r="AK74" i="15" s="1"/>
  <c r="AL74" i="15" s="1"/>
  <c r="O74" i="15"/>
  <c r="N74" i="15"/>
  <c r="M74" i="15"/>
  <c r="AO72" i="15"/>
  <c r="AN72" i="15"/>
  <c r="AJ72" i="15"/>
  <c r="AI72" i="15"/>
  <c r="AH72" i="15"/>
  <c r="AG72" i="15"/>
  <c r="AF72" i="15"/>
  <c r="AE72" i="15"/>
  <c r="AD72" i="15"/>
  <c r="AC72" i="15"/>
  <c r="AB72" i="15"/>
  <c r="P72" i="15"/>
  <c r="O72" i="15"/>
  <c r="N72" i="15"/>
  <c r="M72" i="15"/>
  <c r="X68" i="15"/>
  <c r="Z68" i="15"/>
  <c r="R62" i="15"/>
  <c r="S62" i="15"/>
  <c r="T62" i="15"/>
  <c r="U62" i="15"/>
  <c r="V62" i="15"/>
  <c r="W62" i="15"/>
  <c r="X62" i="15"/>
  <c r="Y62" i="15"/>
  <c r="Z62" i="15"/>
  <c r="AA62" i="15"/>
  <c r="Q62" i="15"/>
  <c r="AA142" i="15" l="1"/>
  <c r="AA141" i="15" s="1"/>
  <c r="L240" i="15"/>
  <c r="AK240" i="15"/>
  <c r="AL240" i="15" s="1"/>
  <c r="AM146" i="15"/>
  <c r="AM240" i="15"/>
  <c r="AK146" i="15"/>
  <c r="AL146" i="15" s="1"/>
  <c r="AK141" i="15"/>
  <c r="AL141" i="15" s="1"/>
  <c r="AM141" i="15"/>
  <c r="AM74" i="15"/>
  <c r="AM72" i="15"/>
  <c r="AK72" i="15"/>
  <c r="AL72" i="15" s="1"/>
  <c r="R40" i="15"/>
  <c r="S40" i="15"/>
  <c r="T40" i="15"/>
  <c r="U40" i="15"/>
  <c r="V40" i="15"/>
  <c r="W40" i="15"/>
  <c r="X40" i="15"/>
  <c r="Y40" i="15"/>
  <c r="Z40" i="15"/>
  <c r="Z10" i="15" s="1"/>
  <c r="AA40" i="15"/>
  <c r="Q40" i="15"/>
  <c r="R63" i="6" l="1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Q63" i="6"/>
  <c r="D31" i="8"/>
  <c r="Q277" i="6"/>
  <c r="Q276" i="6" s="1"/>
  <c r="Q275" i="6" s="1"/>
  <c r="Y276" i="6"/>
  <c r="AD276" i="6"/>
  <c r="Z277" i="6"/>
  <c r="Z276" i="6" s="1"/>
  <c r="Z153" i="6"/>
  <c r="Q153" i="6"/>
  <c r="Q151" i="6" s="1"/>
  <c r="Z152" i="6"/>
  <c r="Q152" i="6"/>
  <c r="AN151" i="6"/>
  <c r="AM151" i="6"/>
  <c r="AL151" i="6"/>
  <c r="AK151" i="6"/>
  <c r="AJ151" i="6"/>
  <c r="AI151" i="6"/>
  <c r="AH151" i="6"/>
  <c r="AG151" i="6"/>
  <c r="AF151" i="6"/>
  <c r="AE151" i="6"/>
  <c r="AD151" i="6"/>
  <c r="AD150" i="6" s="1"/>
  <c r="AC151" i="6"/>
  <c r="AC150" i="6" s="1"/>
  <c r="AB151" i="6"/>
  <c r="AB150" i="6" s="1"/>
  <c r="AA151" i="6"/>
  <c r="AA150" i="6" s="1"/>
  <c r="Z151" i="6"/>
  <c r="Z150" i="6" s="1"/>
  <c r="Y151" i="6"/>
  <c r="X151" i="6"/>
  <c r="W151" i="6"/>
  <c r="U151" i="6"/>
  <c r="T151" i="6"/>
  <c r="S151" i="6"/>
  <c r="R151" i="6"/>
  <c r="Z146" i="6"/>
  <c r="Q146" i="6"/>
  <c r="Z145" i="6"/>
  <c r="AA144" i="6"/>
  <c r="AA143" i="6" s="1"/>
  <c r="AB144" i="6"/>
  <c r="AB143" i="6" s="1"/>
  <c r="AC144" i="6"/>
  <c r="AC143" i="6" s="1"/>
  <c r="AD144" i="6"/>
  <c r="AD143" i="6" s="1"/>
  <c r="AE144" i="6"/>
  <c r="AE143" i="6" s="1"/>
  <c r="AF144" i="6"/>
  <c r="AF143" i="6" s="1"/>
  <c r="AG144" i="6"/>
  <c r="AG143" i="6" s="1"/>
  <c r="AH144" i="6"/>
  <c r="AH143" i="6" s="1"/>
  <c r="AI144" i="6"/>
  <c r="AJ144" i="6"/>
  <c r="AK144" i="6"/>
  <c r="AL144" i="6"/>
  <c r="AM144" i="6"/>
  <c r="AN144" i="6"/>
  <c r="Y144" i="6"/>
  <c r="Y143" i="6" s="1"/>
  <c r="Q145" i="6"/>
  <c r="Q144" i="6" s="1"/>
  <c r="Q143" i="6" s="1"/>
  <c r="R263" i="6"/>
  <c r="S263" i="6"/>
  <c r="T263" i="6"/>
  <c r="U263" i="6"/>
  <c r="V263" i="6"/>
  <c r="W263" i="6"/>
  <c r="X263" i="6"/>
  <c r="Y263" i="6"/>
  <c r="Y259" i="6" s="1"/>
  <c r="AA263" i="6"/>
  <c r="AA259" i="6" s="1"/>
  <c r="AB263" i="6"/>
  <c r="AB259" i="6" s="1"/>
  <c r="AC263" i="6"/>
  <c r="AC259" i="6" s="1"/>
  <c r="AD263" i="6"/>
  <c r="AD259" i="6" s="1"/>
  <c r="AE263" i="6"/>
  <c r="AE259" i="6" s="1"/>
  <c r="AF263" i="6"/>
  <c r="AF259" i="6" s="1"/>
  <c r="AG263" i="6"/>
  <c r="AG259" i="6" s="1"/>
  <c r="AH263" i="6"/>
  <c r="AH259" i="6" s="1"/>
  <c r="AI263" i="6"/>
  <c r="AI259" i="6" s="1"/>
  <c r="AJ263" i="6"/>
  <c r="AJ259" i="6" s="1"/>
  <c r="AK263" i="6"/>
  <c r="AK259" i="6" s="1"/>
  <c r="AL263" i="6"/>
  <c r="AL259" i="6" s="1"/>
  <c r="AM263" i="6"/>
  <c r="AM259" i="6" s="1"/>
  <c r="AN263" i="6"/>
  <c r="AN259" i="6" s="1"/>
  <c r="Z263" i="6"/>
  <c r="Z259" i="6" s="1"/>
  <c r="Q263" i="6"/>
  <c r="Z75" i="6"/>
  <c r="Z74" i="6" s="1"/>
  <c r="AA74" i="6"/>
  <c r="AB74" i="6"/>
  <c r="AC74" i="6"/>
  <c r="AD74" i="6"/>
  <c r="AE74" i="6"/>
  <c r="AF74" i="6"/>
  <c r="AG74" i="6"/>
  <c r="AH74" i="6"/>
  <c r="AI74" i="6"/>
  <c r="AJ74" i="6"/>
  <c r="AK74" i="6"/>
  <c r="AL74" i="6"/>
  <c r="AL62" i="6" s="1"/>
  <c r="AM74" i="6"/>
  <c r="AN74" i="6"/>
  <c r="Q75" i="6"/>
  <c r="Q74" i="6" s="1"/>
  <c r="X74" i="6"/>
  <c r="Y74" i="6"/>
  <c r="AD71" i="6"/>
  <c r="Z72" i="6"/>
  <c r="Z71" i="6" s="1"/>
  <c r="X72" i="6"/>
  <c r="X71" i="6" s="1"/>
  <c r="Q72" i="6"/>
  <c r="Q71" i="6" s="1"/>
  <c r="Y71" i="6"/>
  <c r="Z50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R49" i="6"/>
  <c r="S49" i="6"/>
  <c r="T49" i="6"/>
  <c r="U49" i="6"/>
  <c r="V49" i="6"/>
  <c r="W49" i="6"/>
  <c r="X49" i="6"/>
  <c r="Q50" i="6"/>
  <c r="Q49" i="6" s="1"/>
  <c r="Y49" i="6"/>
  <c r="Q52" i="6"/>
  <c r="Q51" i="6" s="1"/>
  <c r="Y51" i="6"/>
  <c r="Z144" i="6" l="1"/>
  <c r="Z143" i="6" s="1"/>
  <c r="Q73" i="6"/>
  <c r="Y48" i="6"/>
  <c r="L281" i="6"/>
  <c r="Z356" i="6"/>
  <c r="X356" i="6"/>
  <c r="R356" i="6"/>
  <c r="P356" i="6" s="1"/>
  <c r="P354" i="6" s="1"/>
  <c r="P351" i="6" s="1"/>
  <c r="Q356" i="6"/>
  <c r="L356" i="6"/>
  <c r="AN355" i="6"/>
  <c r="AM355" i="6"/>
  <c r="AL355" i="6"/>
  <c r="AK355" i="6"/>
  <c r="W355" i="6"/>
  <c r="W354" i="6" s="1"/>
  <c r="W351" i="6" s="1"/>
  <c r="V355" i="6"/>
  <c r="V354" i="6" s="1"/>
  <c r="V351" i="6" s="1"/>
  <c r="U355" i="6"/>
  <c r="U354" i="6" s="1"/>
  <c r="U351" i="6" s="1"/>
  <c r="T355" i="6"/>
  <c r="S355" i="6"/>
  <c r="R355" i="6"/>
  <c r="R354" i="6" s="1"/>
  <c r="R351" i="6" s="1"/>
  <c r="Q355" i="6"/>
  <c r="Q354" i="6" s="1"/>
  <c r="Q351" i="6" s="1"/>
  <c r="O355" i="6"/>
  <c r="AN354" i="6"/>
  <c r="AM354" i="6"/>
  <c r="AM351" i="6" s="1"/>
  <c r="AI354" i="6"/>
  <c r="AI351" i="6" s="1"/>
  <c r="AH354" i="6"/>
  <c r="AG354" i="6"/>
  <c r="AF354" i="6"/>
  <c r="AF351" i="6" s="1"/>
  <c r="AE354" i="6"/>
  <c r="AD354" i="6"/>
  <c r="AC354" i="6"/>
  <c r="AC351" i="6" s="1"/>
  <c r="AB354" i="6"/>
  <c r="AB351" i="6" s="1"/>
  <c r="AA354" i="6"/>
  <c r="AA351" i="6" s="1"/>
  <c r="Z354" i="6"/>
  <c r="Y354" i="6"/>
  <c r="Y351" i="6" s="1"/>
  <c r="X354" i="6"/>
  <c r="X351" i="6" s="1"/>
  <c r="T354" i="6"/>
  <c r="T351" i="6" s="1"/>
  <c r="S354" i="6"/>
  <c r="O354" i="6"/>
  <c r="O351" i="6" s="1"/>
  <c r="N354" i="6"/>
  <c r="N351" i="6" s="1"/>
  <c r="M354" i="6"/>
  <c r="M351" i="6" s="1"/>
  <c r="L354" i="6"/>
  <c r="L353" i="6"/>
  <c r="L352" i="6"/>
  <c r="AN351" i="6"/>
  <c r="AH351" i="6"/>
  <c r="AG351" i="6"/>
  <c r="AE351" i="6"/>
  <c r="AD351" i="6"/>
  <c r="Z351" i="6"/>
  <c r="S351" i="6"/>
  <c r="L351" i="6"/>
  <c r="K351" i="6"/>
  <c r="L350" i="6"/>
  <c r="Z348" i="6"/>
  <c r="X348" i="6"/>
  <c r="R348" i="6"/>
  <c r="P348" i="6" s="1"/>
  <c r="P346" i="6" s="1"/>
  <c r="Q348" i="6"/>
  <c r="Q347" i="6" s="1"/>
  <c r="Q346" i="6" s="1"/>
  <c r="L348" i="6"/>
  <c r="AN347" i="6"/>
  <c r="AM347" i="6"/>
  <c r="AL347" i="6"/>
  <c r="AK347" i="6"/>
  <c r="W347" i="6"/>
  <c r="V347" i="6"/>
  <c r="U347" i="6"/>
  <c r="T347" i="6"/>
  <c r="S347" i="6"/>
  <c r="O347" i="6"/>
  <c r="AN346" i="6"/>
  <c r="AM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O346" i="6"/>
  <c r="N346" i="6"/>
  <c r="M346" i="6"/>
  <c r="L346" i="6"/>
  <c r="Q344" i="6"/>
  <c r="Z344" i="6"/>
  <c r="X344" i="6"/>
  <c r="R344" i="6"/>
  <c r="P344" i="6" s="1"/>
  <c r="P342" i="6" s="1"/>
  <c r="P339" i="6" s="1"/>
  <c r="L344" i="6"/>
  <c r="AN343" i="6"/>
  <c r="AM343" i="6"/>
  <c r="AL343" i="6"/>
  <c r="AK343" i="6"/>
  <c r="W343" i="6"/>
  <c r="W342" i="6" s="1"/>
  <c r="W339" i="6" s="1"/>
  <c r="V343" i="6"/>
  <c r="U343" i="6"/>
  <c r="U342" i="6" s="1"/>
  <c r="U339" i="6" s="1"/>
  <c r="T343" i="6"/>
  <c r="S343" i="6"/>
  <c r="S342" i="6" s="1"/>
  <c r="S339" i="6" s="1"/>
  <c r="Q343" i="6"/>
  <c r="Q342" i="6" s="1"/>
  <c r="Q339" i="6" s="1"/>
  <c r="O343" i="6"/>
  <c r="O342" i="6" s="1"/>
  <c r="O339" i="6" s="1"/>
  <c r="AN342" i="6"/>
  <c r="AM342" i="6"/>
  <c r="AM339" i="6" s="1"/>
  <c r="AI342" i="6"/>
  <c r="AI339" i="6" s="1"/>
  <c r="AH342" i="6"/>
  <c r="AG342" i="6"/>
  <c r="AF342" i="6"/>
  <c r="AE342" i="6"/>
  <c r="AE339" i="6" s="1"/>
  <c r="AD342" i="6"/>
  <c r="AC342" i="6"/>
  <c r="AB342" i="6"/>
  <c r="AA342" i="6"/>
  <c r="AA339" i="6" s="1"/>
  <c r="Z342" i="6"/>
  <c r="Y342" i="6"/>
  <c r="X342" i="6"/>
  <c r="V342" i="6"/>
  <c r="V339" i="6" s="1"/>
  <c r="T342" i="6"/>
  <c r="N342" i="6"/>
  <c r="M342" i="6"/>
  <c r="M339" i="6" s="1"/>
  <c r="L342" i="6"/>
  <c r="L341" i="6"/>
  <c r="L340" i="6"/>
  <c r="AN339" i="6"/>
  <c r="AH339" i="6"/>
  <c r="AG339" i="6"/>
  <c r="AF339" i="6"/>
  <c r="AD339" i="6"/>
  <c r="AC339" i="6"/>
  <c r="AB339" i="6"/>
  <c r="Z339" i="6"/>
  <c r="Y339" i="6"/>
  <c r="X339" i="6"/>
  <c r="T339" i="6"/>
  <c r="N339" i="6"/>
  <c r="K339" i="6"/>
  <c r="L338" i="6"/>
  <c r="M321" i="6"/>
  <c r="N321" i="6"/>
  <c r="O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K321" i="6"/>
  <c r="AL321" i="6"/>
  <c r="AM321" i="6"/>
  <c r="AN321" i="6"/>
  <c r="L321" i="6"/>
  <c r="R343" i="6" l="1"/>
  <c r="R342" i="6" s="1"/>
  <c r="R339" i="6" s="1"/>
  <c r="L339" i="6"/>
  <c r="J351" i="6"/>
  <c r="R347" i="6"/>
  <c r="R346" i="6" s="1"/>
  <c r="AJ346" i="6"/>
  <c r="AK346" i="6" s="1"/>
  <c r="AJ354" i="6"/>
  <c r="AK354" i="6" s="1"/>
  <c r="AK351" i="6" s="1"/>
  <c r="AL354" i="6"/>
  <c r="AL351" i="6" s="1"/>
  <c r="AL346" i="6"/>
  <c r="AJ342" i="6"/>
  <c r="AK342" i="6" s="1"/>
  <c r="AK339" i="6" s="1"/>
  <c r="AL342" i="6"/>
  <c r="AL339" i="6" s="1"/>
  <c r="J339" i="6"/>
  <c r="AJ339" i="6" l="1"/>
  <c r="AJ351" i="6"/>
  <c r="AE275" i="6"/>
  <c r="AC275" i="6"/>
  <c r="AA275" i="6"/>
  <c r="Y275" i="6"/>
  <c r="P275" i="6"/>
  <c r="O276" i="6"/>
  <c r="L275" i="6" s="1"/>
  <c r="AN275" i="6"/>
  <c r="AM275" i="6"/>
  <c r="AI275" i="6"/>
  <c r="AH275" i="6"/>
  <c r="AG275" i="6"/>
  <c r="AF275" i="6"/>
  <c r="AD275" i="6"/>
  <c r="AB275" i="6"/>
  <c r="Z275" i="6"/>
  <c r="X275" i="6"/>
  <c r="N275" i="6"/>
  <c r="M275" i="6"/>
  <c r="L258" i="6"/>
  <c r="Q262" i="6"/>
  <c r="AF262" i="6"/>
  <c r="AD262" i="6"/>
  <c r="AB262" i="6"/>
  <c r="Z262" i="6"/>
  <c r="X262" i="6"/>
  <c r="X259" i="6" s="1"/>
  <c r="V262" i="6"/>
  <c r="V259" i="6" s="1"/>
  <c r="T262" i="6"/>
  <c r="T259" i="6" s="1"/>
  <c r="R262" i="6"/>
  <c r="R259" i="6" s="1"/>
  <c r="O263" i="6"/>
  <c r="O262" i="6" s="1"/>
  <c r="O259" i="6" s="1"/>
  <c r="AN262" i="6"/>
  <c r="AM262" i="6"/>
  <c r="AI262" i="6"/>
  <c r="AH262" i="6"/>
  <c r="AG262" i="6"/>
  <c r="AE262" i="6"/>
  <c r="AC262" i="6"/>
  <c r="AA262" i="6"/>
  <c r="Y262" i="6"/>
  <c r="W262" i="6"/>
  <c r="U262" i="6"/>
  <c r="S262" i="6"/>
  <c r="N262" i="6"/>
  <c r="N260" i="6" s="1"/>
  <c r="M262" i="6"/>
  <c r="M260" i="6" s="1"/>
  <c r="L262" i="6"/>
  <c r="L260" i="6" s="1"/>
  <c r="L261" i="6"/>
  <c r="N259" i="6"/>
  <c r="K259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U259" i="6" l="1"/>
  <c r="M259" i="6"/>
  <c r="W259" i="6"/>
  <c r="S259" i="6"/>
  <c r="AJ275" i="6"/>
  <c r="AK275" i="6" s="1"/>
  <c r="AL275" i="6"/>
  <c r="O275" i="6"/>
  <c r="O260" i="6"/>
  <c r="AL262" i="6"/>
  <c r="Q259" i="6"/>
  <c r="AJ262" i="6"/>
  <c r="J259" i="6"/>
  <c r="AK262" i="6" l="1"/>
  <c r="R219" i="6"/>
  <c r="AN219" i="6"/>
  <c r="AM219" i="6"/>
  <c r="AL219" i="6"/>
  <c r="AK219" i="6"/>
  <c r="AJ219" i="6"/>
  <c r="Z219" i="6"/>
  <c r="Y219" i="6"/>
  <c r="X219" i="6"/>
  <c r="W219" i="6"/>
  <c r="V219" i="6"/>
  <c r="U219" i="6"/>
  <c r="T219" i="6"/>
  <c r="Q219" i="6"/>
  <c r="P219" i="6"/>
  <c r="O219" i="6"/>
  <c r="N219" i="6"/>
  <c r="M219" i="6"/>
  <c r="L219" i="6"/>
  <c r="R225" i="6"/>
  <c r="AN225" i="6"/>
  <c r="AM225" i="6"/>
  <c r="AL225" i="6"/>
  <c r="AK225" i="6"/>
  <c r="AJ225" i="6"/>
  <c r="Z225" i="6"/>
  <c r="Y225" i="6"/>
  <c r="X225" i="6"/>
  <c r="W225" i="6"/>
  <c r="V225" i="6"/>
  <c r="U225" i="6"/>
  <c r="T225" i="6"/>
  <c r="Q225" i="6"/>
  <c r="P225" i="6"/>
  <c r="O225" i="6"/>
  <c r="N225" i="6"/>
  <c r="M225" i="6"/>
  <c r="L225" i="6"/>
  <c r="R222" i="6"/>
  <c r="AN222" i="6"/>
  <c r="AM222" i="6"/>
  <c r="AL222" i="6"/>
  <c r="AK222" i="6"/>
  <c r="AJ222" i="6"/>
  <c r="Z222" i="6"/>
  <c r="Y222" i="6"/>
  <c r="X222" i="6"/>
  <c r="W222" i="6"/>
  <c r="V222" i="6"/>
  <c r="U222" i="6"/>
  <c r="T222" i="6"/>
  <c r="Q222" i="6"/>
  <c r="P222" i="6"/>
  <c r="O222" i="6"/>
  <c r="N222" i="6"/>
  <c r="M222" i="6"/>
  <c r="L222" i="6"/>
  <c r="L211" i="6"/>
  <c r="M203" i="6"/>
  <c r="N203" i="6"/>
  <c r="O203" i="6"/>
  <c r="P203" i="6"/>
  <c r="R203" i="6"/>
  <c r="S203" i="6"/>
  <c r="AE203" i="6"/>
  <c r="AF203" i="6"/>
  <c r="AG203" i="6"/>
  <c r="AH203" i="6"/>
  <c r="AI203" i="6"/>
  <c r="AL203" i="6"/>
  <c r="AM203" i="6"/>
  <c r="L203" i="6"/>
  <c r="L171" i="6"/>
  <c r="L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AJ171" i="6"/>
  <c r="AJ168" i="6" s="1"/>
  <c r="AK171" i="6"/>
  <c r="AL171" i="6"/>
  <c r="AL168" i="6" s="1"/>
  <c r="AM171" i="6"/>
  <c r="AN171" i="6"/>
  <c r="AN168" i="6" s="1"/>
  <c r="Q171" i="6"/>
  <c r="R171" i="6"/>
  <c r="R168" i="6" s="1"/>
  <c r="S171" i="6"/>
  <c r="T171" i="6"/>
  <c r="T168" i="6" s="1"/>
  <c r="U171" i="6"/>
  <c r="V171" i="6"/>
  <c r="V168" i="6" s="1"/>
  <c r="W171" i="6"/>
  <c r="X171" i="6"/>
  <c r="X168" i="6" s="1"/>
  <c r="Y171" i="6"/>
  <c r="Z171" i="6"/>
  <c r="Z168" i="6" s="1"/>
  <c r="AA171" i="6"/>
  <c r="AB171" i="6"/>
  <c r="AB168" i="6" s="1"/>
  <c r="AC171" i="6"/>
  <c r="AD171" i="6"/>
  <c r="AD168" i="6" s="1"/>
  <c r="AE171" i="6"/>
  <c r="AF171" i="6"/>
  <c r="AF168" i="6" s="1"/>
  <c r="AG171" i="6"/>
  <c r="AH171" i="6"/>
  <c r="AH168" i="6" s="1"/>
  <c r="AI171" i="6"/>
  <c r="P171" i="6"/>
  <c r="P168" i="6" s="1"/>
  <c r="O171" i="6"/>
  <c r="O168" i="6" s="1"/>
  <c r="N171" i="6"/>
  <c r="N168" i="6" s="1"/>
  <c r="M171" i="6"/>
  <c r="M168" i="6" s="1"/>
  <c r="L170" i="6"/>
  <c r="L169" i="6"/>
  <c r="J168" i="6"/>
  <c r="L167" i="6"/>
  <c r="K167" i="6"/>
  <c r="AN150" i="6"/>
  <c r="AM150" i="6"/>
  <c r="AL150" i="6"/>
  <c r="AL143" i="6"/>
  <c r="AM143" i="6"/>
  <c r="AN143" i="6"/>
  <c r="AI150" i="6"/>
  <c r="Y150" i="6"/>
  <c r="P150" i="6"/>
  <c r="O150" i="6"/>
  <c r="N150" i="6"/>
  <c r="M150" i="6"/>
  <c r="L150" i="6"/>
  <c r="M143" i="6"/>
  <c r="N143" i="6"/>
  <c r="O143" i="6"/>
  <c r="AI143" i="6"/>
  <c r="L131" i="6"/>
  <c r="L135" i="6"/>
  <c r="AK96" i="6"/>
  <c r="AJ96" i="6"/>
  <c r="X150" i="6"/>
  <c r="W150" i="6"/>
  <c r="U150" i="6"/>
  <c r="T150" i="6"/>
  <c r="S150" i="6"/>
  <c r="R150" i="6"/>
  <c r="Q150" i="6"/>
  <c r="X144" i="6"/>
  <c r="X143" i="6" s="1"/>
  <c r="U144" i="6"/>
  <c r="U143" i="6" s="1"/>
  <c r="T144" i="6"/>
  <c r="T143" i="6" s="1"/>
  <c r="S144" i="6"/>
  <c r="S143" i="6" s="1"/>
  <c r="R144" i="6"/>
  <c r="R143" i="6" s="1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L85" i="6"/>
  <c r="M73" i="6"/>
  <c r="M63" i="6" s="1"/>
  <c r="N73" i="6"/>
  <c r="N63" i="6" s="1"/>
  <c r="O73" i="6"/>
  <c r="O63" i="6" s="1"/>
  <c r="AJ73" i="6"/>
  <c r="AK73" i="6" s="1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L73" i="6"/>
  <c r="AM73" i="6"/>
  <c r="AN73" i="6"/>
  <c r="L73" i="6"/>
  <c r="L63" i="6" s="1"/>
  <c r="L68" i="6"/>
  <c r="AD48" i="6"/>
  <c r="M48" i="6"/>
  <c r="N48" i="6"/>
  <c r="O48" i="6"/>
  <c r="P48" i="6"/>
  <c r="Q48" i="6"/>
  <c r="R48" i="6"/>
  <c r="S48" i="6"/>
  <c r="T48" i="6"/>
  <c r="U48" i="6"/>
  <c r="V48" i="6"/>
  <c r="W48" i="6"/>
  <c r="X48" i="6"/>
  <c r="Z48" i="6"/>
  <c r="AA48" i="6"/>
  <c r="AB48" i="6"/>
  <c r="AC48" i="6"/>
  <c r="AE48" i="6"/>
  <c r="AF48" i="6"/>
  <c r="AG48" i="6"/>
  <c r="AH48" i="6"/>
  <c r="AI48" i="6"/>
  <c r="AL48" i="6"/>
  <c r="AM48" i="6"/>
  <c r="AN48" i="6"/>
  <c r="L48" i="6"/>
  <c r="AG168" i="6" l="1"/>
  <c r="AC168" i="6"/>
  <c r="Y168" i="6"/>
  <c r="U168" i="6"/>
  <c r="Q168" i="6"/>
  <c r="AK168" i="6"/>
  <c r="AJ48" i="6"/>
  <c r="AK48" i="6" s="1"/>
  <c r="AI168" i="6"/>
  <c r="AE168" i="6"/>
  <c r="AA168" i="6"/>
  <c r="W168" i="6"/>
  <c r="S168" i="6"/>
  <c r="AM168" i="6"/>
  <c r="L168" i="6"/>
  <c r="AJ150" i="6"/>
  <c r="AK150" i="6" s="1"/>
  <c r="AJ143" i="6"/>
  <c r="AK143" i="6" s="1"/>
  <c r="Z258" i="15"/>
  <c r="Z60" i="6" l="1"/>
  <c r="R48" i="15"/>
  <c r="S48" i="15"/>
  <c r="T48" i="15"/>
  <c r="U48" i="15"/>
  <c r="V48" i="15"/>
  <c r="W48" i="15"/>
  <c r="X48" i="15"/>
  <c r="Y48" i="15"/>
  <c r="Z48" i="15"/>
  <c r="S287" i="15"/>
  <c r="T287" i="15"/>
  <c r="U287" i="15"/>
  <c r="W287" i="15"/>
  <c r="X287" i="15"/>
  <c r="Y287" i="15"/>
  <c r="Z287" i="15"/>
  <c r="Z286" i="15" s="1"/>
  <c r="Z153" i="15" s="1"/>
  <c r="AA289" i="15"/>
  <c r="Q289" i="15"/>
  <c r="Z334" i="6" l="1"/>
  <c r="Q330" i="6"/>
  <c r="AA328" i="6"/>
  <c r="AB328" i="6"/>
  <c r="AB327" i="6" s="1"/>
  <c r="AC328" i="6"/>
  <c r="Y328" i="6"/>
  <c r="Y327" i="6" s="1"/>
  <c r="AD328" i="6"/>
  <c r="R334" i="6"/>
  <c r="S334" i="6"/>
  <c r="T334" i="6"/>
  <c r="U334" i="6"/>
  <c r="V334" i="6"/>
  <c r="X334" i="6"/>
  <c r="AA334" i="6"/>
  <c r="AC334" i="6"/>
  <c r="AD334" i="6"/>
  <c r="AE334" i="6"/>
  <c r="AF334" i="6"/>
  <c r="AG334" i="6"/>
  <c r="AH334" i="6"/>
  <c r="AI334" i="6"/>
  <c r="AI327" i="6" s="1"/>
  <c r="Q60" i="6"/>
  <c r="AA58" i="6"/>
  <c r="AA57" i="6" s="1"/>
  <c r="AB58" i="6"/>
  <c r="AB57" i="6" s="1"/>
  <c r="AC58" i="6"/>
  <c r="AC57" i="6" s="1"/>
  <c r="AC54" i="6" s="1"/>
  <c r="AD58" i="6"/>
  <c r="AD57" i="6" s="1"/>
  <c r="Y58" i="6"/>
  <c r="X60" i="6"/>
  <c r="X58" i="6" s="1"/>
  <c r="AD327" i="6" l="1"/>
  <c r="AC327" i="6"/>
  <c r="AA327" i="6"/>
  <c r="AQ10" i="15"/>
  <c r="AQ286" i="15"/>
  <c r="AQ258" i="15"/>
  <c r="AQ153" i="15" s="1"/>
  <c r="AQ9" i="15"/>
  <c r="AQ8" i="15"/>
  <c r="AQ7" i="15"/>
  <c r="AQ6" i="15"/>
  <c r="Z6" i="15"/>
  <c r="Z7" i="15"/>
  <c r="Z8" i="15"/>
  <c r="Z9" i="15"/>
  <c r="Z5" i="15" l="1"/>
  <c r="AQ5" i="15"/>
  <c r="Z329" i="6"/>
  <c r="Q329" i="6"/>
  <c r="Q302" i="6"/>
  <c r="Z302" i="6"/>
  <c r="Z298" i="6"/>
  <c r="Z297" i="6"/>
  <c r="X298" i="6"/>
  <c r="Q297" i="6"/>
  <c r="X297" i="6"/>
  <c r="X296" i="6"/>
  <c r="X273" i="6"/>
  <c r="X206" i="6"/>
  <c r="Q206" i="6"/>
  <c r="Q204" i="6" s="1"/>
  <c r="Q203" i="6" s="1"/>
  <c r="AJ203" i="6" s="1"/>
  <c r="AK203" i="6" s="1"/>
  <c r="Q83" i="6"/>
  <c r="Q82" i="6" s="1"/>
  <c r="S82" i="6"/>
  <c r="T82" i="6"/>
  <c r="U82" i="6"/>
  <c r="V82" i="6"/>
  <c r="W82" i="6"/>
  <c r="AA82" i="6"/>
  <c r="AB82" i="6"/>
  <c r="AC82" i="6"/>
  <c r="AD82" i="6"/>
  <c r="Z83" i="6"/>
  <c r="X83" i="6"/>
  <c r="X82" i="6" s="1"/>
  <c r="AC7" i="16"/>
  <c r="AB7" i="16"/>
  <c r="X7" i="16"/>
  <c r="W7" i="16"/>
  <c r="V7" i="16"/>
  <c r="U7" i="16"/>
  <c r="T7" i="16"/>
  <c r="S7" i="16"/>
  <c r="R7" i="16"/>
  <c r="Q7" i="16"/>
  <c r="P7" i="16"/>
  <c r="F7" i="16"/>
  <c r="AA7" i="16" s="1"/>
  <c r="AC6" i="16"/>
  <c r="AB6" i="16"/>
  <c r="AA6" i="16"/>
  <c r="X6" i="16"/>
  <c r="W6" i="16"/>
  <c r="V6" i="16"/>
  <c r="U6" i="16"/>
  <c r="T6" i="16"/>
  <c r="S6" i="16"/>
  <c r="R6" i="16"/>
  <c r="Q6" i="16"/>
  <c r="P6" i="16"/>
  <c r="F6" i="16"/>
  <c r="Y6" i="16" s="1"/>
  <c r="Z6" i="16" s="1"/>
  <c r="W293" i="15"/>
  <c r="AK291" i="15"/>
  <c r="AK245" i="15" s="1"/>
  <c r="AJ291" i="15"/>
  <c r="AJ245" i="15" s="1"/>
  <c r="AI291" i="15"/>
  <c r="AH291" i="15"/>
  <c r="AG291" i="15"/>
  <c r="AF291" i="15"/>
  <c r="AE291" i="15"/>
  <c r="AD291" i="15"/>
  <c r="AC291" i="15"/>
  <c r="AB291" i="15"/>
  <c r="Y286" i="15"/>
  <c r="X286" i="15"/>
  <c r="W286" i="15"/>
  <c r="U286" i="15"/>
  <c r="T286" i="15"/>
  <c r="S286" i="15"/>
  <c r="AA290" i="15"/>
  <c r="V290" i="15"/>
  <c r="V287" i="15" s="1"/>
  <c r="V286" i="15" s="1"/>
  <c r="Q290" i="15"/>
  <c r="P290" i="15"/>
  <c r="R288" i="15"/>
  <c r="R287" i="15" s="1"/>
  <c r="AD287" i="15"/>
  <c r="J287" i="15"/>
  <c r="AO286" i="15"/>
  <c r="AN286" i="15"/>
  <c r="AL286" i="15"/>
  <c r="AK286" i="15"/>
  <c r="AJ286" i="15"/>
  <c r="AI286" i="15"/>
  <c r="AH286" i="15"/>
  <c r="AG286" i="15"/>
  <c r="AF286" i="15"/>
  <c r="AC286" i="15"/>
  <c r="AB286" i="15"/>
  <c r="P286" i="15"/>
  <c r="O286" i="15"/>
  <c r="N286" i="15"/>
  <c r="M286" i="15"/>
  <c r="L286" i="15"/>
  <c r="J286" i="15" s="1"/>
  <c r="J285" i="15"/>
  <c r="R284" i="15"/>
  <c r="R283" i="15" s="1"/>
  <c r="P284" i="15"/>
  <c r="AO283" i="15"/>
  <c r="AN283" i="15"/>
  <c r="AM283" i="15"/>
  <c r="AL283" i="15"/>
  <c r="AK283" i="15"/>
  <c r="AJ283" i="15"/>
  <c r="AI283" i="15"/>
  <c r="AH283" i="15"/>
  <c r="AG283" i="15"/>
  <c r="AF283" i="15"/>
  <c r="AE283" i="15"/>
  <c r="AD283" i="15"/>
  <c r="AC283" i="15"/>
  <c r="AB283" i="15"/>
  <c r="P283" i="15"/>
  <c r="O283" i="15"/>
  <c r="N283" i="15"/>
  <c r="M283" i="15"/>
  <c r="L283" i="15"/>
  <c r="J283" i="15" s="1"/>
  <c r="J282" i="15"/>
  <c r="Q281" i="15"/>
  <c r="AA280" i="15"/>
  <c r="R280" i="15"/>
  <c r="Q280" i="15"/>
  <c r="Q279" i="15"/>
  <c r="R278" i="15"/>
  <c r="P278" i="15" s="1"/>
  <c r="Q278" i="15"/>
  <c r="AJ277" i="15"/>
  <c r="AI277" i="15"/>
  <c r="AH277" i="15"/>
  <c r="AG277" i="15"/>
  <c r="AF277" i="15"/>
  <c r="AE277" i="15"/>
  <c r="AD277" i="15"/>
  <c r="AC277" i="15"/>
  <c r="AB277" i="15"/>
  <c r="AA277" i="15"/>
  <c r="Y277" i="15"/>
  <c r="W277" i="15"/>
  <c r="V277" i="15"/>
  <c r="U277" i="15"/>
  <c r="U276" i="15" s="1"/>
  <c r="T277" i="15"/>
  <c r="S277" i="15"/>
  <c r="S276" i="15" s="1"/>
  <c r="R277" i="15"/>
  <c r="Q277" i="15"/>
  <c r="J277" i="15"/>
  <c r="AO276" i="15"/>
  <c r="AN276" i="15"/>
  <c r="AH276" i="15"/>
  <c r="AG276" i="15" s="1"/>
  <c r="AF276" i="15" s="1"/>
  <c r="AE276" i="15" s="1"/>
  <c r="AD276" i="15"/>
  <c r="Y276" i="15"/>
  <c r="X276" i="15"/>
  <c r="W276" i="15"/>
  <c r="V276" i="15" s="1"/>
  <c r="P276" i="15"/>
  <c r="O276" i="15"/>
  <c r="N276" i="15"/>
  <c r="M276" i="15"/>
  <c r="L276" i="15"/>
  <c r="J276" i="15" s="1"/>
  <c r="J275" i="15"/>
  <c r="AA274" i="15"/>
  <c r="AA272" i="15" s="1"/>
  <c r="T274" i="15"/>
  <c r="P274" i="15" s="1"/>
  <c r="Q274" i="15"/>
  <c r="AF273" i="15"/>
  <c r="T273" i="15"/>
  <c r="T272" i="15" s="1"/>
  <c r="T271" i="15" s="1"/>
  <c r="Q273" i="15"/>
  <c r="AJ272" i="15"/>
  <c r="AJ271" i="15" s="1"/>
  <c r="AI272" i="15"/>
  <c r="AH272" i="15"/>
  <c r="AH271" i="15" s="1"/>
  <c r="AG272" i="15"/>
  <c r="AE272" i="15"/>
  <c r="AD272" i="15"/>
  <c r="AD271" i="15" s="1"/>
  <c r="AC272" i="15"/>
  <c r="AB272" i="15"/>
  <c r="AB271" i="15" s="1"/>
  <c r="Y272" i="15"/>
  <c r="Y271" i="15" s="1"/>
  <c r="W272" i="15"/>
  <c r="W271" i="15" s="1"/>
  <c r="V272" i="15"/>
  <c r="V271" i="15" s="1"/>
  <c r="U272" i="15"/>
  <c r="U271" i="15" s="1"/>
  <c r="S272" i="15"/>
  <c r="R272" i="15" s="1"/>
  <c r="Q272" i="15"/>
  <c r="AO271" i="15"/>
  <c r="AN271" i="15"/>
  <c r="X271" i="15"/>
  <c r="O271" i="15"/>
  <c r="N271" i="15"/>
  <c r="M271" i="15"/>
  <c r="L271" i="15"/>
  <c r="J271" i="15" s="1"/>
  <c r="J270" i="15"/>
  <c r="AF269" i="15"/>
  <c r="AA269" i="15"/>
  <c r="U269" i="15"/>
  <c r="T269" i="15" s="1"/>
  <c r="P269" i="15"/>
  <c r="AJ268" i="15"/>
  <c r="AI268" i="15"/>
  <c r="AH268" i="15"/>
  <c r="AG268" i="15"/>
  <c r="AG267" i="15" s="1"/>
  <c r="AF268" i="15"/>
  <c r="AD268" i="15"/>
  <c r="AD267" i="15" s="1"/>
  <c r="AC268" i="15"/>
  <c r="AB268" i="15"/>
  <c r="AB267" i="15" s="1"/>
  <c r="Y268" i="15"/>
  <c r="Y267" i="15" s="1"/>
  <c r="X268" i="15"/>
  <c r="W268" i="15"/>
  <c r="W267" i="15" s="1"/>
  <c r="V268" i="15"/>
  <c r="S268" i="15"/>
  <c r="S267" i="15" s="1"/>
  <c r="R268" i="15"/>
  <c r="J268" i="15"/>
  <c r="AO267" i="15"/>
  <c r="AN267" i="15"/>
  <c r="AE267" i="15"/>
  <c r="P267" i="15"/>
  <c r="O267" i="15"/>
  <c r="N267" i="15"/>
  <c r="M267" i="15"/>
  <c r="L267" i="15"/>
  <c r="J267" i="15" s="1"/>
  <c r="O265" i="15"/>
  <c r="N265" i="15"/>
  <c r="M265" i="15"/>
  <c r="L265" i="15"/>
  <c r="AA264" i="15"/>
  <c r="V264" i="15"/>
  <c r="Q264" i="15"/>
  <c r="AI263" i="15"/>
  <c r="AH263" i="15"/>
  <c r="AH245" i="15" s="1"/>
  <c r="AG263" i="15"/>
  <c r="AF263" i="15"/>
  <c r="AE263" i="15"/>
  <c r="AD263" i="15"/>
  <c r="AD245" i="15" s="1"/>
  <c r="AC263" i="15"/>
  <c r="AB263" i="15"/>
  <c r="Y263" i="15"/>
  <c r="X263" i="15"/>
  <c r="X245" i="15" s="1"/>
  <c r="W263" i="15"/>
  <c r="V263" i="15" s="1"/>
  <c r="U263" i="15"/>
  <c r="T263" i="15"/>
  <c r="T245" i="15" s="1"/>
  <c r="S263" i="15"/>
  <c r="R263" i="15"/>
  <c r="T261" i="15"/>
  <c r="Q261" i="15"/>
  <c r="T260" i="15"/>
  <c r="R260" i="15"/>
  <c r="R259" i="15" s="1"/>
  <c r="R258" i="15" s="1"/>
  <c r="Q260" i="15"/>
  <c r="AE259" i="15"/>
  <c r="AD259" i="15"/>
  <c r="AC259" i="15"/>
  <c r="AC258" i="15" s="1"/>
  <c r="AB259" i="15"/>
  <c r="Y259" i="15"/>
  <c r="X259" i="15"/>
  <c r="W259" i="15"/>
  <c r="V259" i="15"/>
  <c r="U259" i="15"/>
  <c r="S259" i="15"/>
  <c r="P258" i="15"/>
  <c r="O258" i="15"/>
  <c r="N258" i="15"/>
  <c r="M258" i="15"/>
  <c r="L258" i="15"/>
  <c r="J258" i="15" s="1"/>
  <c r="AF257" i="15"/>
  <c r="AA257" i="15"/>
  <c r="V257" i="15"/>
  <c r="V256" i="15" s="1"/>
  <c r="R257" i="15"/>
  <c r="Q257" i="15"/>
  <c r="P257" i="15" s="1"/>
  <c r="AO256" i="15"/>
  <c r="AN256" i="15"/>
  <c r="AM256" i="15"/>
  <c r="AM255" i="15" s="1"/>
  <c r="AL256" i="15"/>
  <c r="AK256" i="15"/>
  <c r="AJ256" i="15"/>
  <c r="AI256" i="15"/>
  <c r="AH256" i="15"/>
  <c r="AG256" i="15"/>
  <c r="AE256" i="15"/>
  <c r="AE255" i="15" s="1"/>
  <c r="AD256" i="15"/>
  <c r="AC256" i="15"/>
  <c r="AB256" i="15"/>
  <c r="AA256" i="15" s="1"/>
  <c r="Y256" i="15"/>
  <c r="W256" i="15"/>
  <c r="U256" i="15"/>
  <c r="T256" i="15"/>
  <c r="T255" i="15" s="1"/>
  <c r="S256" i="15"/>
  <c r="X255" i="15"/>
  <c r="W255" i="15" s="1"/>
  <c r="P255" i="15"/>
  <c r="M255" i="15"/>
  <c r="L255" i="15"/>
  <c r="J255" i="15" s="1"/>
  <c r="AA253" i="15"/>
  <c r="X253" i="15"/>
  <c r="V253" i="15"/>
  <c r="Q253" i="15"/>
  <c r="AA252" i="15"/>
  <c r="Q252" i="15"/>
  <c r="P252" i="15" s="1"/>
  <c r="AE251" i="15"/>
  <c r="AE250" i="15" s="1"/>
  <c r="AD251" i="15"/>
  <c r="AD250" i="15" s="1"/>
  <c r="AC251" i="15"/>
  <c r="AC250" i="15" s="1"/>
  <c r="AB251" i="15"/>
  <c r="AB250" i="15" s="1"/>
  <c r="Y251" i="15"/>
  <c r="W251" i="15"/>
  <c r="W250" i="15" s="1"/>
  <c r="U251" i="15"/>
  <c r="U250" i="15" s="1"/>
  <c r="T251" i="15"/>
  <c r="T250" i="15" s="1"/>
  <c r="S251" i="15"/>
  <c r="S250" i="15" s="1"/>
  <c r="R251" i="15"/>
  <c r="R250" i="15" s="1"/>
  <c r="AO250" i="15"/>
  <c r="AN250" i="15"/>
  <c r="AM250" i="15"/>
  <c r="AL250" i="15"/>
  <c r="AK250" i="15"/>
  <c r="AJ250" i="15"/>
  <c r="AI250" i="15"/>
  <c r="AH250" i="15"/>
  <c r="AG250" i="15"/>
  <c r="AF250" i="15"/>
  <c r="P250" i="15"/>
  <c r="O250" i="15"/>
  <c r="N250" i="15"/>
  <c r="M250" i="15"/>
  <c r="L250" i="15"/>
  <c r="AA249" i="15"/>
  <c r="AA248" i="15" s="1"/>
  <c r="Q249" i="15"/>
  <c r="Q248" i="15" s="1"/>
  <c r="AI248" i="15"/>
  <c r="AI247" i="15" s="1"/>
  <c r="AH248" i="15"/>
  <c r="AH247" i="15" s="1"/>
  <c r="AG248" i="15"/>
  <c r="AG247" i="15" s="1"/>
  <c r="AF248" i="15"/>
  <c r="AF247" i="15" s="1"/>
  <c r="AE248" i="15"/>
  <c r="AE247" i="15" s="1"/>
  <c r="AD248" i="15"/>
  <c r="AD247" i="15" s="1"/>
  <c r="AC248" i="15"/>
  <c r="AC247" i="15" s="1"/>
  <c r="AB248" i="15"/>
  <c r="AB247" i="15" s="1"/>
  <c r="Y248" i="15"/>
  <c r="Y247" i="15" s="1"/>
  <c r="X248" i="15"/>
  <c r="X247" i="15" s="1"/>
  <c r="W248" i="15"/>
  <c r="V248" i="15"/>
  <c r="V247" i="15" s="1"/>
  <c r="U248" i="15"/>
  <c r="U247" i="15" s="1"/>
  <c r="T248" i="15"/>
  <c r="T247" i="15" s="1"/>
  <c r="S248" i="15"/>
  <c r="R248" i="15"/>
  <c r="R247" i="15" s="1"/>
  <c r="AO247" i="15"/>
  <c r="AN247" i="15"/>
  <c r="AM247" i="15"/>
  <c r="AL247" i="15"/>
  <c r="AK247" i="15"/>
  <c r="AJ247" i="15"/>
  <c r="W247" i="15"/>
  <c r="S247" i="15"/>
  <c r="O247" i="15"/>
  <c r="N247" i="15"/>
  <c r="M247" i="15"/>
  <c r="L247" i="15"/>
  <c r="L246" i="15"/>
  <c r="AM245" i="15"/>
  <c r="AL245" i="15"/>
  <c r="R245" i="15"/>
  <c r="P245" i="15"/>
  <c r="O245" i="15"/>
  <c r="N245" i="15"/>
  <c r="M245" i="15"/>
  <c r="L245" i="15"/>
  <c r="K244" i="15"/>
  <c r="R238" i="15"/>
  <c r="P238" i="15" s="1"/>
  <c r="Q237" i="15"/>
  <c r="Q236" i="15" s="1"/>
  <c r="L238" i="15"/>
  <c r="AO237" i="15"/>
  <c r="AN237" i="15"/>
  <c r="AM237" i="15"/>
  <c r="AL237" i="15"/>
  <c r="AK237" i="15"/>
  <c r="AG237" i="15"/>
  <c r="AG236" i="15" s="1"/>
  <c r="AF237" i="15"/>
  <c r="AE237" i="15"/>
  <c r="AE236" i="15" s="1"/>
  <c r="AD237" i="15"/>
  <c r="AC237" i="15"/>
  <c r="AC236" i="15" s="1"/>
  <c r="AB237" i="15"/>
  <c r="Y237" i="15"/>
  <c r="Y236" i="15" s="1"/>
  <c r="X237" i="15"/>
  <c r="X236" i="15" s="1"/>
  <c r="W237" i="15"/>
  <c r="W236" i="15" s="1"/>
  <c r="V237" i="15"/>
  <c r="V236" i="15" s="1"/>
  <c r="U237" i="15"/>
  <c r="U236" i="15" s="1"/>
  <c r="T237" i="15"/>
  <c r="T236" i="15" s="1"/>
  <c r="S237" i="15"/>
  <c r="S236" i="15" s="1"/>
  <c r="O237" i="15"/>
  <c r="L237" i="15" s="1"/>
  <c r="AO236" i="15"/>
  <c r="AN236" i="15"/>
  <c r="AJ236" i="15"/>
  <c r="AI236" i="15"/>
  <c r="AH236" i="15"/>
  <c r="N236" i="15"/>
  <c r="M236" i="15"/>
  <c r="L232" i="15"/>
  <c r="L231" i="15"/>
  <c r="K230" i="15"/>
  <c r="L229" i="15"/>
  <c r="AO225" i="15"/>
  <c r="AN225" i="15"/>
  <c r="AM225" i="15"/>
  <c r="AL225" i="15"/>
  <c r="AK225" i="15"/>
  <c r="AJ225" i="15"/>
  <c r="AI225" i="15"/>
  <c r="AH225" i="15"/>
  <c r="AG225" i="15"/>
  <c r="AF225" i="15"/>
  <c r="AE225" i="15"/>
  <c r="AD225" i="15"/>
  <c r="AC225" i="15"/>
  <c r="AB225" i="15"/>
  <c r="AA225" i="15"/>
  <c r="Y225" i="15"/>
  <c r="X225" i="15"/>
  <c r="W225" i="15"/>
  <c r="V225" i="15"/>
  <c r="U225" i="15"/>
  <c r="T225" i="15"/>
  <c r="S225" i="15"/>
  <c r="R225" i="15"/>
  <c r="Q225" i="15"/>
  <c r="P225" i="15"/>
  <c r="O225" i="15"/>
  <c r="N225" i="15"/>
  <c r="M225" i="15"/>
  <c r="L225" i="15"/>
  <c r="AO223" i="15"/>
  <c r="AN223" i="15"/>
  <c r="AM223" i="15"/>
  <c r="AL223" i="15"/>
  <c r="AK223" i="15"/>
  <c r="AJ223" i="15"/>
  <c r="AI223" i="15"/>
  <c r="AH223" i="15"/>
  <c r="AG223" i="15"/>
  <c r="AF223" i="15"/>
  <c r="AE223" i="15"/>
  <c r="AD223" i="15"/>
  <c r="AC223" i="15"/>
  <c r="AB223" i="15"/>
  <c r="Y223" i="15"/>
  <c r="X223" i="15"/>
  <c r="W223" i="15"/>
  <c r="V223" i="15"/>
  <c r="U223" i="15"/>
  <c r="T223" i="15"/>
  <c r="S223" i="15"/>
  <c r="S204" i="15" s="1"/>
  <c r="R223" i="15"/>
  <c r="P223" i="15"/>
  <c r="O223" i="15"/>
  <c r="N223" i="15"/>
  <c r="M223" i="15"/>
  <c r="L223" i="15"/>
  <c r="Q222" i="15"/>
  <c r="Q221" i="15"/>
  <c r="Q220" i="15"/>
  <c r="Q219" i="15"/>
  <c r="AJ218" i="15"/>
  <c r="AI218" i="15"/>
  <c r="AH218" i="15"/>
  <c r="AH217" i="15" s="1"/>
  <c r="AG218" i="15"/>
  <c r="AF218" i="15"/>
  <c r="AE218" i="15"/>
  <c r="AD218" i="15"/>
  <c r="AC218" i="15"/>
  <c r="AB218" i="15"/>
  <c r="AA218" i="15"/>
  <c r="Y218" i="15"/>
  <c r="Y217" i="15" s="1"/>
  <c r="W218" i="15"/>
  <c r="V218" i="15"/>
  <c r="U218" i="15"/>
  <c r="T218" i="15"/>
  <c r="S218" i="15"/>
  <c r="R218" i="15"/>
  <c r="AO217" i="15"/>
  <c r="AN217" i="15"/>
  <c r="AM217" i="15"/>
  <c r="AL217" i="15"/>
  <c r="AK217" i="15"/>
  <c r="AD217" i="15"/>
  <c r="X217" i="15"/>
  <c r="W217" i="15" s="1"/>
  <c r="P217" i="15"/>
  <c r="O217" i="15"/>
  <c r="N217" i="15"/>
  <c r="M217" i="15"/>
  <c r="L217" i="15"/>
  <c r="Q216" i="15"/>
  <c r="Q215" i="15"/>
  <c r="Q214" i="15"/>
  <c r="Q213" i="15"/>
  <c r="AO212" i="15"/>
  <c r="AN212" i="15"/>
  <c r="AN211" i="15" s="1"/>
  <c r="AM212" i="15"/>
  <c r="AL212" i="15"/>
  <c r="AL211" i="15" s="1"/>
  <c r="AK212" i="15"/>
  <c r="AJ212" i="15"/>
  <c r="AJ211" i="15" s="1"/>
  <c r="AI212" i="15"/>
  <c r="AH212" i="15"/>
  <c r="AH211" i="15" s="1"/>
  <c r="AG212" i="15"/>
  <c r="AF212" i="15"/>
  <c r="AF211" i="15" s="1"/>
  <c r="AE212" i="15"/>
  <c r="AD212" i="15"/>
  <c r="AD211" i="15" s="1"/>
  <c r="AC212" i="15"/>
  <c r="AB212" i="15"/>
  <c r="AB211" i="15" s="1"/>
  <c r="AA212" i="15"/>
  <c r="Y212" i="15"/>
  <c r="W212" i="15"/>
  <c r="V212" i="15"/>
  <c r="V211" i="15" s="1"/>
  <c r="U212" i="15"/>
  <c r="T212" i="15"/>
  <c r="T211" i="15" s="1"/>
  <c r="S212" i="15"/>
  <c r="R212" i="15"/>
  <c r="R211" i="15" s="1"/>
  <c r="X211" i="15"/>
  <c r="P211" i="15"/>
  <c r="O211" i="15"/>
  <c r="N211" i="15"/>
  <c r="M211" i="15"/>
  <c r="L211" i="15"/>
  <c r="AF209" i="15"/>
  <c r="AA209" i="15"/>
  <c r="U209" i="15"/>
  <c r="T209" i="15" s="1"/>
  <c r="AA208" i="15"/>
  <c r="V208" i="15"/>
  <c r="Q208" i="15" s="1"/>
  <c r="AO207" i="15"/>
  <c r="AN207" i="15"/>
  <c r="AN206" i="15" s="1"/>
  <c r="AM207" i="15"/>
  <c r="AL207" i="15"/>
  <c r="AK207" i="15"/>
  <c r="AJ207" i="15"/>
  <c r="AJ206" i="15" s="1"/>
  <c r="AI207" i="15"/>
  <c r="AH207" i="15"/>
  <c r="AH206" i="15" s="1"/>
  <c r="AG207" i="15"/>
  <c r="AE207" i="15"/>
  <c r="AE206" i="15" s="1"/>
  <c r="AD207" i="15"/>
  <c r="AC207" i="15"/>
  <c r="AC206" i="15" s="1"/>
  <c r="AB207" i="15"/>
  <c r="Y207" i="15"/>
  <c r="X207" i="15"/>
  <c r="W207" i="15"/>
  <c r="S207" i="15"/>
  <c r="R207" i="15"/>
  <c r="P206" i="15"/>
  <c r="O206" i="15"/>
  <c r="N206" i="15"/>
  <c r="M206" i="15"/>
  <c r="L206" i="15"/>
  <c r="K203" i="15"/>
  <c r="J203" i="15"/>
  <c r="AA191" i="15"/>
  <c r="X191" i="15"/>
  <c r="Q191" i="15"/>
  <c r="AA190" i="15"/>
  <c r="X190" i="15"/>
  <c r="Q190" i="15"/>
  <c r="AA189" i="15"/>
  <c r="AA188" i="15"/>
  <c r="T188" i="15"/>
  <c r="R188" i="15"/>
  <c r="Q188" i="15"/>
  <c r="X187" i="15"/>
  <c r="Q187" i="15"/>
  <c r="AJ186" i="15"/>
  <c r="AJ185" i="15" s="1"/>
  <c r="AI186" i="15"/>
  <c r="AH186" i="15"/>
  <c r="AH185" i="15" s="1"/>
  <c r="AG186" i="15"/>
  <c r="AF186" i="15"/>
  <c r="AE186" i="15"/>
  <c r="AD186" i="15"/>
  <c r="AD185" i="15" s="1"/>
  <c r="AC186" i="15"/>
  <c r="AB186" i="15"/>
  <c r="AB185" i="15" s="1"/>
  <c r="S186" i="15"/>
  <c r="S185" i="15" s="1"/>
  <c r="R186" i="15"/>
  <c r="AO185" i="15"/>
  <c r="AN185" i="15"/>
  <c r="AM185" i="15"/>
  <c r="AL185" i="15"/>
  <c r="AK185" i="15"/>
  <c r="AF185" i="15"/>
  <c r="Y185" i="15"/>
  <c r="X185" i="15"/>
  <c r="W185" i="15"/>
  <c r="V185" i="15"/>
  <c r="U185" i="15"/>
  <c r="T185" i="15"/>
  <c r="P185" i="15"/>
  <c r="O185" i="15"/>
  <c r="N185" i="15"/>
  <c r="M185" i="15"/>
  <c r="L185" i="15"/>
  <c r="AA184" i="15"/>
  <c r="Q184" i="15"/>
  <c r="AG183" i="15"/>
  <c r="AF183" i="15"/>
  <c r="AE183" i="15"/>
  <c r="AD183" i="15"/>
  <c r="AC183" i="15"/>
  <c r="AB183" i="15"/>
  <c r="AA183" i="15"/>
  <c r="Y183" i="15"/>
  <c r="Y182" i="15" s="1"/>
  <c r="X183" i="15"/>
  <c r="W183" i="15"/>
  <c r="W182" i="15" s="1"/>
  <c r="V183" i="15"/>
  <c r="V182" i="15" s="1"/>
  <c r="U183" i="15"/>
  <c r="U182" i="15" s="1"/>
  <c r="T183" i="15"/>
  <c r="S183" i="15"/>
  <c r="R183" i="15"/>
  <c r="R182" i="15" s="1"/>
  <c r="Q183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X182" i="15"/>
  <c r="T182" i="15"/>
  <c r="S182" i="15"/>
  <c r="O182" i="15"/>
  <c r="N182" i="15"/>
  <c r="M182" i="15"/>
  <c r="L182" i="15"/>
  <c r="AA181" i="15"/>
  <c r="Q181" i="15"/>
  <c r="Q178" i="15" s="1"/>
  <c r="AE179" i="15"/>
  <c r="AD179" i="15"/>
  <c r="AC179" i="15"/>
  <c r="AC178" i="15" s="1"/>
  <c r="AB179" i="15"/>
  <c r="Y179" i="15"/>
  <c r="Y178" i="15" s="1"/>
  <c r="X179" i="15"/>
  <c r="X178" i="15" s="1"/>
  <c r="W179" i="15"/>
  <c r="W178" i="15" s="1"/>
  <c r="V179" i="15"/>
  <c r="V178" i="15" s="1"/>
  <c r="U179" i="15"/>
  <c r="U178" i="15" s="1"/>
  <c r="T179" i="15"/>
  <c r="T178" i="15" s="1"/>
  <c r="AO178" i="15"/>
  <c r="AN178" i="15"/>
  <c r="AM178" i="15"/>
  <c r="AL178" i="15"/>
  <c r="AK178" i="15"/>
  <c r="AJ178" i="15"/>
  <c r="AI178" i="15"/>
  <c r="AH178" i="15"/>
  <c r="AG178" i="15"/>
  <c r="AF178" i="15"/>
  <c r="AE178" i="15"/>
  <c r="O178" i="15"/>
  <c r="N178" i="15"/>
  <c r="M178" i="15"/>
  <c r="L178" i="15"/>
  <c r="AF177" i="15"/>
  <c r="R177" i="15"/>
  <c r="Q177" i="15"/>
  <c r="AA176" i="15"/>
  <c r="AF175" i="15"/>
  <c r="AA175" i="15"/>
  <c r="Q175" i="15"/>
  <c r="AF174" i="15"/>
  <c r="AA174" i="15"/>
  <c r="R174" i="15"/>
  <c r="Q174" i="15"/>
  <c r="AF173" i="15"/>
  <c r="Q173" i="15"/>
  <c r="AF172" i="15"/>
  <c r="Q172" i="15"/>
  <c r="AF171" i="15"/>
  <c r="R171" i="15"/>
  <c r="Q171" i="15"/>
  <c r="AO170" i="15"/>
  <c r="AN170" i="15"/>
  <c r="AN169" i="15" s="1"/>
  <c r="AM170" i="15"/>
  <c r="AL170" i="15"/>
  <c r="AK170" i="15"/>
  <c r="AH170" i="15"/>
  <c r="AG170" i="15"/>
  <c r="AE170" i="15"/>
  <c r="AD170" i="15"/>
  <c r="AC170" i="15"/>
  <c r="AC169" i="15" s="1"/>
  <c r="AB170" i="15"/>
  <c r="Y170" i="15"/>
  <c r="W170" i="15"/>
  <c r="V170" i="15"/>
  <c r="U170" i="15"/>
  <c r="U169" i="15" s="1"/>
  <c r="T170" i="15"/>
  <c r="S170" i="15"/>
  <c r="AL169" i="15"/>
  <c r="AJ169" i="15"/>
  <c r="AI169" i="15"/>
  <c r="X169" i="15"/>
  <c r="Q169" i="15"/>
  <c r="O169" i="15"/>
  <c r="N169" i="15"/>
  <c r="M169" i="15"/>
  <c r="L169" i="15"/>
  <c r="J169" i="15" s="1"/>
  <c r="AA167" i="15"/>
  <c r="R167" i="15"/>
  <c r="R166" i="15" s="1"/>
  <c r="Q167" i="15"/>
  <c r="AG166" i="15"/>
  <c r="AG165" i="15" s="1"/>
  <c r="AF166" i="15"/>
  <c r="AE166" i="15"/>
  <c r="AD166" i="15"/>
  <c r="AC166" i="15"/>
  <c r="AC165" i="15" s="1"/>
  <c r="AB166" i="15"/>
  <c r="Y166" i="15"/>
  <c r="Y165" i="15" s="1"/>
  <c r="X166" i="15"/>
  <c r="W166" i="15"/>
  <c r="W165" i="15" s="1"/>
  <c r="V166" i="15"/>
  <c r="U166" i="15"/>
  <c r="U165" i="15" s="1"/>
  <c r="T166" i="15"/>
  <c r="S166" i="15"/>
  <c r="S165" i="15" s="1"/>
  <c r="AO165" i="15"/>
  <c r="AN165" i="15"/>
  <c r="AJ165" i="15"/>
  <c r="AI165" i="15"/>
  <c r="AH165" i="15"/>
  <c r="AE165" i="15"/>
  <c r="P165" i="15"/>
  <c r="O165" i="15"/>
  <c r="N165" i="15"/>
  <c r="M165" i="15"/>
  <c r="L165" i="15"/>
  <c r="K165" i="15"/>
  <c r="AA164" i="15"/>
  <c r="AA163" i="15" s="1"/>
  <c r="T164" i="15"/>
  <c r="R164" i="15"/>
  <c r="Q164" i="15"/>
  <c r="Q163" i="15" s="1"/>
  <c r="AK163" i="15"/>
  <c r="AJ163" i="15"/>
  <c r="AI163" i="15"/>
  <c r="AH163" i="15"/>
  <c r="AH162" i="15" s="1"/>
  <c r="AG163" i="15"/>
  <c r="AF163" i="15"/>
  <c r="AE163" i="15"/>
  <c r="AD163" i="15"/>
  <c r="AD162" i="15" s="1"/>
  <c r="AC163" i="15"/>
  <c r="AB163" i="15"/>
  <c r="Y163" i="15"/>
  <c r="Y162" i="15" s="1"/>
  <c r="X163" i="15"/>
  <c r="W163" i="15"/>
  <c r="V163" i="15"/>
  <c r="U163" i="15"/>
  <c r="S163" i="15"/>
  <c r="AO162" i="15"/>
  <c r="AN162" i="15"/>
  <c r="U162" i="15"/>
  <c r="O162" i="15"/>
  <c r="N162" i="15"/>
  <c r="M162" i="15"/>
  <c r="L162" i="15"/>
  <c r="L161" i="15"/>
  <c r="P160" i="15"/>
  <c r="N160" i="15"/>
  <c r="M160" i="15"/>
  <c r="L160" i="15"/>
  <c r="L159" i="15"/>
  <c r="K158" i="15"/>
  <c r="J158" i="15" s="1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K157" i="15"/>
  <c r="J157" i="15"/>
  <c r="AO156" i="15"/>
  <c r="AN156" i="15"/>
  <c r="AM156" i="15"/>
  <c r="AL156" i="15"/>
  <c r="AK156" i="15"/>
  <c r="K156" i="15"/>
  <c r="J156" i="15"/>
  <c r="AE245" i="15" l="1"/>
  <c r="AC271" i="15"/>
  <c r="S271" i="15"/>
  <c r="R271" i="15" s="1"/>
  <c r="AB204" i="15"/>
  <c r="AJ204" i="15"/>
  <c r="AJ156" i="15" s="1"/>
  <c r="R256" i="15"/>
  <c r="P260" i="15"/>
  <c r="AB245" i="15"/>
  <c r="AF245" i="15"/>
  <c r="AF272" i="15"/>
  <c r="W211" i="15"/>
  <c r="R276" i="15"/>
  <c r="AA237" i="15"/>
  <c r="AA236" i="15" s="1"/>
  <c r="AB169" i="15"/>
  <c r="AI185" i="15"/>
  <c r="AI245" i="15"/>
  <c r="P244" i="15"/>
  <c r="P288" i="15"/>
  <c r="Y245" i="15"/>
  <c r="AC245" i="15"/>
  <c r="AG245" i="15"/>
  <c r="W245" i="15"/>
  <c r="V245" i="15" s="1"/>
  <c r="V258" i="15"/>
  <c r="T163" i="15"/>
  <c r="T162" i="15" s="1"/>
  <c r="AA179" i="15"/>
  <c r="AA178" i="15" s="1"/>
  <c r="S211" i="15"/>
  <c r="AC211" i="15"/>
  <c r="AC203" i="15" s="1"/>
  <c r="AG211" i="15"/>
  <c r="AK211" i="15"/>
  <c r="Q212" i="15"/>
  <c r="AO211" i="15" s="1"/>
  <c r="AC217" i="15"/>
  <c r="AG217" i="15"/>
  <c r="M204" i="15"/>
  <c r="O204" i="15"/>
  <c r="O156" i="15" s="1"/>
  <c r="Q204" i="15"/>
  <c r="U204" i="15"/>
  <c r="W204" i="15"/>
  <c r="Y204" i="15"/>
  <c r="AD204" i="15"/>
  <c r="AD156" i="15" s="1"/>
  <c r="AF204" i="15"/>
  <c r="AF156" i="15" s="1"/>
  <c r="AH204" i="15"/>
  <c r="AH156" i="15" s="1"/>
  <c r="O158" i="15"/>
  <c r="M158" i="15"/>
  <c r="S162" i="15"/>
  <c r="L204" i="15"/>
  <c r="N204" i="15"/>
  <c r="N156" i="15" s="1"/>
  <c r="P204" i="15"/>
  <c r="P156" i="15" s="1"/>
  <c r="R204" i="15"/>
  <c r="R156" i="15" s="1"/>
  <c r="AG271" i="15"/>
  <c r="AF271" i="15" s="1"/>
  <c r="O203" i="15"/>
  <c r="P203" i="15"/>
  <c r="AB236" i="15"/>
  <c r="AF236" i="15"/>
  <c r="T204" i="15"/>
  <c r="T156" i="15" s="1"/>
  <c r="V204" i="15"/>
  <c r="X204" i="15"/>
  <c r="X156" i="15" s="1"/>
  <c r="AA204" i="15"/>
  <c r="AC204" i="15"/>
  <c r="AE204" i="15"/>
  <c r="AE156" i="15" s="1"/>
  <c r="AG204" i="15"/>
  <c r="AG156" i="15" s="1"/>
  <c r="AI204" i="15"/>
  <c r="M244" i="15"/>
  <c r="R163" i="15"/>
  <c r="R162" i="15" s="1"/>
  <c r="T165" i="15"/>
  <c r="T169" i="15"/>
  <c r="AI206" i="15"/>
  <c r="Q256" i="15"/>
  <c r="S255" i="15"/>
  <c r="R255" i="15" s="1"/>
  <c r="AA271" i="15"/>
  <c r="T276" i="15"/>
  <c r="AA170" i="15"/>
  <c r="AA169" i="15" s="1"/>
  <c r="Y169" i="15" s="1"/>
  <c r="L158" i="15"/>
  <c r="N203" i="15"/>
  <c r="M203" i="15" s="1"/>
  <c r="L244" i="15"/>
  <c r="J244" i="15" s="1"/>
  <c r="AE271" i="15"/>
  <c r="AI271" i="15"/>
  <c r="AC162" i="15"/>
  <c r="AB162" i="15" s="1"/>
  <c r="AH169" i="15"/>
  <c r="AH158" i="15" s="1"/>
  <c r="AB178" i="15"/>
  <c r="Q209" i="15"/>
  <c r="AO206" i="15" s="1"/>
  <c r="AO203" i="15" s="1"/>
  <c r="L203" i="15"/>
  <c r="V217" i="15"/>
  <c r="U217" i="15" s="1"/>
  <c r="T217" i="15" s="1"/>
  <c r="S217" i="15" s="1"/>
  <c r="R217" i="15" s="1"/>
  <c r="O244" i="15"/>
  <c r="N244" i="15" s="1"/>
  <c r="X251" i="15"/>
  <c r="AD255" i="15"/>
  <c r="AC255" i="15" s="1"/>
  <c r="AB255" i="15" s="1"/>
  <c r="AA255" i="15" s="1"/>
  <c r="Y255" i="15" s="1"/>
  <c r="AH258" i="15"/>
  <c r="AG258" i="15" s="1"/>
  <c r="AF258" i="15" s="1"/>
  <c r="AB258" i="15"/>
  <c r="AD206" i="15"/>
  <c r="U207" i="15"/>
  <c r="T207" i="15" s="1"/>
  <c r="AF207" i="15"/>
  <c r="AF217" i="15"/>
  <c r="AE217" i="15" s="1"/>
  <c r="X258" i="15"/>
  <c r="AA245" i="15"/>
  <c r="AA156" i="15" s="1"/>
  <c r="AK271" i="15"/>
  <c r="Q276" i="15"/>
  <c r="AK276" i="15" s="1"/>
  <c r="AJ276" i="15" s="1"/>
  <c r="AI276" i="15" s="1"/>
  <c r="AE287" i="15"/>
  <c r="AE286" i="15" s="1"/>
  <c r="AD286" i="15" s="1"/>
  <c r="R165" i="15"/>
  <c r="S169" i="15"/>
  <c r="N158" i="15"/>
  <c r="AB217" i="15"/>
  <c r="AA217" i="15" s="1"/>
  <c r="Q218" i="15"/>
  <c r="Q217" i="15" s="1"/>
  <c r="S258" i="15"/>
  <c r="AJ217" i="15"/>
  <c r="AI217" i="15" s="1"/>
  <c r="R237" i="15"/>
  <c r="R236" i="15" s="1"/>
  <c r="Q251" i="15"/>
  <c r="AO255" i="15"/>
  <c r="AN255" i="15" s="1"/>
  <c r="AN230" i="15" s="1"/>
  <c r="U258" i="15"/>
  <c r="X267" i="15"/>
  <c r="R267" i="15"/>
  <c r="AC276" i="15"/>
  <c r="AB276" i="15" s="1"/>
  <c r="AA276" i="15" s="1"/>
  <c r="R286" i="15"/>
  <c r="AB206" i="15"/>
  <c r="AG206" i="15"/>
  <c r="AH203" i="15"/>
  <c r="AN203" i="15"/>
  <c r="Q245" i="15"/>
  <c r="AC267" i="15"/>
  <c r="AF267" i="15"/>
  <c r="U268" i="15"/>
  <c r="T268" i="15" s="1"/>
  <c r="AI156" i="15"/>
  <c r="AD165" i="15"/>
  <c r="V165" i="15"/>
  <c r="X165" i="15"/>
  <c r="AF165" i="15"/>
  <c r="AF170" i="15"/>
  <c r="R170" i="15"/>
  <c r="AE185" i="15"/>
  <c r="AC185" i="15"/>
  <c r="AC158" i="15" s="1"/>
  <c r="AG185" i="15"/>
  <c r="AA186" i="15"/>
  <c r="V207" i="15"/>
  <c r="V206" i="15" s="1"/>
  <c r="Q211" i="15"/>
  <c r="U211" i="15"/>
  <c r="AA211" i="15"/>
  <c r="Y211" i="15" s="1"/>
  <c r="AE211" i="15"/>
  <c r="AI211" i="15"/>
  <c r="AM211" i="15"/>
  <c r="L236" i="15"/>
  <c r="O236" i="15"/>
  <c r="AD236" i="15"/>
  <c r="Q250" i="15"/>
  <c r="V267" i="15"/>
  <c r="W244" i="15"/>
  <c r="AA267" i="15"/>
  <c r="AO169" i="15"/>
  <c r="AO158" i="15" s="1"/>
  <c r="AN158" i="15" s="1"/>
  <c r="Y250" i="15"/>
  <c r="V251" i="15"/>
  <c r="V250" i="15" s="1"/>
  <c r="AA251" i="15"/>
  <c r="AA250" i="15" s="1"/>
  <c r="V255" i="15"/>
  <c r="U255" i="15" s="1"/>
  <c r="AL255" i="15"/>
  <c r="AK255" i="15" s="1"/>
  <c r="AJ255" i="15" s="1"/>
  <c r="AI255" i="15" s="1"/>
  <c r="AH255" i="15" s="1"/>
  <c r="AG255" i="15" s="1"/>
  <c r="AF256" i="15"/>
  <c r="Q269" i="15"/>
  <c r="AM271" i="15"/>
  <c r="AM169" i="15"/>
  <c r="R185" i="15"/>
  <c r="Q185" i="15" s="1"/>
  <c r="Q267" i="15"/>
  <c r="AM165" i="15"/>
  <c r="AB165" i="15"/>
  <c r="P237" i="15"/>
  <c r="P236" i="15" s="1"/>
  <c r="P153" i="15" s="1"/>
  <c r="X162" i="15"/>
  <c r="AG162" i="15"/>
  <c r="W169" i="15"/>
  <c r="V169" i="15" s="1"/>
  <c r="AG169" i="15"/>
  <c r="AD178" i="15"/>
  <c r="M156" i="15"/>
  <c r="L156" i="15" s="1"/>
  <c r="T259" i="15"/>
  <c r="AE258" i="15"/>
  <c r="AD258" i="15" s="1"/>
  <c r="W258" i="15"/>
  <c r="Y258" i="15"/>
  <c r="R169" i="15"/>
  <c r="AA185" i="15"/>
  <c r="K155" i="15"/>
  <c r="AE244" i="15"/>
  <c r="S245" i="15"/>
  <c r="S156" i="15" s="1"/>
  <c r="U245" i="15"/>
  <c r="Q286" i="15"/>
  <c r="AA286" i="15"/>
  <c r="W156" i="15"/>
  <c r="Y7" i="16"/>
  <c r="Z7" i="16" s="1"/>
  <c r="AA139" i="15"/>
  <c r="R139" i="15"/>
  <c r="Q139" i="15"/>
  <c r="AA138" i="15"/>
  <c r="T138" i="15"/>
  <c r="Q138" i="15"/>
  <c r="AE137" i="15"/>
  <c r="AD137" i="15"/>
  <c r="AC137" i="15"/>
  <c r="AC136" i="15" s="1"/>
  <c r="AC122" i="15" s="1"/>
  <c r="AB137" i="15"/>
  <c r="Y137" i="15"/>
  <c r="X137" i="15"/>
  <c r="W137" i="15"/>
  <c r="W136" i="15" s="1"/>
  <c r="V137" i="15"/>
  <c r="U137" i="15"/>
  <c r="S137" i="15"/>
  <c r="S136" i="15" s="1"/>
  <c r="AO136" i="15"/>
  <c r="AO127" i="15" s="1"/>
  <c r="AN136" i="15"/>
  <c r="AJ136" i="15"/>
  <c r="AJ122" i="15" s="1"/>
  <c r="AI136" i="15"/>
  <c r="AI127" i="15" s="1"/>
  <c r="AH136" i="15"/>
  <c r="AH122" i="15" s="1"/>
  <c r="AG136" i="15"/>
  <c r="AG122" i="15" s="1"/>
  <c r="AF136" i="15"/>
  <c r="AE136" i="15" s="1"/>
  <c r="AE122" i="15" s="1"/>
  <c r="P136" i="15"/>
  <c r="P127" i="15" s="1"/>
  <c r="O136" i="15"/>
  <c r="N136" i="15"/>
  <c r="N127" i="15" s="1"/>
  <c r="M136" i="15"/>
  <c r="L136" i="15"/>
  <c r="L129" i="15"/>
  <c r="L128" i="15"/>
  <c r="J127" i="15"/>
  <c r="L126" i="15"/>
  <c r="K126" i="15"/>
  <c r="AA125" i="15"/>
  <c r="AA124" i="15" s="1"/>
  <c r="T125" i="15"/>
  <c r="R125" i="15"/>
  <c r="Q125" i="15"/>
  <c r="Q124" i="15" s="1"/>
  <c r="AI124" i="15"/>
  <c r="AH124" i="15"/>
  <c r="AG124" i="15"/>
  <c r="AG123" i="15" s="1"/>
  <c r="AF124" i="15"/>
  <c r="AE124" i="15"/>
  <c r="AD124" i="15"/>
  <c r="AC124" i="15"/>
  <c r="AB124" i="15"/>
  <c r="Y124" i="15"/>
  <c r="X124" i="15"/>
  <c r="W124" i="15"/>
  <c r="V124" i="15"/>
  <c r="U124" i="15"/>
  <c r="S124" i="15"/>
  <c r="AO123" i="15"/>
  <c r="AN123" i="15"/>
  <c r="AL123" i="15"/>
  <c r="AJ123" i="15"/>
  <c r="AD123" i="15"/>
  <c r="O123" i="15"/>
  <c r="N123" i="15"/>
  <c r="M123" i="15"/>
  <c r="L123" i="15"/>
  <c r="P122" i="15"/>
  <c r="V121" i="15"/>
  <c r="U121" i="15"/>
  <c r="T121" i="15" s="1"/>
  <c r="AA120" i="15"/>
  <c r="V120" i="15"/>
  <c r="Q120" i="15"/>
  <c r="AD119" i="15"/>
  <c r="AC119" i="15"/>
  <c r="AB119" i="15"/>
  <c r="Y119" i="15"/>
  <c r="X119" i="15"/>
  <c r="W119" i="15"/>
  <c r="S119" i="15"/>
  <c r="S118" i="15" s="1"/>
  <c r="R119" i="15"/>
  <c r="AO118" i="15"/>
  <c r="AN118" i="15"/>
  <c r="AM118" i="15"/>
  <c r="AL118" i="15"/>
  <c r="O118" i="15"/>
  <c r="N118" i="15"/>
  <c r="M118" i="15"/>
  <c r="L118" i="15"/>
  <c r="R116" i="15"/>
  <c r="Q116" i="15"/>
  <c r="AJ115" i="15"/>
  <c r="AI115" i="15"/>
  <c r="AI114" i="15" s="1"/>
  <c r="AH115" i="15"/>
  <c r="AG115" i="15"/>
  <c r="AF115" i="15"/>
  <c r="AE115" i="15"/>
  <c r="AD115" i="15"/>
  <c r="AC115" i="15"/>
  <c r="AB115" i="15"/>
  <c r="AA115" i="15"/>
  <c r="Y115" i="15"/>
  <c r="X115" i="15"/>
  <c r="W115" i="15"/>
  <c r="V115" i="15"/>
  <c r="U115" i="15"/>
  <c r="T115" i="15"/>
  <c r="S115" i="15"/>
  <c r="AO114" i="15"/>
  <c r="AN114" i="15"/>
  <c r="AL114" i="15"/>
  <c r="O114" i="15"/>
  <c r="N114" i="15"/>
  <c r="M114" i="15"/>
  <c r="L114" i="15"/>
  <c r="AA113" i="15"/>
  <c r="R113" i="15"/>
  <c r="Q113" i="15"/>
  <c r="AJ112" i="15"/>
  <c r="AJ111" i="15" s="1"/>
  <c r="AI112" i="15"/>
  <c r="AI111" i="15" s="1"/>
  <c r="AH112" i="15"/>
  <c r="AH111" i="15" s="1"/>
  <c r="AG112" i="15"/>
  <c r="AG111" i="15" s="1"/>
  <c r="AF112" i="15"/>
  <c r="AF111" i="15" s="1"/>
  <c r="AE112" i="15"/>
  <c r="AE111" i="15" s="1"/>
  <c r="AD112" i="15"/>
  <c r="AD111" i="15" s="1"/>
  <c r="AC112" i="15"/>
  <c r="AC111" i="15" s="1"/>
  <c r="AB112" i="15"/>
  <c r="AB111" i="15" s="1"/>
  <c r="AA112" i="15"/>
  <c r="Y112" i="15"/>
  <c r="Y111" i="15" s="1"/>
  <c r="X112" i="15"/>
  <c r="X111" i="15" s="1"/>
  <c r="W112" i="15"/>
  <c r="W111" i="15" s="1"/>
  <c r="V112" i="15"/>
  <c r="V111" i="15" s="1"/>
  <c r="U112" i="15"/>
  <c r="U111" i="15" s="1"/>
  <c r="T112" i="15"/>
  <c r="T111" i="15" s="1"/>
  <c r="S112" i="15"/>
  <c r="Q112" i="15"/>
  <c r="AO111" i="15"/>
  <c r="AN111" i="15"/>
  <c r="AM111" i="15"/>
  <c r="AL111" i="15"/>
  <c r="O111" i="15"/>
  <c r="N111" i="15"/>
  <c r="M111" i="15"/>
  <c r="L111" i="15"/>
  <c r="AF109" i="15"/>
  <c r="AA109" i="15"/>
  <c r="T109" i="15"/>
  <c r="L109" i="15"/>
  <c r="AF108" i="15"/>
  <c r="T108" i="15"/>
  <c r="Q108" i="15"/>
  <c r="L108" i="15"/>
  <c r="AJ107" i="15"/>
  <c r="AI107" i="15"/>
  <c r="AH107" i="15"/>
  <c r="AH106" i="15" s="1"/>
  <c r="AG107" i="15"/>
  <c r="AF107" i="15"/>
  <c r="AE107" i="15"/>
  <c r="AD107" i="15"/>
  <c r="AC107" i="15"/>
  <c r="AC106" i="15" s="1"/>
  <c r="AB107" i="15"/>
  <c r="Y107" i="15"/>
  <c r="W107" i="15"/>
  <c r="V107" i="15"/>
  <c r="U107" i="15"/>
  <c r="S107" i="15"/>
  <c r="AO106" i="15"/>
  <c r="AN106" i="15"/>
  <c r="AL106" i="15"/>
  <c r="X106" i="15"/>
  <c r="R106" i="15"/>
  <c r="O106" i="15"/>
  <c r="N106" i="15"/>
  <c r="M106" i="15"/>
  <c r="L106" i="15"/>
  <c r="AF104" i="15"/>
  <c r="Q104" i="15"/>
  <c r="AF103" i="15"/>
  <c r="AA103" i="15"/>
  <c r="R103" i="15"/>
  <c r="Q103" i="15"/>
  <c r="AF102" i="15"/>
  <c r="Q102" i="15"/>
  <c r="AJ101" i="15"/>
  <c r="AJ100" i="15" s="1"/>
  <c r="AI101" i="15"/>
  <c r="AI100" i="15" s="1"/>
  <c r="AH101" i="15"/>
  <c r="AG101" i="15"/>
  <c r="AG100" i="15" s="1"/>
  <c r="AF101" i="15"/>
  <c r="AF100" i="15" s="1"/>
  <c r="AE101" i="15"/>
  <c r="AE100" i="15" s="1"/>
  <c r="AD101" i="15"/>
  <c r="AD100" i="15" s="1"/>
  <c r="AC101" i="15"/>
  <c r="AC100" i="15" s="1"/>
  <c r="AB101" i="15"/>
  <c r="AB100" i="15" s="1"/>
  <c r="AA101" i="15"/>
  <c r="AA100" i="15" s="1"/>
  <c r="Y101" i="15"/>
  <c r="Y100" i="15" s="1"/>
  <c r="W101" i="15"/>
  <c r="V101" i="15"/>
  <c r="U101" i="15"/>
  <c r="T101" i="15"/>
  <c r="S101" i="15"/>
  <c r="R101" i="15"/>
  <c r="Q101" i="15"/>
  <c r="P101" i="15"/>
  <c r="AO100" i="15"/>
  <c r="AN100" i="15"/>
  <c r="AL100" i="15"/>
  <c r="AH100" i="15"/>
  <c r="X100" i="15"/>
  <c r="O100" i="15"/>
  <c r="N100" i="15"/>
  <c r="M100" i="15"/>
  <c r="L100" i="15"/>
  <c r="AF99" i="15"/>
  <c r="AF98" i="15" s="1"/>
  <c r="AF97" i="15" s="1"/>
  <c r="Q99" i="15"/>
  <c r="AJ98" i="15"/>
  <c r="AJ97" i="15" s="1"/>
  <c r="AI98" i="15"/>
  <c r="AH98" i="15"/>
  <c r="AH97" i="15" s="1"/>
  <c r="AG98" i="15"/>
  <c r="AE98" i="15"/>
  <c r="AD98" i="15"/>
  <c r="AD97" i="15" s="1"/>
  <c r="AC98" i="15"/>
  <c r="AB98" i="15"/>
  <c r="AA98" i="15"/>
  <c r="Y98" i="15"/>
  <c r="Y97" i="15" s="1"/>
  <c r="X98" i="15"/>
  <c r="W98" i="15"/>
  <c r="V98" i="15"/>
  <c r="U98" i="15"/>
  <c r="U97" i="15" s="1"/>
  <c r="T98" i="15"/>
  <c r="S98" i="15"/>
  <c r="R98" i="15"/>
  <c r="AO97" i="15"/>
  <c r="AN97" i="15"/>
  <c r="AL97" i="15"/>
  <c r="P97" i="15"/>
  <c r="O97" i="15"/>
  <c r="N97" i="15"/>
  <c r="M97" i="15"/>
  <c r="L97" i="15"/>
  <c r="AA96" i="15"/>
  <c r="U96" i="15"/>
  <c r="Q96" i="15" s="1"/>
  <c r="AD95" i="15"/>
  <c r="AC95" i="15"/>
  <c r="AB95" i="15"/>
  <c r="AA95" i="15" s="1"/>
  <c r="Y95" i="15"/>
  <c r="X95" i="15"/>
  <c r="W95" i="15"/>
  <c r="V95" i="15"/>
  <c r="V94" i="15" s="1"/>
  <c r="T95" i="15"/>
  <c r="S95" i="15"/>
  <c r="R95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 s="1"/>
  <c r="O94" i="15"/>
  <c r="N94" i="15"/>
  <c r="M94" i="15"/>
  <c r="L94" i="15"/>
  <c r="AA93" i="15"/>
  <c r="U93" i="15"/>
  <c r="Q93" i="15" s="1"/>
  <c r="AE92" i="15"/>
  <c r="AE91" i="15" s="1"/>
  <c r="AD92" i="15"/>
  <c r="AC92" i="15"/>
  <c r="AB92" i="15"/>
  <c r="Y92" i="15"/>
  <c r="X92" i="15"/>
  <c r="W92" i="15"/>
  <c r="V92" i="15"/>
  <c r="T92" i="15"/>
  <c r="S92" i="15"/>
  <c r="R92" i="15"/>
  <c r="AO91" i="15"/>
  <c r="AN91" i="15"/>
  <c r="AM91" i="15"/>
  <c r="AL91" i="15"/>
  <c r="AK91" i="15"/>
  <c r="AJ91" i="15"/>
  <c r="AI91" i="15"/>
  <c r="AH91" i="15"/>
  <c r="AG91" i="15"/>
  <c r="AF91" i="15"/>
  <c r="O91" i="15"/>
  <c r="N91" i="15"/>
  <c r="M91" i="15"/>
  <c r="L91" i="15"/>
  <c r="AK90" i="15"/>
  <c r="L90" i="15"/>
  <c r="P84" i="15"/>
  <c r="J89" i="15"/>
  <c r="AF88" i="15"/>
  <c r="AF85" i="15" s="1"/>
  <c r="AA88" i="15"/>
  <c r="R88" i="15"/>
  <c r="Q88" i="15"/>
  <c r="T87" i="15"/>
  <c r="Q87" i="15"/>
  <c r="AA86" i="15"/>
  <c r="T86" i="15"/>
  <c r="Q86" i="15"/>
  <c r="AK85" i="15"/>
  <c r="AJ85" i="15"/>
  <c r="AI85" i="15"/>
  <c r="AH85" i="15"/>
  <c r="AH84" i="15" s="1"/>
  <c r="AG85" i="15"/>
  <c r="AE85" i="15"/>
  <c r="AD85" i="15"/>
  <c r="AC85" i="15"/>
  <c r="AB85" i="15"/>
  <c r="Y85" i="15"/>
  <c r="Y84" i="15" s="1"/>
  <c r="X85" i="15"/>
  <c r="W85" i="15"/>
  <c r="V85" i="15"/>
  <c r="U85" i="15"/>
  <c r="U84" i="15" s="1"/>
  <c r="S85" i="15"/>
  <c r="R85" i="15" s="1"/>
  <c r="J85" i="15"/>
  <c r="AO84" i="15"/>
  <c r="AN84" i="15"/>
  <c r="AN77" i="15" s="1"/>
  <c r="O84" i="15"/>
  <c r="N84" i="15"/>
  <c r="M84" i="15"/>
  <c r="L84" i="15"/>
  <c r="J84" i="15" s="1"/>
  <c r="AF82" i="15"/>
  <c r="AF81" i="15" s="1"/>
  <c r="AF80" i="15" s="1"/>
  <c r="AA82" i="15"/>
  <c r="X82" i="15"/>
  <c r="V82" i="15"/>
  <c r="R82" i="15"/>
  <c r="Q82" i="15"/>
  <c r="P82" i="15" s="1"/>
  <c r="AJ81" i="15"/>
  <c r="AJ80" i="15" s="1"/>
  <c r="AI81" i="15"/>
  <c r="AH81" i="15"/>
  <c r="AH80" i="15" s="1"/>
  <c r="AG81" i="15"/>
  <c r="AG80" i="15" s="1"/>
  <c r="AE81" i="15"/>
  <c r="AE80" i="15" s="1"/>
  <c r="AD81" i="15"/>
  <c r="AD80" i="15" s="1"/>
  <c r="AC81" i="15"/>
  <c r="AC80" i="15" s="1"/>
  <c r="AB81" i="15"/>
  <c r="AB80" i="15" s="1"/>
  <c r="AA81" i="15"/>
  <c r="AA80" i="15" s="1"/>
  <c r="Y81" i="15"/>
  <c r="W81" i="15"/>
  <c r="U81" i="15"/>
  <c r="U80" i="15" s="1"/>
  <c r="T81" i="15"/>
  <c r="T80" i="15" s="1"/>
  <c r="S81" i="15"/>
  <c r="AL80" i="15"/>
  <c r="AI80" i="15"/>
  <c r="O80" i="15"/>
  <c r="N80" i="15"/>
  <c r="M80" i="15"/>
  <c r="L80" i="15"/>
  <c r="J80" i="15" s="1"/>
  <c r="L79" i="15"/>
  <c r="J79" i="15" s="1"/>
  <c r="L78" i="15"/>
  <c r="K77" i="15"/>
  <c r="L76" i="15"/>
  <c r="L72" i="15" s="1"/>
  <c r="AF70" i="15"/>
  <c r="AA70" i="15"/>
  <c r="AA68" i="15" s="1"/>
  <c r="R70" i="15"/>
  <c r="Q70" i="15"/>
  <c r="Q68" i="15" s="1"/>
  <c r="AG69" i="15"/>
  <c r="AF69" i="15" s="1"/>
  <c r="AB69" i="15"/>
  <c r="Y69" i="15"/>
  <c r="W69" i="15"/>
  <c r="W68" i="15" s="1"/>
  <c r="V69" i="15"/>
  <c r="U69" i="15"/>
  <c r="U68" i="15" s="1"/>
  <c r="T69" i="15"/>
  <c r="S69" i="15"/>
  <c r="S68" i="15" s="1"/>
  <c r="AO68" i="15"/>
  <c r="AN68" i="15"/>
  <c r="AJ68" i="15"/>
  <c r="AJ65" i="15" s="1"/>
  <c r="AI68" i="15"/>
  <c r="AH68" i="15"/>
  <c r="AG68" i="15" s="1"/>
  <c r="AF68" i="15" s="1"/>
  <c r="AE68" i="15"/>
  <c r="AE65" i="15" s="1"/>
  <c r="AD68" i="15"/>
  <c r="AC68" i="15"/>
  <c r="P68" i="15"/>
  <c r="O68" i="15"/>
  <c r="N68" i="15"/>
  <c r="M68" i="15"/>
  <c r="L68" i="15"/>
  <c r="L65" i="15" s="1"/>
  <c r="L67" i="15"/>
  <c r="L66" i="15"/>
  <c r="K65" i="15"/>
  <c r="J65" i="15"/>
  <c r="J61" i="15"/>
  <c r="AA60" i="15"/>
  <c r="V60" i="15"/>
  <c r="Q60" i="15"/>
  <c r="AD59" i="15"/>
  <c r="AD58" i="15" s="1"/>
  <c r="AC59" i="15"/>
  <c r="AB59" i="15"/>
  <c r="AB58" i="15" s="1"/>
  <c r="Y59" i="15"/>
  <c r="Y58" i="15" s="1"/>
  <c r="X59" i="15"/>
  <c r="W59" i="15"/>
  <c r="U59" i="15"/>
  <c r="U58" i="15" s="1"/>
  <c r="T59" i="15"/>
  <c r="S59" i="15"/>
  <c r="S58" i="15" s="1"/>
  <c r="R59" i="15"/>
  <c r="J59" i="15"/>
  <c r="AO58" i="15"/>
  <c r="AN58" i="15"/>
  <c r="AJ58" i="15"/>
  <c r="AI58" i="15"/>
  <c r="AH58" i="15"/>
  <c r="AG58" i="15"/>
  <c r="AF58" i="15"/>
  <c r="AE58" i="15"/>
  <c r="P58" i="15"/>
  <c r="O58" i="15"/>
  <c r="N58" i="15"/>
  <c r="M58" i="15"/>
  <c r="L58" i="15"/>
  <c r="J58" i="15" s="1"/>
  <c r="L57" i="15"/>
  <c r="J57" i="15" s="1"/>
  <c r="L56" i="15"/>
  <c r="J56" i="15" s="1"/>
  <c r="AO55" i="15"/>
  <c r="AN55" i="15"/>
  <c r="AI55" i="15"/>
  <c r="AH55" i="15"/>
  <c r="AG55" i="15"/>
  <c r="AF55" i="15"/>
  <c r="AE55" i="15"/>
  <c r="AD55" i="15"/>
  <c r="AC55" i="15"/>
  <c r="AB55" i="15"/>
  <c r="AA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J54" i="15"/>
  <c r="J53" i="15"/>
  <c r="AM52" i="15"/>
  <c r="AJ51" i="15"/>
  <c r="AI51" i="15"/>
  <c r="AH51" i="15"/>
  <c r="AG51" i="15"/>
  <c r="AA49" i="15"/>
  <c r="Q49" i="15"/>
  <c r="AC48" i="15"/>
  <c r="AB48" i="15"/>
  <c r="T47" i="15"/>
  <c r="T44" i="15" s="1"/>
  <c r="S47" i="15"/>
  <c r="R47" i="15"/>
  <c r="R45" i="15" s="1"/>
  <c r="P47" i="15"/>
  <c r="O47" i="15"/>
  <c r="O45" i="15" s="1"/>
  <c r="N47" i="15"/>
  <c r="M47" i="15"/>
  <c r="M45" i="15" s="1"/>
  <c r="L47" i="15"/>
  <c r="AO45" i="15"/>
  <c r="AN45" i="15"/>
  <c r="AM45" i="15"/>
  <c r="AJ45" i="15"/>
  <c r="AI45" i="15"/>
  <c r="AH45" i="15"/>
  <c r="AG45" i="15"/>
  <c r="AF45" i="15"/>
  <c r="AE45" i="15"/>
  <c r="AD45" i="15"/>
  <c r="K45" i="15"/>
  <c r="J45" i="15"/>
  <c r="N44" i="15"/>
  <c r="AA38" i="15"/>
  <c r="Q38" i="15"/>
  <c r="AE37" i="15"/>
  <c r="Y37" i="15"/>
  <c r="X37" i="15"/>
  <c r="L37" i="15"/>
  <c r="AO36" i="15"/>
  <c r="AN36" i="15"/>
  <c r="AJ36" i="15"/>
  <c r="AI36" i="15"/>
  <c r="AH36" i="15"/>
  <c r="AG36" i="15"/>
  <c r="AF36" i="15"/>
  <c r="AD36" i="15"/>
  <c r="AC36" i="15"/>
  <c r="AB36" i="15"/>
  <c r="X36" i="15"/>
  <c r="W36" i="15"/>
  <c r="V36" i="15"/>
  <c r="U36" i="15"/>
  <c r="T36" i="15"/>
  <c r="S36" i="15"/>
  <c r="R36" i="15"/>
  <c r="P36" i="15"/>
  <c r="O36" i="15"/>
  <c r="N36" i="15"/>
  <c r="M36" i="15"/>
  <c r="AO33" i="15"/>
  <c r="AN33" i="15"/>
  <c r="AM33" i="15"/>
  <c r="AJ33" i="15"/>
  <c r="AI33" i="15"/>
  <c r="AH33" i="15"/>
  <c r="AG33" i="15"/>
  <c r="AF33" i="15"/>
  <c r="AE33" i="15"/>
  <c r="AD33" i="15"/>
  <c r="AC33" i="15"/>
  <c r="AB33" i="15"/>
  <c r="AA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J33" i="15" s="1"/>
  <c r="AG32" i="15" s="1"/>
  <c r="AF32" i="15" s="1"/>
  <c r="Q32" i="15"/>
  <c r="P32" i="15" s="1"/>
  <c r="U31" i="15"/>
  <c r="T31" i="15" s="1"/>
  <c r="AJ30" i="15"/>
  <c r="AI30" i="15"/>
  <c r="AH30" i="15"/>
  <c r="AE30" i="15"/>
  <c r="AD30" i="15"/>
  <c r="AC30" i="15"/>
  <c r="AB30" i="15"/>
  <c r="AA30" i="15"/>
  <c r="Y30" i="15"/>
  <c r="W30" i="15"/>
  <c r="V30" i="15"/>
  <c r="S30" i="15"/>
  <c r="R30" i="15"/>
  <c r="N30" i="15"/>
  <c r="L30" i="15"/>
  <c r="AF29" i="15"/>
  <c r="AA29" i="15"/>
  <c r="R29" i="15"/>
  <c r="P29" i="15"/>
  <c r="AJ28" i="15"/>
  <c r="AI28" i="15"/>
  <c r="AH28" i="15"/>
  <c r="AG28" i="15"/>
  <c r="AE28" i="15"/>
  <c r="AD28" i="15"/>
  <c r="AC28" i="15"/>
  <c r="AB28" i="15"/>
  <c r="Y28" i="15"/>
  <c r="W28" i="15"/>
  <c r="V28" i="15"/>
  <c r="U28" i="15"/>
  <c r="T28" i="15"/>
  <c r="S28" i="15"/>
  <c r="AB244" i="15" l="1"/>
  <c r="AF122" i="15"/>
  <c r="AN244" i="15"/>
  <c r="AM244" i="15" s="1"/>
  <c r="AC94" i="15"/>
  <c r="R244" i="15"/>
  <c r="S158" i="15"/>
  <c r="AB156" i="15"/>
  <c r="AO52" i="15"/>
  <c r="AO12" i="15" s="1"/>
  <c r="R81" i="15"/>
  <c r="Q98" i="15"/>
  <c r="U95" i="15"/>
  <c r="AF169" i="15"/>
  <c r="AE169" i="15" s="1"/>
  <c r="AD169" i="15" s="1"/>
  <c r="AD158" i="15" s="1"/>
  <c r="X81" i="15"/>
  <c r="T124" i="15"/>
  <c r="AL271" i="15"/>
  <c r="AE36" i="15"/>
  <c r="AE15" i="15" s="1"/>
  <c r="Q81" i="15"/>
  <c r="AB94" i="15"/>
  <c r="Y94" i="15" s="1"/>
  <c r="X94" i="15" s="1"/>
  <c r="W94" i="15" s="1"/>
  <c r="S244" i="15"/>
  <c r="AC156" i="15"/>
  <c r="Y156" i="15"/>
  <c r="T137" i="15"/>
  <c r="AC244" i="15"/>
  <c r="AI203" i="15"/>
  <c r="AD244" i="15"/>
  <c r="U156" i="15"/>
  <c r="V156" i="15"/>
  <c r="AB158" i="15"/>
  <c r="V244" i="15"/>
  <c r="AM162" i="15"/>
  <c r="AM158" i="15" s="1"/>
  <c r="AA244" i="15"/>
  <c r="V59" i="15"/>
  <c r="T158" i="15"/>
  <c r="P44" i="15"/>
  <c r="AA92" i="15"/>
  <c r="T97" i="15"/>
  <c r="X97" i="15"/>
  <c r="AK165" i="15"/>
  <c r="AL165" i="15" s="1"/>
  <c r="L77" i="15"/>
  <c r="V119" i="15"/>
  <c r="J78" i="15"/>
  <c r="L74" i="15"/>
  <c r="T68" i="15"/>
  <c r="V68" i="15"/>
  <c r="Y68" i="15"/>
  <c r="AI65" i="15"/>
  <c r="AG106" i="15"/>
  <c r="Q255" i="15"/>
  <c r="Q244" i="15" s="1"/>
  <c r="AG84" i="15"/>
  <c r="AC97" i="15"/>
  <c r="AK111" i="15"/>
  <c r="R158" i="15"/>
  <c r="AO65" i="15"/>
  <c r="P65" i="15"/>
  <c r="X65" i="15"/>
  <c r="N52" i="15"/>
  <c r="AE52" i="15"/>
  <c r="AG52" i="15"/>
  <c r="AI52" i="15"/>
  <c r="AH52" i="15" s="1"/>
  <c r="AH65" i="15"/>
  <c r="AG65" i="15" s="1"/>
  <c r="AF65" i="15" s="1"/>
  <c r="W97" i="15"/>
  <c r="AD65" i="15"/>
  <c r="AG97" i="15"/>
  <c r="AE97" i="15"/>
  <c r="W106" i="15"/>
  <c r="V106" i="15" s="1"/>
  <c r="R124" i="15"/>
  <c r="AA137" i="15"/>
  <c r="AA136" i="15" s="1"/>
  <c r="Y136" i="15" s="1"/>
  <c r="AA28" i="15"/>
  <c r="AA37" i="15"/>
  <c r="AA36" i="15" s="1"/>
  <c r="Y36" i="15" s="1"/>
  <c r="AK55" i="15"/>
  <c r="AL55" i="15" s="1"/>
  <c r="AF52" i="15"/>
  <c r="R58" i="15"/>
  <c r="M77" i="15"/>
  <c r="AI97" i="15"/>
  <c r="R112" i="15"/>
  <c r="R115" i="15"/>
  <c r="R114" i="15" s="1"/>
  <c r="AE127" i="15"/>
  <c r="U267" i="15"/>
  <c r="T267" i="15" s="1"/>
  <c r="T244" i="15" s="1"/>
  <c r="R69" i="15"/>
  <c r="V81" i="15"/>
  <c r="AF106" i="15"/>
  <c r="AE106" i="15" s="1"/>
  <c r="AD106" i="15" s="1"/>
  <c r="AL276" i="15"/>
  <c r="Q158" i="15"/>
  <c r="P158" i="15" s="1"/>
  <c r="AO244" i="15"/>
  <c r="L52" i="15"/>
  <c r="J52" i="15" s="1"/>
  <c r="AN52" i="15"/>
  <c r="AA52" i="15"/>
  <c r="O77" i="15"/>
  <c r="V97" i="15"/>
  <c r="U106" i="15"/>
  <c r="AK162" i="15"/>
  <c r="AL162" i="15" s="1"/>
  <c r="AO230" i="15"/>
  <c r="AO155" i="15" s="1"/>
  <c r="AN155" i="15" s="1"/>
  <c r="U206" i="15"/>
  <c r="V203" i="15"/>
  <c r="AF206" i="15"/>
  <c r="AF203" i="15" s="1"/>
  <c r="AE203" i="15" s="1"/>
  <c r="AD203" i="15" s="1"/>
  <c r="AG203" i="15"/>
  <c r="AK33" i="15"/>
  <c r="M44" i="15"/>
  <c r="L44" i="15" s="1"/>
  <c r="O44" i="15"/>
  <c r="W58" i="15"/>
  <c r="O65" i="15"/>
  <c r="N65" i="15" s="1"/>
  <c r="M65" i="15" s="1"/>
  <c r="AN65" i="15"/>
  <c r="W80" i="15"/>
  <c r="Q114" i="15"/>
  <c r="P114" i="15" s="1"/>
  <c r="AK114" i="15" s="1"/>
  <c r="AJ114" i="15" s="1"/>
  <c r="AN127" i="15"/>
  <c r="AI122" i="15"/>
  <c r="AA206" i="15"/>
  <c r="Y206" i="15" s="1"/>
  <c r="Y153" i="15" s="1"/>
  <c r="AB203" i="15"/>
  <c r="AF84" i="15"/>
  <c r="AE84" i="15" s="1"/>
  <c r="AD84" i="15" s="1"/>
  <c r="AC84" i="15" s="1"/>
  <c r="AB84" i="15" s="1"/>
  <c r="AG77" i="15"/>
  <c r="AH77" i="15"/>
  <c r="AF255" i="15"/>
  <c r="AG244" i="15"/>
  <c r="AG230" i="15"/>
  <c r="X250" i="15"/>
  <c r="Y244" i="15"/>
  <c r="M52" i="15"/>
  <c r="AC65" i="15"/>
  <c r="S97" i="15"/>
  <c r="R97" i="15" s="1"/>
  <c r="Q97" i="15" s="1"/>
  <c r="AK97" i="15" s="1"/>
  <c r="AB97" i="15"/>
  <c r="AA97" i="15" s="1"/>
  <c r="U30" i="15"/>
  <c r="T30" i="15" s="1"/>
  <c r="AG31" i="15"/>
  <c r="AF31" i="15" s="1"/>
  <c r="S44" i="15"/>
  <c r="R44" i="15" s="1"/>
  <c r="N45" i="15"/>
  <c r="Q58" i="15"/>
  <c r="X58" i="15"/>
  <c r="AC58" i="15"/>
  <c r="N77" i="15"/>
  <c r="S80" i="15"/>
  <c r="R80" i="15" s="1"/>
  <c r="Y80" i="15"/>
  <c r="T85" i="15"/>
  <c r="T84" i="15" s="1"/>
  <c r="S84" i="15" s="1"/>
  <c r="R84" i="15" s="1"/>
  <c r="Q84" i="15" s="1"/>
  <c r="X84" i="15"/>
  <c r="W84" i="15" s="1"/>
  <c r="AL90" i="15"/>
  <c r="Q92" i="15"/>
  <c r="AA107" i="15"/>
  <c r="AH114" i="15"/>
  <c r="AG114" i="15" s="1"/>
  <c r="AF114" i="15" s="1"/>
  <c r="AE114" i="15" s="1"/>
  <c r="AD114" i="15" s="1"/>
  <c r="AC114" i="15" s="1"/>
  <c r="AB114" i="15" s="1"/>
  <c r="AA114" i="15" s="1"/>
  <c r="Y114" i="15" s="1"/>
  <c r="X114" i="15" s="1"/>
  <c r="W114" i="15" s="1"/>
  <c r="V114" i="15" s="1"/>
  <c r="U114" i="15" s="1"/>
  <c r="T114" i="15" s="1"/>
  <c r="S114" i="15" s="1"/>
  <c r="R118" i="15"/>
  <c r="AC123" i="15"/>
  <c r="AB123" i="15" s="1"/>
  <c r="AA123" i="15" s="1"/>
  <c r="Y123" i="15" s="1"/>
  <c r="X123" i="15" s="1"/>
  <c r="W123" i="15" s="1"/>
  <c r="V123" i="15" s="1"/>
  <c r="U123" i="15" s="1"/>
  <c r="T123" i="15" s="1"/>
  <c r="S123" i="15" s="1"/>
  <c r="R123" i="15" s="1"/>
  <c r="AM123" i="15" s="1"/>
  <c r="AI123" i="15"/>
  <c r="AH123" i="15" s="1"/>
  <c r="O127" i="15"/>
  <c r="AH127" i="15"/>
  <c r="AB136" i="15"/>
  <c r="AC52" i="15"/>
  <c r="AB52" i="15" s="1"/>
  <c r="AJ84" i="15"/>
  <c r="AI84" i="15" s="1"/>
  <c r="AI77" i="15" s="1"/>
  <c r="V84" i="15"/>
  <c r="V136" i="15"/>
  <c r="W122" i="15"/>
  <c r="AK236" i="15"/>
  <c r="AL236" i="15" s="1"/>
  <c r="P230" i="15"/>
  <c r="T258" i="15"/>
  <c r="W162" i="15"/>
  <c r="X158" i="15"/>
  <c r="Y52" i="15"/>
  <c r="AD52" i="15"/>
  <c r="AA158" i="15"/>
  <c r="Y158" i="15" s="1"/>
  <c r="W230" i="15"/>
  <c r="AJ162" i="15"/>
  <c r="AF162" i="15"/>
  <c r="AG158" i="15"/>
  <c r="Q230" i="15"/>
  <c r="AM236" i="15"/>
  <c r="AL33" i="15"/>
  <c r="R28" i="15"/>
  <c r="AF28" i="15"/>
  <c r="Q30" i="15"/>
  <c r="Q17" i="15" s="1"/>
  <c r="L36" i="15"/>
  <c r="Q37" i="15"/>
  <c r="Q36" i="15" s="1"/>
  <c r="S45" i="15"/>
  <c r="P52" i="15"/>
  <c r="O52" i="15" s="1"/>
  <c r="L55" i="15"/>
  <c r="J55" i="15" s="1"/>
  <c r="T58" i="15"/>
  <c r="Q65" i="15"/>
  <c r="AB68" i="15"/>
  <c r="AB65" i="15" s="1"/>
  <c r="AA65" i="15" s="1"/>
  <c r="Y65" i="15" s="1"/>
  <c r="J77" i="15"/>
  <c r="AO77" i="15"/>
  <c r="AA84" i="15"/>
  <c r="AD91" i="15"/>
  <c r="AC91" i="15" s="1"/>
  <c r="AB91" i="15" s="1"/>
  <c r="Y91" i="15" s="1"/>
  <c r="X91" i="15" s="1"/>
  <c r="W91" i="15" s="1"/>
  <c r="V91" i="15" s="1"/>
  <c r="U92" i="15"/>
  <c r="U94" i="15"/>
  <c r="T94" i="15" s="1"/>
  <c r="S94" i="15" s="1"/>
  <c r="R94" i="15" s="1"/>
  <c r="Q95" i="15"/>
  <c r="W100" i="15"/>
  <c r="V100" i="15" s="1"/>
  <c r="U100" i="15" s="1"/>
  <c r="T100" i="15" s="1"/>
  <c r="S100" i="15" s="1"/>
  <c r="R100" i="15" s="1"/>
  <c r="Q100" i="15" s="1"/>
  <c r="P100" i="15" s="1"/>
  <c r="AM106" i="15"/>
  <c r="AB106" i="15"/>
  <c r="AA106" i="15" s="1"/>
  <c r="Y106" i="15" s="1"/>
  <c r="T107" i="15"/>
  <c r="T106" i="15" s="1"/>
  <c r="S106" i="15" s="1"/>
  <c r="S111" i="15"/>
  <c r="U119" i="15"/>
  <c r="T119" i="15" s="1"/>
  <c r="Q121" i="15"/>
  <c r="Q118" i="15" s="1"/>
  <c r="P118" i="15" s="1"/>
  <c r="AK118" i="15" s="1"/>
  <c r="AJ118" i="15" s="1"/>
  <c r="AI118" i="15" s="1"/>
  <c r="AH118" i="15" s="1"/>
  <c r="AG118" i="15" s="1"/>
  <c r="AF118" i="15" s="1"/>
  <c r="AE118" i="15" s="1"/>
  <c r="AF123" i="15"/>
  <c r="AE123" i="15" s="1"/>
  <c r="M127" i="15"/>
  <c r="L127" i="15" s="1"/>
  <c r="AD136" i="15"/>
  <c r="R137" i="15"/>
  <c r="R136" i="15" s="1"/>
  <c r="Q136" i="15" s="1"/>
  <c r="Q47" i="15"/>
  <c r="Q156" i="15"/>
  <c r="Q28" i="15"/>
  <c r="J28" i="15"/>
  <c r="J18" i="15" s="1"/>
  <c r="J14" i="15" s="1"/>
  <c r="AF27" i="15"/>
  <c r="AA27" i="15"/>
  <c r="R27" i="15"/>
  <c r="P27" i="15" s="1"/>
  <c r="Q27" i="15"/>
  <c r="AF26" i="15"/>
  <c r="AA26" i="15"/>
  <c r="Q26" i="15"/>
  <c r="AF25" i="15"/>
  <c r="AA25" i="15"/>
  <c r="Q25" i="15"/>
  <c r="AF24" i="15"/>
  <c r="AA24" i="15"/>
  <c r="Q24" i="15"/>
  <c r="P24" i="15"/>
  <c r="AF23" i="15"/>
  <c r="AA23" i="15"/>
  <c r="T23" i="15"/>
  <c r="R23" i="15"/>
  <c r="AF22" i="15"/>
  <c r="AA22" i="15"/>
  <c r="R22" i="15"/>
  <c r="P22" i="15"/>
  <c r="AF21" i="15"/>
  <c r="R21" i="15"/>
  <c r="AJ20" i="15"/>
  <c r="AJ19" i="15" s="1"/>
  <c r="AI20" i="15"/>
  <c r="AI15" i="15" s="1"/>
  <c r="AH20" i="15"/>
  <c r="AH19" i="15" s="1"/>
  <c r="AG20" i="15"/>
  <c r="AG15" i="15" s="1"/>
  <c r="AE20" i="15"/>
  <c r="AD20" i="15"/>
  <c r="AD15" i="15" s="1"/>
  <c r="AC20" i="15"/>
  <c r="AC19" i="15" s="1"/>
  <c r="AB20" i="15"/>
  <c r="AB15" i="15" s="1"/>
  <c r="Y20" i="15"/>
  <c r="X20" i="15"/>
  <c r="X19" i="15" s="1"/>
  <c r="W20" i="15"/>
  <c r="W19" i="15" s="1"/>
  <c r="V20" i="15"/>
  <c r="V15" i="15" s="1"/>
  <c r="V11" i="15" s="1"/>
  <c r="U20" i="15"/>
  <c r="U19" i="15" s="1"/>
  <c r="S20" i="15"/>
  <c r="S15" i="15" s="1"/>
  <c r="K20" i="15"/>
  <c r="K15" i="15" s="1"/>
  <c r="AO19" i="15"/>
  <c r="AN19" i="15"/>
  <c r="Y19" i="15"/>
  <c r="P19" i="15"/>
  <c r="O19" i="15"/>
  <c r="N19" i="15"/>
  <c r="M19" i="15"/>
  <c r="L19" i="15"/>
  <c r="AO18" i="15"/>
  <c r="AO14" i="15" s="1"/>
  <c r="AO9" i="15" s="1"/>
  <c r="AN18" i="15"/>
  <c r="AM18" i="15"/>
  <c r="AL18" i="15"/>
  <c r="AK18" i="15"/>
  <c r="AJ18" i="15" s="1"/>
  <c r="AI18" i="15"/>
  <c r="AH18" i="15" s="1"/>
  <c r="AG18" i="15"/>
  <c r="AF18" i="15"/>
  <c r="AE18" i="15" s="1"/>
  <c r="AD18" i="15"/>
  <c r="AC18" i="15" s="1"/>
  <c r="AB18" i="15"/>
  <c r="Y18" i="15"/>
  <c r="X18" i="15"/>
  <c r="W18" i="15"/>
  <c r="V18" i="15"/>
  <c r="V14" i="15" s="1"/>
  <c r="U18" i="15"/>
  <c r="T18" i="15"/>
  <c r="S18" i="15"/>
  <c r="P18" i="15"/>
  <c r="P14" i="15" s="1"/>
  <c r="O18" i="15"/>
  <c r="N18" i="15"/>
  <c r="N14" i="15" s="1"/>
  <c r="N9" i="15" s="1"/>
  <c r="M18" i="15"/>
  <c r="L18" i="15"/>
  <c r="L14" i="15" s="1"/>
  <c r="K18" i="15"/>
  <c r="AJ17" i="15"/>
  <c r="AI17" i="15"/>
  <c r="AI13" i="15" s="1"/>
  <c r="AI8" i="15" s="1"/>
  <c r="AH17" i="15"/>
  <c r="AE17" i="15"/>
  <c r="AD17" i="15"/>
  <c r="AC17" i="15"/>
  <c r="AB17" i="15"/>
  <c r="AA17" i="15"/>
  <c r="Y17" i="15"/>
  <c r="X17" i="15"/>
  <c r="W17" i="15" s="1"/>
  <c r="V17" i="15"/>
  <c r="U17" i="15" s="1"/>
  <c r="T17" i="15"/>
  <c r="S17" i="15"/>
  <c r="R17" i="15" s="1"/>
  <c r="R13" i="15" s="1"/>
  <c r="P17" i="15"/>
  <c r="O17" i="15"/>
  <c r="N17" i="15"/>
  <c r="M17" i="15"/>
  <c r="AO15" i="15"/>
  <c r="AO11" i="15" s="1"/>
  <c r="AN15" i="15"/>
  <c r="AC15" i="15"/>
  <c r="U15" i="15"/>
  <c r="P15" i="15"/>
  <c r="O15" i="15"/>
  <c r="N15" i="15"/>
  <c r="M15" i="15"/>
  <c r="L15" i="15"/>
  <c r="AO13" i="15"/>
  <c r="AN13" i="15"/>
  <c r="AM13" i="15"/>
  <c r="K13" i="15"/>
  <c r="K8" i="15" s="1"/>
  <c r="J13" i="15"/>
  <c r="K12" i="15"/>
  <c r="N13" i="15" l="1"/>
  <c r="AJ77" i="15"/>
  <c r="AH12" i="15"/>
  <c r="O12" i="15"/>
  <c r="AA18" i="15"/>
  <c r="X80" i="15"/>
  <c r="V80" i="15"/>
  <c r="AH15" i="15"/>
  <c r="AI12" i="15"/>
  <c r="AB14" i="15"/>
  <c r="W15" i="15"/>
  <c r="AJ15" i="15"/>
  <c r="P10" i="15"/>
  <c r="AK158" i="15"/>
  <c r="U153" i="15"/>
  <c r="AN11" i="15"/>
  <c r="K14" i="15"/>
  <c r="K9" i="15" s="1"/>
  <c r="Q20" i="15"/>
  <c r="AA20" i="15"/>
  <c r="AA15" i="15" s="1"/>
  <c r="Q80" i="15"/>
  <c r="AM80" i="15" s="1"/>
  <c r="AA153" i="15"/>
  <c r="AA203" i="15"/>
  <c r="O14" i="15"/>
  <c r="O9" i="15" s="1"/>
  <c r="AL158" i="15"/>
  <c r="Q19" i="15"/>
  <c r="Q10" i="15" s="1"/>
  <c r="X244" i="15"/>
  <c r="AO7" i="15"/>
  <c r="AN14" i="15"/>
  <c r="AM14" i="15" s="1"/>
  <c r="AL14" i="15" s="1"/>
  <c r="AL9" i="15" s="1"/>
  <c r="R18" i="15"/>
  <c r="Q18" i="15" s="1"/>
  <c r="AK68" i="15"/>
  <c r="AK65" i="15" s="1"/>
  <c r="R68" i="15"/>
  <c r="W158" i="15"/>
  <c r="AM68" i="15"/>
  <c r="AM65" i="15" s="1"/>
  <c r="W65" i="15"/>
  <c r="V65" i="15" s="1"/>
  <c r="U65" i="15" s="1"/>
  <c r="T65" i="15" s="1"/>
  <c r="M13" i="15"/>
  <c r="L9" i="15"/>
  <c r="X52" i="15"/>
  <c r="W52" i="15" s="1"/>
  <c r="V58" i="15"/>
  <c r="R52" i="15"/>
  <c r="T52" i="15"/>
  <c r="S52" i="15" s="1"/>
  <c r="L12" i="15"/>
  <c r="J8" i="15"/>
  <c r="Y15" i="15"/>
  <c r="X15" i="15" s="1"/>
  <c r="AN12" i="15"/>
  <c r="AN10" i="15" s="1"/>
  <c r="J9" i="15"/>
  <c r="AO8" i="15" s="1"/>
  <c r="AN8" i="15" s="1"/>
  <c r="AI19" i="15"/>
  <c r="S65" i="15"/>
  <c r="AN7" i="15"/>
  <c r="J15" i="15"/>
  <c r="K11" i="15"/>
  <c r="AO10" i="15"/>
  <c r="J12" i="15"/>
  <c r="AH13" i="15"/>
  <c r="AH8" i="15" s="1"/>
  <c r="K19" i="15"/>
  <c r="V19" i="15"/>
  <c r="AF20" i="15"/>
  <c r="AF19" i="15" s="1"/>
  <c r="AE19" i="15" s="1"/>
  <c r="R111" i="15"/>
  <c r="U91" i="15"/>
  <c r="AF77" i="15"/>
  <c r="Q13" i="15"/>
  <c r="N12" i="15"/>
  <c r="M12" i="15" s="1"/>
  <c r="M14" i="15"/>
  <c r="M9" i="15" s="1"/>
  <c r="AK14" i="15"/>
  <c r="R20" i="15"/>
  <c r="R19" i="15" s="1"/>
  <c r="U244" i="15"/>
  <c r="AG30" i="15"/>
  <c r="AF30" i="15" s="1"/>
  <c r="X206" i="15"/>
  <c r="X153" i="15" s="1"/>
  <c r="Y203" i="15"/>
  <c r="T206" i="15"/>
  <c r="T153" i="15" s="1"/>
  <c r="I22" i="15"/>
  <c r="AB19" i="15"/>
  <c r="AD19" i="15"/>
  <c r="U203" i="15"/>
  <c r="AK84" i="15"/>
  <c r="AM84" i="15"/>
  <c r="AM77" i="15" s="1"/>
  <c r="AK58" i="15"/>
  <c r="Q52" i="15"/>
  <c r="AK123" i="15"/>
  <c r="AG127" i="15"/>
  <c r="AH117" i="15"/>
  <c r="AF244" i="15"/>
  <c r="AF230" i="15"/>
  <c r="AE230" i="15" s="1"/>
  <c r="AD230" i="15" s="1"/>
  <c r="AC230" i="15" s="1"/>
  <c r="AB230" i="15" s="1"/>
  <c r="AA230" i="15" s="1"/>
  <c r="Y230" i="15" s="1"/>
  <c r="X230" i="15" s="1"/>
  <c r="AF15" i="15"/>
  <c r="L17" i="15"/>
  <c r="S19" i="15"/>
  <c r="AG19" i="15"/>
  <c r="T20" i="15"/>
  <c r="T19" i="15" s="1"/>
  <c r="AM36" i="15"/>
  <c r="AM15" i="15" s="1"/>
  <c r="AM11" i="15" s="1"/>
  <c r="Q15" i="15"/>
  <c r="AK36" i="15"/>
  <c r="AK15" i="15" s="1"/>
  <c r="Q127" i="15"/>
  <c r="AK136" i="15"/>
  <c r="AM136" i="15"/>
  <c r="AM127" i="15" s="1"/>
  <c r="AE77" i="15"/>
  <c r="Y14" i="15"/>
  <c r="AE162" i="15"/>
  <c r="AE158" i="15" s="1"/>
  <c r="AF158" i="15"/>
  <c r="V162" i="15"/>
  <c r="V153" i="15" s="1"/>
  <c r="U136" i="15"/>
  <c r="T136" i="15" s="1"/>
  <c r="V127" i="15"/>
  <c r="V122" i="15"/>
  <c r="V118" i="15" s="1"/>
  <c r="U118" i="15" s="1"/>
  <c r="AA77" i="15"/>
  <c r="U11" i="15"/>
  <c r="U14" i="15"/>
  <c r="V9" i="15"/>
  <c r="AD122" i="15"/>
  <c r="AD118" i="15" s="1"/>
  <c r="AC118" i="15" s="1"/>
  <c r="AB118" i="15" s="1"/>
  <c r="AD127" i="15"/>
  <c r="AK100" i="15"/>
  <c r="P77" i="15"/>
  <c r="P12" i="15" s="1"/>
  <c r="T91" i="15"/>
  <c r="AI162" i="15"/>
  <c r="AI158" i="15" s="1"/>
  <c r="AJ158" i="15"/>
  <c r="V230" i="15"/>
  <c r="X136" i="15"/>
  <c r="Y127" i="15"/>
  <c r="Y122" i="15"/>
  <c r="O230" i="15"/>
  <c r="P155" i="15"/>
  <c r="L13" i="15"/>
  <c r="L8" i="15" s="1"/>
  <c r="AK106" i="15"/>
  <c r="AJ106" i="15" s="1"/>
  <c r="AI106" i="15" s="1"/>
  <c r="AM258" i="15"/>
  <c r="AK258" i="15"/>
  <c r="Q44" i="15"/>
  <c r="AK47" i="15"/>
  <c r="R8" i="15"/>
  <c r="R65" i="15" l="1"/>
  <c r="AA14" i="15"/>
  <c r="AA9" i="15" s="1"/>
  <c r="U77" i="15"/>
  <c r="AL68" i="15"/>
  <c r="AL65" i="15" s="1"/>
  <c r="AA19" i="15"/>
  <c r="AA10" i="15" s="1"/>
  <c r="AN9" i="15"/>
  <c r="AM12" i="15"/>
  <c r="AM10" i="15" s="1"/>
  <c r="V52" i="15"/>
  <c r="U52" i="15" s="1"/>
  <c r="X203" i="15"/>
  <c r="X155" i="15" s="1"/>
  <c r="J11" i="15"/>
  <c r="R15" i="15"/>
  <c r="P13" i="15"/>
  <c r="O13" i="15" s="1"/>
  <c r="O8" i="15" s="1"/>
  <c r="N8" i="15" s="1"/>
  <c r="M8" i="15" s="1"/>
  <c r="Q8" i="15"/>
  <c r="AJ14" i="15"/>
  <c r="AI14" i="15" s="1"/>
  <c r="AH14" i="15" s="1"/>
  <c r="AG14" i="15" s="1"/>
  <c r="AK9" i="15"/>
  <c r="K10" i="15"/>
  <c r="J10" i="15" s="1"/>
  <c r="AG17" i="15"/>
  <c r="AF17" i="15" s="1"/>
  <c r="S206" i="15"/>
  <c r="S153" i="15" s="1"/>
  <c r="T203" i="15"/>
  <c r="W206" i="15"/>
  <c r="W153" i="15" s="1"/>
  <c r="AF127" i="15"/>
  <c r="AF12" i="15" s="1"/>
  <c r="AG117" i="15"/>
  <c r="AG12" i="15"/>
  <c r="I21" i="15"/>
  <c r="AK52" i="15"/>
  <c r="AJ52" i="15" s="1"/>
  <c r="AL58" i="15"/>
  <c r="AL52" i="15" s="1"/>
  <c r="AL84" i="15"/>
  <c r="AL77" i="15" s="1"/>
  <c r="AK77" i="15"/>
  <c r="U127" i="15"/>
  <c r="T15" i="15"/>
  <c r="Y118" i="15"/>
  <c r="Y77" i="15" s="1"/>
  <c r="AB77" i="15"/>
  <c r="X127" i="15"/>
  <c r="W127" i="15" s="1"/>
  <c r="W117" i="15" s="1"/>
  <c r="V117" i="15" s="1"/>
  <c r="X122" i="15"/>
  <c r="U230" i="15"/>
  <c r="V155" i="15"/>
  <c r="S91" i="15"/>
  <c r="S10" i="15" s="1"/>
  <c r="T14" i="15"/>
  <c r="U9" i="15"/>
  <c r="T11" i="15"/>
  <c r="T122" i="15"/>
  <c r="T118" i="15" s="1"/>
  <c r="T77" i="15" s="1"/>
  <c r="T127" i="15"/>
  <c r="S127" i="15" s="1"/>
  <c r="R127" i="15" s="1"/>
  <c r="V158" i="15"/>
  <c r="U158" i="15" s="1"/>
  <c r="X14" i="15"/>
  <c r="Y9" i="15"/>
  <c r="AL136" i="15"/>
  <c r="AL127" i="15" s="1"/>
  <c r="AK127" i="15"/>
  <c r="AL36" i="15"/>
  <c r="AL15" i="15" s="1"/>
  <c r="AL11" i="15" s="1"/>
  <c r="N230" i="15"/>
  <c r="M230" i="15" s="1"/>
  <c r="O155" i="15"/>
  <c r="O7" i="15" s="1"/>
  <c r="AC127" i="15"/>
  <c r="AB127" i="15" s="1"/>
  <c r="AA127" i="15" s="1"/>
  <c r="AD117" i="15"/>
  <c r="AD77" i="15"/>
  <c r="AE12" i="15"/>
  <c r="AL258" i="15"/>
  <c r="AM230" i="15"/>
  <c r="AI258" i="15"/>
  <c r="AC47" i="15"/>
  <c r="AK45" i="15"/>
  <c r="AL47" i="15"/>
  <c r="AL45" i="15" s="1"/>
  <c r="AL13" i="15" s="1"/>
  <c r="P7" i="15"/>
  <c r="K7" i="15"/>
  <c r="D34" i="11"/>
  <c r="D33" i="11"/>
  <c r="D32" i="11"/>
  <c r="D30" i="11"/>
  <c r="D29" i="11"/>
  <c r="D28" i="11"/>
  <c r="L27" i="11"/>
  <c r="K27" i="11"/>
  <c r="J27" i="11"/>
  <c r="I27" i="11"/>
  <c r="H27" i="11"/>
  <c r="G27" i="11"/>
  <c r="F27" i="11"/>
  <c r="E27" i="11"/>
  <c r="C27" i="11"/>
  <c r="D26" i="11"/>
  <c r="D25" i="11"/>
  <c r="D24" i="11"/>
  <c r="D23" i="11"/>
  <c r="D22" i="11"/>
  <c r="D21" i="11"/>
  <c r="E20" i="11"/>
  <c r="N20" i="11" s="1"/>
  <c r="D20" i="11"/>
  <c r="L19" i="11"/>
  <c r="K19" i="11"/>
  <c r="J19" i="11"/>
  <c r="I19" i="11"/>
  <c r="H19" i="11"/>
  <c r="G19" i="11"/>
  <c r="F19" i="11"/>
  <c r="C19" i="11"/>
  <c r="D18" i="11"/>
  <c r="E17" i="11"/>
  <c r="N17" i="11" s="1"/>
  <c r="O17" i="11" s="1"/>
  <c r="D17" i="11"/>
  <c r="L16" i="11"/>
  <c r="J16" i="11" s="1"/>
  <c r="H16" i="11" s="1"/>
  <c r="F16" i="11" s="1"/>
  <c r="K16" i="11"/>
  <c r="I16" i="11" s="1"/>
  <c r="G16" i="11" s="1"/>
  <c r="E16" i="11" s="1"/>
  <c r="L15" i="11"/>
  <c r="J15" i="11" s="1"/>
  <c r="H15" i="11" s="1"/>
  <c r="F15" i="11" s="1"/>
  <c r="K15" i="11"/>
  <c r="I15" i="11" s="1"/>
  <c r="G15" i="11" s="1"/>
  <c r="E15" i="11" s="1"/>
  <c r="L14" i="11"/>
  <c r="J14" i="11" s="1"/>
  <c r="H14" i="11" s="1"/>
  <c r="F14" i="11" s="1"/>
  <c r="K14" i="11"/>
  <c r="I14" i="11" s="1"/>
  <c r="G14" i="11" s="1"/>
  <c r="E14" i="11" s="1"/>
  <c r="L13" i="11"/>
  <c r="J13" i="11" s="1"/>
  <c r="K13" i="11"/>
  <c r="D16" i="11" l="1"/>
  <c r="C16" i="11" s="1"/>
  <c r="T10" i="15"/>
  <c r="AJ9" i="15"/>
  <c r="AI9" i="15" s="1"/>
  <c r="AH9" i="15" s="1"/>
  <c r="AL12" i="15"/>
  <c r="AL10" i="15" s="1"/>
  <c r="AG13" i="15"/>
  <c r="AF13" i="15" s="1"/>
  <c r="AF8" i="15" s="1"/>
  <c r="D15" i="11"/>
  <c r="C15" i="11" s="1"/>
  <c r="AE13" i="15"/>
  <c r="AF14" i="15"/>
  <c r="AE14" i="15" s="1"/>
  <c r="AG9" i="15"/>
  <c r="E19" i="11"/>
  <c r="D19" i="11"/>
  <c r="T5" i="15"/>
  <c r="P8" i="15"/>
  <c r="D27" i="11"/>
  <c r="R206" i="15"/>
  <c r="R153" i="15" s="1"/>
  <c r="S203" i="15"/>
  <c r="S5" i="15"/>
  <c r="W203" i="15"/>
  <c r="W155" i="15" s="1"/>
  <c r="D14" i="11"/>
  <c r="C14" i="11" s="1"/>
  <c r="AC117" i="15"/>
  <c r="Y117" i="15" s="1"/>
  <c r="X117" i="15" s="1"/>
  <c r="N155" i="15"/>
  <c r="N7" i="15" s="1"/>
  <c r="T117" i="15"/>
  <c r="X118" i="15"/>
  <c r="W118" i="15" s="1"/>
  <c r="W77" i="15" s="1"/>
  <c r="W12" i="15" s="1"/>
  <c r="AF117" i="15"/>
  <c r="AE117" i="15" s="1"/>
  <c r="AK11" i="15"/>
  <c r="W14" i="15"/>
  <c r="W9" i="15" s="1"/>
  <c r="X9" i="15"/>
  <c r="S11" i="15"/>
  <c r="S14" i="15"/>
  <c r="T9" i="15"/>
  <c r="R91" i="15"/>
  <c r="R10" i="15" s="1"/>
  <c r="S77" i="15"/>
  <c r="T230" i="15"/>
  <c r="U155" i="15"/>
  <c r="V77" i="15"/>
  <c r="O20" i="11"/>
  <c r="AC77" i="15"/>
  <c r="AD12" i="15"/>
  <c r="L230" i="15"/>
  <c r="M155" i="15"/>
  <c r="M7" i="15" s="1"/>
  <c r="Y12" i="15"/>
  <c r="AJ127" i="15"/>
  <c r="AK12" i="15"/>
  <c r="AK13" i="15"/>
  <c r="AL8" i="15"/>
  <c r="AB47" i="15"/>
  <c r="AC45" i="15"/>
  <c r="I13" i="11"/>
  <c r="G13" i="11" s="1"/>
  <c r="E13" i="11" s="1"/>
  <c r="E12" i="11" s="1"/>
  <c r="H13" i="11"/>
  <c r="H12" i="11" s="1"/>
  <c r="L12" i="11"/>
  <c r="L11" i="11" s="1"/>
  <c r="K12" i="11"/>
  <c r="K11" i="11" s="1"/>
  <c r="J12" i="11"/>
  <c r="I12" i="11" l="1"/>
  <c r="G12" i="11"/>
  <c r="G11" i="11" s="1"/>
  <c r="F13" i="11"/>
  <c r="F12" i="11" s="1"/>
  <c r="X77" i="15"/>
  <c r="X12" i="15" s="1"/>
  <c r="X7" i="15" s="1"/>
  <c r="W7" i="15"/>
  <c r="AG8" i="15"/>
  <c r="AD14" i="15"/>
  <c r="AE9" i="15"/>
  <c r="AK8" i="15"/>
  <c r="AD13" i="15"/>
  <c r="AD8" i="15" s="1"/>
  <c r="AE8" i="15"/>
  <c r="AF9" i="15"/>
  <c r="Q206" i="15"/>
  <c r="Q153" i="15" s="1"/>
  <c r="R203" i="15"/>
  <c r="R5" i="15"/>
  <c r="AJ117" i="15"/>
  <c r="AI117" i="15" s="1"/>
  <c r="AJ12" i="15"/>
  <c r="J230" i="15"/>
  <c r="J155" i="15" s="1"/>
  <c r="L155" i="15"/>
  <c r="L7" i="15" s="1"/>
  <c r="S230" i="15"/>
  <c r="T155" i="15"/>
  <c r="AJ11" i="15"/>
  <c r="AI11" i="15" s="1"/>
  <c r="R77" i="15"/>
  <c r="R14" i="15"/>
  <c r="S9" i="15"/>
  <c r="R11" i="15"/>
  <c r="AC12" i="15"/>
  <c r="AB12" i="15" s="1"/>
  <c r="AA12" i="15" s="1"/>
  <c r="AB45" i="15"/>
  <c r="AC13" i="15"/>
  <c r="AJ13" i="15"/>
  <c r="AJ8" i="15" s="1"/>
  <c r="AK10" i="15"/>
  <c r="Y47" i="15"/>
  <c r="Y10" i="15" s="1"/>
  <c r="AA5" i="15"/>
  <c r="J11" i="11"/>
  <c r="I11" i="11"/>
  <c r="H11" i="11"/>
  <c r="E11" i="11"/>
  <c r="D13" i="11" l="1"/>
  <c r="F11" i="11"/>
  <c r="F35" i="11" s="1"/>
  <c r="AC14" i="15"/>
  <c r="AC9" i="15" s="1"/>
  <c r="AB9" i="15" s="1"/>
  <c r="AD9" i="15"/>
  <c r="AM206" i="15"/>
  <c r="AM203" i="15" s="1"/>
  <c r="Q203" i="15"/>
  <c r="Q155" i="15" s="1"/>
  <c r="AK206" i="15"/>
  <c r="AL206" i="15" s="1"/>
  <c r="E35" i="11"/>
  <c r="AJ10" i="15"/>
  <c r="AI10" i="15" s="1"/>
  <c r="Q77" i="15"/>
  <c r="Q5" i="15"/>
  <c r="AH11" i="15"/>
  <c r="R230" i="15"/>
  <c r="R155" i="15" s="1"/>
  <c r="S155" i="15"/>
  <c r="AO154" i="15"/>
  <c r="J7" i="15"/>
  <c r="Q11" i="15"/>
  <c r="Q14" i="15"/>
  <c r="Q9" i="15" s="1"/>
  <c r="P9" i="15" s="1"/>
  <c r="R9" i="15"/>
  <c r="AA45" i="15"/>
  <c r="AB13" i="15"/>
  <c r="X47" i="15"/>
  <c r="X10" i="15" s="1"/>
  <c r="Y5" i="15"/>
  <c r="AC8" i="15"/>
  <c r="N34" i="8"/>
  <c r="D34" i="8"/>
  <c r="D33" i="8"/>
  <c r="D32" i="8"/>
  <c r="D30" i="8"/>
  <c r="D28" i="8"/>
  <c r="L27" i="8"/>
  <c r="K27" i="8"/>
  <c r="J27" i="8"/>
  <c r="I27" i="8"/>
  <c r="H27" i="8"/>
  <c r="G27" i="8"/>
  <c r="F27" i="8"/>
  <c r="E27" i="8"/>
  <c r="C27" i="8"/>
  <c r="D26" i="8"/>
  <c r="D25" i="8"/>
  <c r="D24" i="8"/>
  <c r="D23" i="8"/>
  <c r="D22" i="8"/>
  <c r="D21" i="8"/>
  <c r="L19" i="8"/>
  <c r="K19" i="8"/>
  <c r="J19" i="8"/>
  <c r="I19" i="8"/>
  <c r="H19" i="8"/>
  <c r="G19" i="8"/>
  <c r="F19" i="8"/>
  <c r="E19" i="8"/>
  <c r="C19" i="8"/>
  <c r="D18" i="8"/>
  <c r="E17" i="8"/>
  <c r="N17" i="8" s="1"/>
  <c r="O17" i="8" s="1"/>
  <c r="D7" i="8"/>
  <c r="L16" i="8"/>
  <c r="J16" i="8" s="1"/>
  <c r="H16" i="8" s="1"/>
  <c r="F16" i="8" s="1"/>
  <c r="K16" i="8"/>
  <c r="I16" i="8" s="1"/>
  <c r="G16" i="8" s="1"/>
  <c r="E16" i="8" s="1"/>
  <c r="L15" i="8"/>
  <c r="J15" i="8" s="1"/>
  <c r="H15" i="8" s="1"/>
  <c r="D15" i="8" s="1"/>
  <c r="K15" i="8"/>
  <c r="I15" i="8" s="1"/>
  <c r="G15" i="8" s="1"/>
  <c r="C15" i="8" s="1"/>
  <c r="L14" i="8"/>
  <c r="J14" i="8" s="1"/>
  <c r="H14" i="8" s="1"/>
  <c r="F14" i="8" s="1"/>
  <c r="K14" i="8"/>
  <c r="I14" i="8" s="1"/>
  <c r="G14" i="8" s="1"/>
  <c r="E14" i="8" s="1"/>
  <c r="L13" i="8"/>
  <c r="L12" i="8" s="1"/>
  <c r="L11" i="8" s="1"/>
  <c r="K13" i="8"/>
  <c r="I13" i="8" s="1"/>
  <c r="AG228" i="14"/>
  <c r="AF228" i="14"/>
  <c r="AG226" i="14"/>
  <c r="AF226" i="14"/>
  <c r="AC225" i="14"/>
  <c r="AF224" i="14"/>
  <c r="AE224" i="14"/>
  <c r="AC224" i="14" s="1"/>
  <c r="AC223" i="14"/>
  <c r="AG222" i="14"/>
  <c r="AF222" i="14"/>
  <c r="AG221" i="14"/>
  <c r="AF221" i="14"/>
  <c r="AE221" i="14"/>
  <c r="AC221" i="14" s="1"/>
  <c r="AC220" i="14"/>
  <c r="AG219" i="14"/>
  <c r="AG218" i="14"/>
  <c r="AG217" i="14"/>
  <c r="AG216" i="14"/>
  <c r="AF216" i="14"/>
  <c r="AC215" i="14"/>
  <c r="AF214" i="14"/>
  <c r="AE214" i="14"/>
  <c r="AC214" i="14" s="1"/>
  <c r="AC213" i="14"/>
  <c r="AG212" i="14"/>
  <c r="AF212" i="14"/>
  <c r="AG211" i="14"/>
  <c r="AF209" i="14"/>
  <c r="AE209" i="14"/>
  <c r="AC209" i="14" s="1"/>
  <c r="AC208" i="14"/>
  <c r="AG207" i="14"/>
  <c r="AG206" i="14" s="1"/>
  <c r="AF207" i="14"/>
  <c r="AC206" i="14"/>
  <c r="AF205" i="14"/>
  <c r="AE205" i="14"/>
  <c r="AC205" i="14" s="1"/>
  <c r="J204" i="14"/>
  <c r="J203" i="14" s="1"/>
  <c r="H204" i="14"/>
  <c r="B204" i="14"/>
  <c r="B203" i="14" s="1"/>
  <c r="A204" i="14"/>
  <c r="AF203" i="14"/>
  <c r="AE203" i="14"/>
  <c r="R203" i="14"/>
  <c r="Q203" i="14"/>
  <c r="P203" i="14"/>
  <c r="O203" i="14"/>
  <c r="N203" i="14"/>
  <c r="M203" i="14"/>
  <c r="L203" i="14"/>
  <c r="K203" i="14"/>
  <c r="I203" i="14"/>
  <c r="H203" i="14" s="1"/>
  <c r="G203" i="14"/>
  <c r="F203" i="14"/>
  <c r="E203" i="14"/>
  <c r="D203" i="14"/>
  <c r="C203" i="14"/>
  <c r="J201" i="14"/>
  <c r="B201" i="14"/>
  <c r="A201" i="14"/>
  <c r="AG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A200" i="14"/>
  <c r="AG199" i="14"/>
  <c r="AF199" i="14"/>
  <c r="J198" i="14"/>
  <c r="H198" i="14"/>
  <c r="A198" i="14"/>
  <c r="AF197" i="14"/>
  <c r="AE197" i="14"/>
  <c r="AC197" i="14" s="1"/>
  <c r="J197" i="14"/>
  <c r="H197" i="14"/>
  <c r="A197" i="14"/>
  <c r="AG196" i="14"/>
  <c r="AF196" i="14" s="1"/>
  <c r="J196" i="14"/>
  <c r="H196" i="14"/>
  <c r="A196" i="14"/>
  <c r="AG195" i="14"/>
  <c r="J195" i="14"/>
  <c r="B195" i="14"/>
  <c r="A195" i="14"/>
  <c r="AF194" i="14"/>
  <c r="AE194" i="14"/>
  <c r="AC194" i="14" s="1"/>
  <c r="M194" i="14"/>
  <c r="L194" i="14"/>
  <c r="K194" i="14"/>
  <c r="I194" i="14"/>
  <c r="G194" i="14"/>
  <c r="F194" i="14"/>
  <c r="E194" i="14"/>
  <c r="E193" i="14" s="1"/>
  <c r="D194" i="14"/>
  <c r="C194" i="14"/>
  <c r="B194" i="14"/>
  <c r="R193" i="14"/>
  <c r="Q193" i="14"/>
  <c r="AG192" i="14"/>
  <c r="AG191" i="14"/>
  <c r="AF191" i="14" s="1"/>
  <c r="J191" i="14"/>
  <c r="A191" i="14"/>
  <c r="M190" i="14"/>
  <c r="L190" i="14"/>
  <c r="K190" i="14"/>
  <c r="J190" i="14" s="1"/>
  <c r="I190" i="14"/>
  <c r="H190" i="14"/>
  <c r="G190" i="14"/>
  <c r="F190" i="14"/>
  <c r="F189" i="14" s="1"/>
  <c r="E189" i="14" s="1"/>
  <c r="E190" i="14"/>
  <c r="D190" i="14"/>
  <c r="C190" i="14"/>
  <c r="B190" i="14"/>
  <c r="A190" i="14"/>
  <c r="AF189" i="14"/>
  <c r="AE189" i="14"/>
  <c r="R189" i="14"/>
  <c r="Q189" i="14"/>
  <c r="AG187" i="14"/>
  <c r="AF187" i="14"/>
  <c r="AE187" i="14"/>
  <c r="J187" i="14"/>
  <c r="B187" i="14"/>
  <c r="B186" i="14" s="1"/>
  <c r="A187" i="14"/>
  <c r="A186" i="14" s="1"/>
  <c r="AE186" i="14"/>
  <c r="I186" i="14"/>
  <c r="H186" i="14"/>
  <c r="G186" i="14"/>
  <c r="G185" i="14" s="1"/>
  <c r="F186" i="14"/>
  <c r="E186" i="14"/>
  <c r="D186" i="14"/>
  <c r="C186" i="14"/>
  <c r="AG185" i="14"/>
  <c r="AF185" i="14"/>
  <c r="AE185" i="14"/>
  <c r="R185" i="14"/>
  <c r="Q185" i="14"/>
  <c r="M185" i="14"/>
  <c r="L185" i="14"/>
  <c r="K185" i="14"/>
  <c r="J185" i="14"/>
  <c r="AD184" i="14"/>
  <c r="AE183" i="14"/>
  <c r="N183" i="14"/>
  <c r="O183" i="14" s="1"/>
  <c r="N182" i="14"/>
  <c r="AG181" i="14"/>
  <c r="AG180" i="14" s="1"/>
  <c r="AG179" i="14" s="1"/>
  <c r="AG176" i="14" s="1"/>
  <c r="AF181" i="14"/>
  <c r="AF180" i="14" s="1"/>
  <c r="AF179" i="14" s="1"/>
  <c r="AF176" i="14" s="1"/>
  <c r="K181" i="14"/>
  <c r="J181" i="14" s="1"/>
  <c r="I181" i="14"/>
  <c r="H181" i="14" s="1"/>
  <c r="F181" i="14"/>
  <c r="R180" i="14"/>
  <c r="Q180" i="14"/>
  <c r="P180" i="14"/>
  <c r="O180" i="14"/>
  <c r="N180" i="14"/>
  <c r="M180" i="14"/>
  <c r="L180" i="14"/>
  <c r="G180" i="14"/>
  <c r="E180" i="14"/>
  <c r="D180" i="14"/>
  <c r="C180" i="14"/>
  <c r="B180" i="14"/>
  <c r="AK179" i="14"/>
  <c r="AJ179" i="14"/>
  <c r="AI179" i="14"/>
  <c r="AH179" i="14"/>
  <c r="AE178" i="14"/>
  <c r="AE177" i="14"/>
  <c r="AD176" i="14"/>
  <c r="AE175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/>
  <c r="E174" i="14"/>
  <c r="D174" i="14"/>
  <c r="C174" i="14"/>
  <c r="B174" i="14"/>
  <c r="A174" i="14"/>
  <c r="AG173" i="14"/>
  <c r="AF173" i="14"/>
  <c r="AE173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C172" i="14"/>
  <c r="B172" i="14"/>
  <c r="A172" i="14"/>
  <c r="AG171" i="14"/>
  <c r="AF171" i="14"/>
  <c r="AE171" i="14"/>
  <c r="AG170" i="14"/>
  <c r="AN169" i="14"/>
  <c r="AM169" i="14"/>
  <c r="AL169" i="14"/>
  <c r="AG169" i="14"/>
  <c r="S169" i="14"/>
  <c r="AE184" i="14" l="1"/>
  <c r="D27" i="8"/>
  <c r="A203" i="14"/>
  <c r="F185" i="14"/>
  <c r="D189" i="14"/>
  <c r="C189" i="14" s="1"/>
  <c r="B189" i="14" s="1"/>
  <c r="A189" i="14" s="1"/>
  <c r="N189" i="14" s="1"/>
  <c r="M189" i="14" s="1"/>
  <c r="L189" i="14" s="1"/>
  <c r="K189" i="14" s="1"/>
  <c r="J189" i="14" s="1"/>
  <c r="I189" i="14" s="1"/>
  <c r="H189" i="14" s="1"/>
  <c r="G189" i="14" s="1"/>
  <c r="A194" i="14"/>
  <c r="AG215" i="14"/>
  <c r="A181" i="14"/>
  <c r="A180" i="14" s="1"/>
  <c r="C13" i="11"/>
  <c r="C12" i="11" s="1"/>
  <c r="D12" i="11"/>
  <c r="D11" i="11" s="1"/>
  <c r="AG198" i="14"/>
  <c r="AG197" i="14" s="1"/>
  <c r="AG210" i="14"/>
  <c r="AG209" i="14" s="1"/>
  <c r="AG225" i="14"/>
  <c r="AG224" i="14" s="1"/>
  <c r="K12" i="8"/>
  <c r="J13" i="8"/>
  <c r="H13" i="8" s="1"/>
  <c r="F13" i="8" s="1"/>
  <c r="G13" i="8"/>
  <c r="I12" i="8"/>
  <c r="I11" i="8" s="1"/>
  <c r="E185" i="14"/>
  <c r="D185" i="14" s="1"/>
  <c r="C185" i="14" s="1"/>
  <c r="B185" i="14" s="1"/>
  <c r="A185" i="14" s="1"/>
  <c r="N185" i="14" s="1"/>
  <c r="AF184" i="14"/>
  <c r="D19" i="8"/>
  <c r="AL203" i="15"/>
  <c r="AK203" i="15" s="1"/>
  <c r="AJ203" i="15" s="1"/>
  <c r="AM155" i="15"/>
  <c r="K11" i="8"/>
  <c r="F180" i="14"/>
  <c r="D193" i="14"/>
  <c r="C193" i="14" s="1"/>
  <c r="B193" i="14" s="1"/>
  <c r="A193" i="14" s="1"/>
  <c r="N193" i="14" s="1"/>
  <c r="M193" i="14" s="1"/>
  <c r="L193" i="14" s="1"/>
  <c r="K193" i="14" s="1"/>
  <c r="H194" i="14"/>
  <c r="J194" i="14"/>
  <c r="AJ169" i="14"/>
  <c r="AH169" i="14" s="1"/>
  <c r="K180" i="14"/>
  <c r="J180" i="14" s="1"/>
  <c r="AE180" i="14"/>
  <c r="AE179" i="14" s="1"/>
  <c r="AE181" i="14"/>
  <c r="AC184" i="14"/>
  <c r="I185" i="14"/>
  <c r="H185" i="14" s="1"/>
  <c r="AG214" i="14"/>
  <c r="D14" i="8"/>
  <c r="C14" i="8" s="1"/>
  <c r="D16" i="8"/>
  <c r="C16" i="8" s="1"/>
  <c r="P11" i="15"/>
  <c r="AN154" i="15"/>
  <c r="AO153" i="15"/>
  <c r="AO6" i="15"/>
  <c r="AG11" i="15"/>
  <c r="AH10" i="15"/>
  <c r="P185" i="14"/>
  <c r="P189" i="14"/>
  <c r="O189" i="14" s="1"/>
  <c r="AG205" i="14"/>
  <c r="D35" i="11"/>
  <c r="I180" i="14"/>
  <c r="H180" i="14" s="1"/>
  <c r="O182" i="14"/>
  <c r="AG190" i="14"/>
  <c r="AG189" i="14" s="1"/>
  <c r="AG194" i="14"/>
  <c r="L35" i="8"/>
  <c r="K35" i="8" s="1"/>
  <c r="W47" i="15"/>
  <c r="W10" i="15" s="1"/>
  <c r="X5" i="15"/>
  <c r="Y45" i="15"/>
  <c r="AA13" i="15"/>
  <c r="AA8" i="15" s="1"/>
  <c r="AB8" i="15"/>
  <c r="AG168" i="14"/>
  <c r="AG167" i="14"/>
  <c r="AF165" i="14"/>
  <c r="AE165" i="14"/>
  <c r="AG164" i="14"/>
  <c r="AG163" i="14"/>
  <c r="AG162" i="14"/>
  <c r="AG161" i="14"/>
  <c r="F161" i="14"/>
  <c r="A161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E160" i="14"/>
  <c r="D160" i="14"/>
  <c r="C160" i="14"/>
  <c r="B160" i="14"/>
  <c r="AF159" i="14"/>
  <c r="AE159" i="14"/>
  <c r="R159" i="14"/>
  <c r="Q159" i="14"/>
  <c r="AK156" i="14"/>
  <c r="AJ156" i="14"/>
  <c r="AI156" i="14"/>
  <c r="AH156" i="14"/>
  <c r="AG155" i="14"/>
  <c r="AF155" i="14"/>
  <c r="AE155" i="14"/>
  <c r="AG153" i="14"/>
  <c r="AF153" i="14" s="1"/>
  <c r="AE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C153" i="14"/>
  <c r="B153" i="14"/>
  <c r="A153" i="14"/>
  <c r="AD152" i="14"/>
  <c r="AC152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C151" i="14"/>
  <c r="B151" i="14"/>
  <c r="A151" i="14"/>
  <c r="K150" i="14"/>
  <c r="J150" i="14" s="1"/>
  <c r="I150" i="14"/>
  <c r="H150" i="14" s="1"/>
  <c r="AG149" i="14"/>
  <c r="J149" i="14"/>
  <c r="H149" i="14"/>
  <c r="A149" i="14"/>
  <c r="AG148" i="14"/>
  <c r="J148" i="14"/>
  <c r="I148" i="14"/>
  <c r="H148" i="14" s="1"/>
  <c r="M147" i="14"/>
  <c r="L147" i="14"/>
  <c r="G147" i="14"/>
  <c r="F147" i="14"/>
  <c r="E147" i="14"/>
  <c r="D147" i="14"/>
  <c r="C147" i="14"/>
  <c r="B147" i="14"/>
  <c r="AG146" i="14"/>
  <c r="R146" i="14"/>
  <c r="Q146" i="14"/>
  <c r="P146" i="14"/>
  <c r="O146" i="14"/>
  <c r="N146" i="14"/>
  <c r="AG145" i="14"/>
  <c r="J145" i="14"/>
  <c r="I145" i="14"/>
  <c r="H145" i="14" s="1"/>
  <c r="J144" i="14"/>
  <c r="H144" i="14"/>
  <c r="A144" i="14"/>
  <c r="AG143" i="14"/>
  <c r="AF143" i="14"/>
  <c r="AE143" i="14"/>
  <c r="J143" i="14"/>
  <c r="H143" i="14"/>
  <c r="A143" i="14"/>
  <c r="K142" i="14"/>
  <c r="J142" i="14" s="1"/>
  <c r="I142" i="14"/>
  <c r="H142" i="14" s="1"/>
  <c r="AG141" i="14"/>
  <c r="AF141" i="14"/>
  <c r="AE141" i="14"/>
  <c r="R141" i="14"/>
  <c r="Q141" i="14"/>
  <c r="P141" i="14"/>
  <c r="O141" i="14"/>
  <c r="N141" i="14"/>
  <c r="M141" i="14"/>
  <c r="L141" i="14"/>
  <c r="G141" i="14"/>
  <c r="F141" i="14"/>
  <c r="E141" i="14"/>
  <c r="D141" i="14"/>
  <c r="C141" i="14"/>
  <c r="B141" i="14"/>
  <c r="AG140" i="14"/>
  <c r="AF140" i="14" s="1"/>
  <c r="AG137" i="14"/>
  <c r="AF137" i="14"/>
  <c r="AE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C137" i="14"/>
  <c r="B137" i="14"/>
  <c r="A137" i="14"/>
  <c r="AG136" i="14"/>
  <c r="AG134" i="14"/>
  <c r="L134" i="14" s="1"/>
  <c r="K134" i="14" s="1"/>
  <c r="AK133" i="14"/>
  <c r="AJ133" i="14"/>
  <c r="AI133" i="14"/>
  <c r="AH133" i="14"/>
  <c r="J134" i="14" l="1"/>
  <c r="I134" i="14" s="1"/>
  <c r="H134" i="14" s="1"/>
  <c r="G134" i="14" s="1"/>
  <c r="F134" i="14" s="1"/>
  <c r="E134" i="14" s="1"/>
  <c r="D134" i="14" s="1"/>
  <c r="C134" i="14" s="1"/>
  <c r="B134" i="14" s="1"/>
  <c r="A134" i="14" s="1"/>
  <c r="J141" i="14"/>
  <c r="J12" i="8"/>
  <c r="J11" i="8" s="1"/>
  <c r="J35" i="8" s="1"/>
  <c r="AE152" i="14"/>
  <c r="R140" i="14"/>
  <c r="AF152" i="14"/>
  <c r="AG160" i="14"/>
  <c r="AG184" i="14"/>
  <c r="C11" i="11"/>
  <c r="C35" i="11" s="1"/>
  <c r="K147" i="14"/>
  <c r="AG166" i="14"/>
  <c r="AG165" i="14" s="1"/>
  <c r="F12" i="8"/>
  <c r="D13" i="8"/>
  <c r="D12" i="8" s="1"/>
  <c r="D11" i="8" s="1"/>
  <c r="D35" i="8" s="1"/>
  <c r="H12" i="8"/>
  <c r="H11" i="8" s="1"/>
  <c r="R136" i="14"/>
  <c r="F160" i="14"/>
  <c r="P193" i="14"/>
  <c r="O193" i="14" s="1"/>
  <c r="I35" i="8"/>
  <c r="H141" i="14"/>
  <c r="G12" i="8"/>
  <c r="G11" i="8" s="1"/>
  <c r="F11" i="8" s="1"/>
  <c r="E13" i="8"/>
  <c r="E12" i="8" s="1"/>
  <c r="H147" i="14"/>
  <c r="J193" i="14"/>
  <c r="I193" i="14" s="1"/>
  <c r="H193" i="14" s="1"/>
  <c r="G193" i="14" s="1"/>
  <c r="F193" i="14" s="1"/>
  <c r="M146" i="14"/>
  <c r="I147" i="14"/>
  <c r="A148" i="14"/>
  <c r="J147" i="14"/>
  <c r="R179" i="14"/>
  <c r="R156" i="14" s="1"/>
  <c r="AE176" i="14"/>
  <c r="AC176" i="14" s="1"/>
  <c r="Q136" i="14"/>
  <c r="Q140" i="14"/>
  <c r="P140" i="14" s="1"/>
  <c r="O140" i="14" s="1"/>
  <c r="N140" i="14" s="1"/>
  <c r="M140" i="14" s="1"/>
  <c r="L140" i="14" s="1"/>
  <c r="I141" i="14"/>
  <c r="A142" i="14"/>
  <c r="A145" i="14"/>
  <c r="L146" i="14"/>
  <c r="K146" i="14" s="1"/>
  <c r="A150" i="14"/>
  <c r="O185" i="14"/>
  <c r="AN6" i="15"/>
  <c r="AO5" i="15"/>
  <c r="AM154" i="15"/>
  <c r="AN153" i="15"/>
  <c r="O11" i="15"/>
  <c r="J146" i="14"/>
  <c r="I146" i="14" s="1"/>
  <c r="AF11" i="15"/>
  <c r="AG10" i="15"/>
  <c r="K141" i="14"/>
  <c r="K140" i="14" s="1"/>
  <c r="J140" i="14" s="1"/>
  <c r="A160" i="14"/>
  <c r="I179" i="14"/>
  <c r="H179" i="14" s="1"/>
  <c r="G179" i="14" s="1"/>
  <c r="X45" i="15"/>
  <c r="Y13" i="15"/>
  <c r="Y8" i="15" s="1"/>
  <c r="V47" i="15"/>
  <c r="V10" i="15" s="1"/>
  <c r="W5" i="15"/>
  <c r="AG133" i="14"/>
  <c r="P133" i="14"/>
  <c r="AG132" i="14"/>
  <c r="AG131" i="14"/>
  <c r="AG130" i="14"/>
  <c r="AG128" i="14"/>
  <c r="AF128" i="14"/>
  <c r="AE128" i="14"/>
  <c r="AC128" i="14" s="1"/>
  <c r="H126" i="14"/>
  <c r="A126" i="14"/>
  <c r="AJ125" i="14"/>
  <c r="AH125" i="14"/>
  <c r="AK125" i="14" s="1"/>
  <c r="AG125" i="14"/>
  <c r="AF125" i="14"/>
  <c r="AE125" i="14"/>
  <c r="AD125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C124" i="14"/>
  <c r="B124" i="14"/>
  <c r="A124" i="14"/>
  <c r="AG123" i="14"/>
  <c r="AF123" i="14"/>
  <c r="AE123" i="14"/>
  <c r="AE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C122" i="14"/>
  <c r="B122" i="14"/>
  <c r="A122" i="14"/>
  <c r="AF121" i="14"/>
  <c r="AF117" i="14" s="1"/>
  <c r="AE121" i="14"/>
  <c r="AE120" i="14"/>
  <c r="AE116" i="14" s="1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C119" i="14"/>
  <c r="B119" i="14"/>
  <c r="A119" i="14"/>
  <c r="AG118" i="14"/>
  <c r="AF118" i="14"/>
  <c r="AD118" i="14"/>
  <c r="AC118" i="14"/>
  <c r="H118" i="14"/>
  <c r="D118" i="14"/>
  <c r="B118" i="14"/>
  <c r="A118" i="14"/>
  <c r="AG117" i="14" s="1"/>
  <c r="AD117" i="14"/>
  <c r="AC117" i="14"/>
  <c r="J117" i="14"/>
  <c r="H117" i="14"/>
  <c r="A117" i="14"/>
  <c r="AD116" i="14"/>
  <c r="J116" i="14"/>
  <c r="H116" i="14"/>
  <c r="A116" i="14"/>
  <c r="J115" i="14"/>
  <c r="H115" i="14"/>
  <c r="A115" i="14"/>
  <c r="J114" i="14"/>
  <c r="F114" i="14"/>
  <c r="A114" i="14"/>
  <c r="D113" i="14"/>
  <c r="B113" i="14"/>
  <c r="B112" i="14" s="1"/>
  <c r="A113" i="14"/>
  <c r="R112" i="14"/>
  <c r="Q112" i="14"/>
  <c r="P112" i="14"/>
  <c r="O112" i="14"/>
  <c r="N112" i="14"/>
  <c r="M112" i="14"/>
  <c r="L112" i="14"/>
  <c r="K112" i="14"/>
  <c r="I112" i="14"/>
  <c r="G112" i="14"/>
  <c r="E112" i="14"/>
  <c r="C112" i="14"/>
  <c r="AG111" i="14"/>
  <c r="AF108" i="14"/>
  <c r="AE108" i="14"/>
  <c r="R108" i="14"/>
  <c r="Q108" i="14"/>
  <c r="M108" i="14"/>
  <c r="L108" i="14"/>
  <c r="K108" i="14"/>
  <c r="J108" i="14"/>
  <c r="I108" i="14"/>
  <c r="H108" i="14"/>
  <c r="G108" i="14"/>
  <c r="F108" i="14"/>
  <c r="E108" i="14"/>
  <c r="D108" i="14"/>
  <c r="C108" i="14"/>
  <c r="B108" i="14"/>
  <c r="A108" i="14"/>
  <c r="P108" i="14" s="1"/>
  <c r="AE107" i="14"/>
  <c r="AE106" i="14"/>
  <c r="R106" i="14"/>
  <c r="Q106" i="14"/>
  <c r="M106" i="14"/>
  <c r="L106" i="14"/>
  <c r="K106" i="14"/>
  <c r="J106" i="14"/>
  <c r="I106" i="14"/>
  <c r="H106" i="14"/>
  <c r="G106" i="14"/>
  <c r="F106" i="14"/>
  <c r="E106" i="14"/>
  <c r="D106" i="14"/>
  <c r="C106" i="14"/>
  <c r="B106" i="14"/>
  <c r="A106" i="14"/>
  <c r="N106" i="14" s="1"/>
  <c r="AC105" i="14"/>
  <c r="AE104" i="14"/>
  <c r="AD104" i="14"/>
  <c r="AN102" i="14"/>
  <c r="AM102" i="14"/>
  <c r="AL102" i="14"/>
  <c r="AK102" i="14"/>
  <c r="AI102" i="14"/>
  <c r="S102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D101" i="14"/>
  <c r="C101" i="14"/>
  <c r="B101" i="14"/>
  <c r="A101" i="14"/>
  <c r="AO100" i="14"/>
  <c r="AN100" i="14"/>
  <c r="AM100" i="14"/>
  <c r="AL100" i="14"/>
  <c r="AK100" i="14"/>
  <c r="AJ100" i="14"/>
  <c r="AI100" i="14"/>
  <c r="AH100" i="14"/>
  <c r="AF100" i="14"/>
  <c r="AF98" i="14" s="1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D100" i="14"/>
  <c r="C100" i="14"/>
  <c r="B100" i="14"/>
  <c r="A100" i="14"/>
  <c r="AO99" i="14"/>
  <c r="AN99" i="14" s="1"/>
  <c r="AM99" i="14" s="1"/>
  <c r="AL99" i="14" s="1"/>
  <c r="AK99" i="14"/>
  <c r="AJ99" i="14"/>
  <c r="AI99" i="14"/>
  <c r="AH99" i="14"/>
  <c r="S99" i="14" s="1"/>
  <c r="AO98" i="14"/>
  <c r="AG98" i="14"/>
  <c r="AE98" i="14"/>
  <c r="S98" i="14" s="1"/>
  <c r="AG159" i="14" l="1"/>
  <c r="AG152" i="14" s="1"/>
  <c r="H146" i="14"/>
  <c r="G146" i="14" s="1"/>
  <c r="F146" i="14" s="1"/>
  <c r="E146" i="14" s="1"/>
  <c r="D146" i="14" s="1"/>
  <c r="C146" i="14" s="1"/>
  <c r="B146" i="14" s="1"/>
  <c r="F112" i="14"/>
  <c r="R133" i="14"/>
  <c r="Q133" i="14" s="1"/>
  <c r="A147" i="14"/>
  <c r="AE117" i="14"/>
  <c r="A141" i="14"/>
  <c r="AC116" i="14"/>
  <c r="D112" i="14"/>
  <c r="I140" i="14"/>
  <c r="H140" i="14" s="1"/>
  <c r="G140" i="14" s="1"/>
  <c r="F140" i="14" s="1"/>
  <c r="E140" i="14" s="1"/>
  <c r="D140" i="14" s="1"/>
  <c r="C140" i="14" s="1"/>
  <c r="B140" i="14" s="1"/>
  <c r="A140" i="14" s="1"/>
  <c r="H35" i="8"/>
  <c r="AF116" i="14"/>
  <c r="AG116" i="14"/>
  <c r="C13" i="8"/>
  <c r="C12" i="8" s="1"/>
  <c r="E11" i="8"/>
  <c r="F35" i="8"/>
  <c r="M11" i="8"/>
  <c r="H112" i="14"/>
  <c r="G35" i="8"/>
  <c r="O10" i="15"/>
  <c r="AN5" i="15"/>
  <c r="Q179" i="14"/>
  <c r="R169" i="14"/>
  <c r="AN98" i="14"/>
  <c r="AM98" i="14" s="1"/>
  <c r="AL98" i="14" s="1"/>
  <c r="AK98" i="14" s="1"/>
  <c r="AI98" i="14" s="1"/>
  <c r="R111" i="14"/>
  <c r="A112" i="14"/>
  <c r="J112" i="14"/>
  <c r="AG119" i="14"/>
  <c r="AE119" i="14"/>
  <c r="AD119" i="14" s="1"/>
  <c r="AC119" i="14" s="1"/>
  <c r="A146" i="14"/>
  <c r="AE11" i="15"/>
  <c r="AD11" i="15" s="1"/>
  <c r="AF10" i="15"/>
  <c r="N11" i="15"/>
  <c r="N10" i="15" s="1"/>
  <c r="AL154" i="15"/>
  <c r="AM153" i="15"/>
  <c r="P106" i="14"/>
  <c r="O106" i="14" s="1"/>
  <c r="N108" i="14"/>
  <c r="AG109" i="14"/>
  <c r="AG108" i="14" s="1"/>
  <c r="AG105" i="14" s="1"/>
  <c r="AF105" i="14" s="1"/>
  <c r="AE105" i="14" s="1"/>
  <c r="F179" i="14"/>
  <c r="G169" i="14"/>
  <c r="I169" i="14"/>
  <c r="H169" i="14" s="1"/>
  <c r="U47" i="15"/>
  <c r="U10" i="15" s="1"/>
  <c r="V5" i="15"/>
  <c r="V45" i="15"/>
  <c r="T45" i="15" s="1"/>
  <c r="V44" i="15"/>
  <c r="W45" i="15"/>
  <c r="W13" i="15" s="1"/>
  <c r="X13" i="15"/>
  <c r="X8" i="15" s="1"/>
  <c r="AO97" i="14"/>
  <c r="AM97" i="14"/>
  <c r="AI97" i="14"/>
  <c r="AF97" i="14"/>
  <c r="S97" i="14"/>
  <c r="AL97" i="14" l="1"/>
  <c r="AK97" i="14" s="1"/>
  <c r="R99" i="14"/>
  <c r="AN97" i="14"/>
  <c r="C35" i="8"/>
  <c r="C11" i="8"/>
  <c r="AF119" i="14"/>
  <c r="AG115" i="14"/>
  <c r="AG114" i="14" s="1"/>
  <c r="AE115" i="14"/>
  <c r="AD115" i="14" s="1"/>
  <c r="AD114" i="14" s="1"/>
  <c r="E35" i="8"/>
  <c r="U5" i="15"/>
  <c r="Q111" i="14"/>
  <c r="Q102" i="14" s="1"/>
  <c r="R102" i="14"/>
  <c r="R98" i="14" s="1"/>
  <c r="P179" i="14"/>
  <c r="Q169" i="14"/>
  <c r="Q156" i="14"/>
  <c r="R97" i="14"/>
  <c r="AC115" i="14"/>
  <c r="AC11" i="15"/>
  <c r="AE114" i="14"/>
  <c r="E179" i="14"/>
  <c r="F169" i="14"/>
  <c r="AK154" i="15"/>
  <c r="AL6" i="15"/>
  <c r="M11" i="15"/>
  <c r="AE10" i="15"/>
  <c r="AD10" i="15" s="1"/>
  <c r="O108" i="14"/>
  <c r="V13" i="15"/>
  <c r="W8" i="15"/>
  <c r="U44" i="15"/>
  <c r="V12" i="15"/>
  <c r="AG95" i="14"/>
  <c r="AF95" i="14"/>
  <c r="AE95" i="14"/>
  <c r="AG93" i="14"/>
  <c r="AF93" i="14"/>
  <c r="AE93" i="14"/>
  <c r="R93" i="14"/>
  <c r="Q93" i="14"/>
  <c r="M93" i="14"/>
  <c r="L93" i="14"/>
  <c r="K93" i="14"/>
  <c r="J93" i="14"/>
  <c r="I93" i="14"/>
  <c r="H93" i="14"/>
  <c r="G93" i="14"/>
  <c r="F93" i="14"/>
  <c r="E93" i="14"/>
  <c r="D93" i="14"/>
  <c r="C93" i="14"/>
  <c r="B93" i="14"/>
  <c r="A93" i="14"/>
  <c r="N93" i="14" s="1"/>
  <c r="O93" i="14" s="1"/>
  <c r="AG91" i="14"/>
  <c r="AG90" i="14" s="1"/>
  <c r="AF90" i="14"/>
  <c r="AE90" i="14"/>
  <c r="AG88" i="14"/>
  <c r="AG87" i="14" s="1"/>
  <c r="J88" i="14"/>
  <c r="A88" i="14"/>
  <c r="AF87" i="14"/>
  <c r="AE86" i="14"/>
  <c r="J86" i="14"/>
  <c r="H86" i="14"/>
  <c r="A86" i="14"/>
  <c r="AG85" i="14"/>
  <c r="J85" i="14"/>
  <c r="H85" i="14"/>
  <c r="H84" i="14" s="1"/>
  <c r="A85" i="14"/>
  <c r="AF84" i="14"/>
  <c r="AE84" i="14"/>
  <c r="M84" i="14"/>
  <c r="L84" i="14"/>
  <c r="K84" i="14"/>
  <c r="J84" i="14"/>
  <c r="I84" i="14"/>
  <c r="G84" i="14"/>
  <c r="F84" i="14"/>
  <c r="E84" i="14"/>
  <c r="D84" i="14"/>
  <c r="C84" i="14"/>
  <c r="B84" i="14"/>
  <c r="A84" i="14"/>
  <c r="R83" i="14"/>
  <c r="Q83" i="14"/>
  <c r="P83" i="14"/>
  <c r="O83" i="14"/>
  <c r="AG82" i="14"/>
  <c r="AF82" i="14"/>
  <c r="AE82" i="14"/>
  <c r="J82" i="14"/>
  <c r="A82" i="14"/>
  <c r="K81" i="14"/>
  <c r="I81" i="14"/>
  <c r="H81" i="14"/>
  <c r="G81" i="14"/>
  <c r="G80" i="14" s="1"/>
  <c r="F81" i="14"/>
  <c r="F80" i="14" s="1"/>
  <c r="E81" i="14"/>
  <c r="D81" i="14"/>
  <c r="C81" i="14"/>
  <c r="B81" i="14"/>
  <c r="AG80" i="14"/>
  <c r="AF80" i="14"/>
  <c r="AE80" i="14"/>
  <c r="R80" i="14"/>
  <c r="Q80" i="14"/>
  <c r="P80" i="14"/>
  <c r="O80" i="14"/>
  <c r="M80" i="14"/>
  <c r="L80" i="14"/>
  <c r="AE79" i="14"/>
  <c r="AF78" i="14"/>
  <c r="AC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78" i="14"/>
  <c r="A78" i="14"/>
  <c r="AG77" i="14"/>
  <c r="AC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D77" i="14"/>
  <c r="C77" i="14"/>
  <c r="B77" i="14"/>
  <c r="A77" i="14"/>
  <c r="AF76" i="14"/>
  <c r="AE76" i="14"/>
  <c r="AC76" i="14" s="1"/>
  <c r="N76" i="14"/>
  <c r="AG75" i="14"/>
  <c r="K75" i="14"/>
  <c r="J75" i="14"/>
  <c r="I75" i="14"/>
  <c r="H75" i="14"/>
  <c r="G75" i="14"/>
  <c r="F75" i="14"/>
  <c r="E75" i="14"/>
  <c r="D75" i="14"/>
  <c r="C75" i="14"/>
  <c r="B75" i="14"/>
  <c r="A75" i="14"/>
  <c r="AF74" i="14"/>
  <c r="AE74" i="14"/>
  <c r="AC74" i="14" s="1"/>
  <c r="R74" i="14"/>
  <c r="Q74" i="14"/>
  <c r="M74" i="14"/>
  <c r="L74" i="14"/>
  <c r="K74" i="14" s="1"/>
  <c r="AE73" i="14"/>
  <c r="AC73" i="14" s="1"/>
  <c r="AE72" i="14"/>
  <c r="AC72" i="14" s="1"/>
  <c r="P72" i="14"/>
  <c r="N72" i="14"/>
  <c r="AD71" i="14"/>
  <c r="AE70" i="14"/>
  <c r="AG68" i="14"/>
  <c r="AG67" i="14" s="1"/>
  <c r="AG66" i="14" s="1"/>
  <c r="AF66" i="14"/>
  <c r="AE66" i="14"/>
  <c r="A66" i="14"/>
  <c r="AE65" i="14"/>
  <c r="M65" i="14"/>
  <c r="L65" i="14"/>
  <c r="K65" i="14"/>
  <c r="J65" i="14"/>
  <c r="I65" i="14"/>
  <c r="H65" i="14"/>
  <c r="G65" i="14"/>
  <c r="F65" i="14"/>
  <c r="E65" i="14"/>
  <c r="D65" i="14"/>
  <c r="C65" i="14"/>
  <c r="B65" i="14"/>
  <c r="AE64" i="14"/>
  <c r="R64" i="14"/>
  <c r="Q64" i="14"/>
  <c r="AD63" i="14"/>
  <c r="AC63" i="14"/>
  <c r="AC62" i="14"/>
  <c r="AC61" i="14"/>
  <c r="AG60" i="14"/>
  <c r="AF60" i="14"/>
  <c r="AE60" i="14"/>
  <c r="AC60" i="14" s="1"/>
  <c r="AE59" i="14"/>
  <c r="AC59" i="14" s="1"/>
  <c r="AE58" i="14"/>
  <c r="AC58" i="14" s="1"/>
  <c r="R58" i="14"/>
  <c r="Q58" i="14"/>
  <c r="M58" i="14"/>
  <c r="L58" i="14"/>
  <c r="K58" i="14"/>
  <c r="J58" i="14"/>
  <c r="I58" i="14"/>
  <c r="H58" i="14"/>
  <c r="G58" i="14"/>
  <c r="F58" i="14"/>
  <c r="E58" i="14"/>
  <c r="D58" i="14"/>
  <c r="C58" i="14"/>
  <c r="B58" i="14"/>
  <c r="A58" i="14"/>
  <c r="N58" i="14" s="1"/>
  <c r="AG57" i="14"/>
  <c r="AG54" i="14" s="1"/>
  <c r="AF57" i="14"/>
  <c r="AC56" i="14"/>
  <c r="AC55" i="14"/>
  <c r="R55" i="14"/>
  <c r="Q55" i="14"/>
  <c r="M55" i="14"/>
  <c r="L55" i="14"/>
  <c r="K55" i="14"/>
  <c r="K52" i="14" s="1"/>
  <c r="J55" i="14"/>
  <c r="I55" i="14"/>
  <c r="H55" i="14"/>
  <c r="G55" i="14"/>
  <c r="G52" i="14" s="1"/>
  <c r="F55" i="14"/>
  <c r="E55" i="14"/>
  <c r="D55" i="14"/>
  <c r="D52" i="14" s="1"/>
  <c r="C55" i="14"/>
  <c r="C52" i="14" s="1"/>
  <c r="B55" i="14"/>
  <c r="A55" i="14"/>
  <c r="N55" i="14" s="1"/>
  <c r="AF54" i="14"/>
  <c r="R52" i="14"/>
  <c r="P52" i="14"/>
  <c r="AG51" i="14"/>
  <c r="AG49" i="14" s="1"/>
  <c r="AF51" i="14"/>
  <c r="AE51" i="14"/>
  <c r="N50" i="14"/>
  <c r="N48" i="14" s="1"/>
  <c r="AD49" i="14"/>
  <c r="AC49" i="14"/>
  <c r="R48" i="14"/>
  <c r="Q48" i="14"/>
  <c r="P48" i="14"/>
  <c r="M48" i="14"/>
  <c r="L48" i="14"/>
  <c r="K48" i="14"/>
  <c r="J48" i="14"/>
  <c r="I48" i="14"/>
  <c r="H48" i="14"/>
  <c r="G48" i="14"/>
  <c r="F48" i="14"/>
  <c r="E48" i="14"/>
  <c r="D48" i="14"/>
  <c r="C48" i="14"/>
  <c r="B48" i="14"/>
  <c r="A48" i="14"/>
  <c r="H52" i="14" l="1"/>
  <c r="L52" i="14"/>
  <c r="R69" i="14"/>
  <c r="A81" i="14"/>
  <c r="AG48" i="14"/>
  <c r="E80" i="14"/>
  <c r="N52" i="14"/>
  <c r="E52" i="14"/>
  <c r="I52" i="14"/>
  <c r="M52" i="14"/>
  <c r="B52" i="14"/>
  <c r="F52" i="14"/>
  <c r="J52" i="14"/>
  <c r="Q52" i="14"/>
  <c r="J81" i="14"/>
  <c r="D80" i="14"/>
  <c r="C80" i="14" s="1"/>
  <c r="B80" i="14" s="1"/>
  <c r="A80" i="14" s="1"/>
  <c r="N80" i="14" s="1"/>
  <c r="Q69" i="14"/>
  <c r="P69" i="14" s="1"/>
  <c r="AE71" i="14"/>
  <c r="AG76" i="14"/>
  <c r="Q98" i="14"/>
  <c r="AF115" i="14"/>
  <c r="AF114" i="14" s="1"/>
  <c r="P156" i="14"/>
  <c r="Q99" i="14"/>
  <c r="O179" i="14"/>
  <c r="N179" i="14" s="1"/>
  <c r="P169" i="14"/>
  <c r="J74" i="14"/>
  <c r="I74" i="14" s="1"/>
  <c r="H74" i="14" s="1"/>
  <c r="G74" i="14" s="1"/>
  <c r="F74" i="14" s="1"/>
  <c r="E74" i="14" s="1"/>
  <c r="D74" i="14" s="1"/>
  <c r="C74" i="14" s="1"/>
  <c r="B74" i="14" s="1"/>
  <c r="A74" i="14" s="1"/>
  <c r="N74" i="14" s="1"/>
  <c r="N69" i="14" s="1"/>
  <c r="M69" i="14" s="1"/>
  <c r="L69" i="14" s="1"/>
  <c r="AG74" i="14"/>
  <c r="K80" i="14"/>
  <c r="AG84" i="14"/>
  <c r="A52" i="14"/>
  <c r="AE54" i="14"/>
  <c r="AC54" i="14" s="1"/>
  <c r="AC19" i="14" s="1"/>
  <c r="R19" i="14" s="1"/>
  <c r="Q19" i="14" s="1"/>
  <c r="R61" i="14"/>
  <c r="Q61" i="14" s="1"/>
  <c r="L11" i="15"/>
  <c r="M10" i="15"/>
  <c r="AJ154" i="15"/>
  <c r="AI154" i="15" s="1"/>
  <c r="AK6" i="15"/>
  <c r="D179" i="14"/>
  <c r="E169" i="14"/>
  <c r="AB11" i="15"/>
  <c r="AC10" i="15"/>
  <c r="O50" i="14"/>
  <c r="O48" i="14" s="1"/>
  <c r="O55" i="14"/>
  <c r="AE57" i="14"/>
  <c r="AC57" i="14" s="1"/>
  <c r="O58" i="14"/>
  <c r="A65" i="14"/>
  <c r="AC71" i="14"/>
  <c r="O72" i="14"/>
  <c r="AG86" i="14"/>
  <c r="AF86" i="14" s="1"/>
  <c r="AF71" i="14" s="1"/>
  <c r="O76" i="14"/>
  <c r="AC114" i="14"/>
  <c r="U13" i="15"/>
  <c r="V8" i="15"/>
  <c r="U12" i="15"/>
  <c r="V7" i="15"/>
  <c r="AG45" i="14"/>
  <c r="AG44" i="14" s="1"/>
  <c r="AO43" i="14"/>
  <c r="AN43" i="14"/>
  <c r="AM43" i="14"/>
  <c r="AL43" i="14"/>
  <c r="AK43" i="14"/>
  <c r="AJ43" i="14"/>
  <c r="AI43" i="14"/>
  <c r="AH43" i="14"/>
  <c r="AF43" i="14"/>
  <c r="R43" i="14"/>
  <c r="Q43" i="14"/>
  <c r="M43" i="14"/>
  <c r="M22" i="14" s="1"/>
  <c r="L43" i="14"/>
  <c r="K43" i="14"/>
  <c r="J43" i="14"/>
  <c r="I43" i="14"/>
  <c r="H43" i="14"/>
  <c r="G43" i="14"/>
  <c r="F43" i="14"/>
  <c r="E43" i="14"/>
  <c r="D43" i="14"/>
  <c r="C43" i="14"/>
  <c r="B43" i="14"/>
  <c r="A43" i="14"/>
  <c r="P43" i="14" s="1"/>
  <c r="AO40" i="14"/>
  <c r="AN40" i="14"/>
  <c r="AM40" i="14"/>
  <c r="AL40" i="14"/>
  <c r="AK40" i="14"/>
  <c r="AJ40" i="14"/>
  <c r="AI40" i="14"/>
  <c r="AH40" i="14"/>
  <c r="AG40" i="14"/>
  <c r="AF40" i="14"/>
  <c r="AE40" i="14"/>
  <c r="AC40" i="14" s="1"/>
  <c r="S40" i="14"/>
  <c r="R40" i="14"/>
  <c r="R22" i="14" s="1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A40" i="14"/>
  <c r="AG39" i="14"/>
  <c r="AF39" i="14" s="1"/>
  <c r="L39" i="14"/>
  <c r="J39" i="14"/>
  <c r="B39" i="14"/>
  <c r="A39" i="14"/>
  <c r="AG38" i="14"/>
  <c r="AF38" i="14" s="1"/>
  <c r="L38" i="14"/>
  <c r="K38" i="14"/>
  <c r="J38" i="14" s="1"/>
  <c r="I38" i="14"/>
  <c r="A38" i="14" s="1"/>
  <c r="A37" i="14" s="1"/>
  <c r="B38" i="14"/>
  <c r="B37" i="14" s="1"/>
  <c r="AE37" i="14"/>
  <c r="M37" i="14"/>
  <c r="K37" i="14"/>
  <c r="H37" i="14"/>
  <c r="G37" i="14"/>
  <c r="F37" i="14"/>
  <c r="E37" i="14"/>
  <c r="D37" i="14"/>
  <c r="C37" i="14"/>
  <c r="AG36" i="14"/>
  <c r="AF36" i="14" s="1"/>
  <c r="L36" i="14"/>
  <c r="K36" i="14"/>
  <c r="J36" i="14" s="1"/>
  <c r="I36" i="14"/>
  <c r="G36" i="14"/>
  <c r="E36" i="14"/>
  <c r="B36" i="14"/>
  <c r="AC35" i="14"/>
  <c r="M35" i="14"/>
  <c r="H35" i="14"/>
  <c r="F35" i="14"/>
  <c r="D35" i="14"/>
  <c r="C35" i="14"/>
  <c r="AG34" i="14"/>
  <c r="AF34" i="14"/>
  <c r="L34" i="14"/>
  <c r="K34" i="14"/>
  <c r="J34" i="14" s="1"/>
  <c r="I34" i="14"/>
  <c r="G34" i="14"/>
  <c r="E34" i="14"/>
  <c r="D34" i="14" s="1"/>
  <c r="C34" i="14"/>
  <c r="B34" i="14" s="1"/>
  <c r="AG33" i="14"/>
  <c r="J33" i="14"/>
  <c r="A33" i="14"/>
  <c r="AG32" i="14"/>
  <c r="A32" i="14"/>
  <c r="AG31" i="14"/>
  <c r="AF31" i="14"/>
  <c r="L31" i="14"/>
  <c r="J31" i="14"/>
  <c r="E31" i="14"/>
  <c r="D31" i="14" s="1"/>
  <c r="B31" i="14"/>
  <c r="AG30" i="14"/>
  <c r="AF30" i="14"/>
  <c r="L30" i="14"/>
  <c r="K30" i="14"/>
  <c r="J30" i="14" s="1"/>
  <c r="I30" i="14"/>
  <c r="G30" i="14"/>
  <c r="E30" i="14"/>
  <c r="D30" i="14" s="1"/>
  <c r="C30" i="14"/>
  <c r="B30" i="14" s="1"/>
  <c r="AG29" i="14"/>
  <c r="AF29" i="14" s="1"/>
  <c r="AB29" i="14"/>
  <c r="L29" i="14"/>
  <c r="K29" i="14"/>
  <c r="J29" i="14" s="1"/>
  <c r="I29" i="14"/>
  <c r="G29" i="14"/>
  <c r="E29" i="14"/>
  <c r="D29" i="14" s="1"/>
  <c r="C29" i="14"/>
  <c r="B29" i="14" s="1"/>
  <c r="AG28" i="14"/>
  <c r="AF28" i="14"/>
  <c r="AB28" i="14"/>
  <c r="L28" i="14"/>
  <c r="K28" i="14"/>
  <c r="J28" i="14" s="1"/>
  <c r="I28" i="14"/>
  <c r="G28" i="14"/>
  <c r="E28" i="14"/>
  <c r="D28" i="14" s="1"/>
  <c r="AD27" i="14"/>
  <c r="AD22" i="14" s="1"/>
  <c r="AC22" i="14" s="1"/>
  <c r="M27" i="14"/>
  <c r="H27" i="14"/>
  <c r="H26" i="14" s="1"/>
  <c r="F27" i="14"/>
  <c r="B27" i="14"/>
  <c r="B26" i="14" s="1"/>
  <c r="AO26" i="14"/>
  <c r="AN26" i="14"/>
  <c r="AM26" i="14"/>
  <c r="AL26" i="14"/>
  <c r="AK26" i="14"/>
  <c r="AJ26" i="14"/>
  <c r="AI26" i="14"/>
  <c r="AH26" i="14"/>
  <c r="AF26" i="14"/>
  <c r="AE26" i="14" s="1"/>
  <c r="R26" i="14"/>
  <c r="Q26" i="14"/>
  <c r="M26" i="14"/>
  <c r="AO25" i="14"/>
  <c r="AN25" i="14"/>
  <c r="AM25" i="14"/>
  <c r="AL25" i="14"/>
  <c r="AK25" i="14"/>
  <c r="AJ25" i="14"/>
  <c r="AI25" i="14"/>
  <c r="AH25" i="14"/>
  <c r="AF25" i="14"/>
  <c r="AE25" i="14"/>
  <c r="AE21" i="14" s="1"/>
  <c r="AD25" i="14"/>
  <c r="AC25" i="14" s="1"/>
  <c r="R25" i="14"/>
  <c r="Q25" i="14"/>
  <c r="P25" i="14"/>
  <c r="O25" i="14"/>
  <c r="N25" i="14"/>
  <c r="B25" i="14"/>
  <c r="AO24" i="14"/>
  <c r="AO20" i="14" s="1"/>
  <c r="AN24" i="14"/>
  <c r="AN20" i="14" s="1"/>
  <c r="AM24" i="14"/>
  <c r="AL24" i="14"/>
  <c r="AL20" i="14" s="1"/>
  <c r="AK24" i="14"/>
  <c r="AK20" i="14" s="1"/>
  <c r="AJ24" i="14"/>
  <c r="AJ20" i="14" s="1"/>
  <c r="AI24" i="14"/>
  <c r="AH24" i="14"/>
  <c r="AH20" i="14" s="1"/>
  <c r="AF24" i="14"/>
  <c r="AF20" i="14" s="1"/>
  <c r="F24" i="14"/>
  <c r="E24" i="14" s="1"/>
  <c r="AO22" i="14"/>
  <c r="AN22" i="14"/>
  <c r="AM22" i="14"/>
  <c r="AL22" i="14"/>
  <c r="AK22" i="14"/>
  <c r="AJ22" i="14"/>
  <c r="AI22" i="14"/>
  <c r="AH22" i="14"/>
  <c r="Q22" i="14"/>
  <c r="H22" i="14"/>
  <c r="B22" i="14"/>
  <c r="AM20" i="14"/>
  <c r="AI20" i="14"/>
  <c r="AC20" i="14"/>
  <c r="R20" i="14" s="1"/>
  <c r="Q20" i="14" s="1"/>
  <c r="P20" i="14" s="1"/>
  <c r="E20" i="14"/>
  <c r="AD19" i="14"/>
  <c r="D24" i="14" l="1"/>
  <c r="C24" i="14" s="1"/>
  <c r="C20" i="14" s="1"/>
  <c r="J80" i="14"/>
  <c r="I80" i="14" s="1"/>
  <c r="H80" i="14" s="1"/>
  <c r="F22" i="14"/>
  <c r="AF22" i="14"/>
  <c r="D20" i="14"/>
  <c r="AD21" i="14"/>
  <c r="AC21" i="14" s="1"/>
  <c r="R21" i="14" s="1"/>
  <c r="Q21" i="14" s="1"/>
  <c r="P21" i="14" s="1"/>
  <c r="O21" i="14" s="1"/>
  <c r="N21" i="14" s="1"/>
  <c r="M25" i="14"/>
  <c r="AD26" i="14"/>
  <c r="I27" i="14"/>
  <c r="I22" i="14" s="1"/>
  <c r="Q97" i="14"/>
  <c r="F26" i="14"/>
  <c r="L27" i="14"/>
  <c r="L22" i="14" s="1"/>
  <c r="J27" i="14"/>
  <c r="A31" i="14"/>
  <c r="D27" i="14"/>
  <c r="D26" i="14" s="1"/>
  <c r="O74" i="14"/>
  <c r="AF48" i="14"/>
  <c r="AE48" i="14" s="1"/>
  <c r="B24" i="14"/>
  <c r="C27" i="14"/>
  <c r="AG27" i="14"/>
  <c r="AG35" i="14"/>
  <c r="AG25" i="14" s="1"/>
  <c r="B20" i="14"/>
  <c r="B14" i="14" s="1"/>
  <c r="A30" i="14"/>
  <c r="N43" i="14"/>
  <c r="N22" i="14" s="1"/>
  <c r="A36" i="14"/>
  <c r="A35" i="14" s="1"/>
  <c r="M179" i="14"/>
  <c r="N169" i="14"/>
  <c r="A24" i="14"/>
  <c r="AO23" i="14" s="1"/>
  <c r="A25" i="14"/>
  <c r="O20" i="14"/>
  <c r="N20" i="14" s="1"/>
  <c r="E27" i="14"/>
  <c r="E22" i="14" s="1"/>
  <c r="A28" i="14"/>
  <c r="G27" i="14"/>
  <c r="G35" i="14"/>
  <c r="K35" i="14"/>
  <c r="J35" i="14" s="1"/>
  <c r="J37" i="14"/>
  <c r="I37" i="14" s="1"/>
  <c r="AJ6" i="15"/>
  <c r="O169" i="14"/>
  <c r="P99" i="14"/>
  <c r="AG43" i="14"/>
  <c r="AE44" i="14"/>
  <c r="AE43" i="14" s="1"/>
  <c r="AE22" i="14" s="1"/>
  <c r="G22" i="14"/>
  <c r="AG22" i="14"/>
  <c r="T13" i="15"/>
  <c r="U8" i="15"/>
  <c r="O69" i="14"/>
  <c r="AA11" i="15"/>
  <c r="AB10" i="15"/>
  <c r="C179" i="14"/>
  <c r="D169" i="14"/>
  <c r="AH154" i="15"/>
  <c r="AG154" i="15" s="1"/>
  <c r="AI6" i="15"/>
  <c r="P22" i="14"/>
  <c r="K27" i="14"/>
  <c r="K26" i="14" s="1"/>
  <c r="A29" i="14"/>
  <c r="A34" i="14"/>
  <c r="E35" i="14"/>
  <c r="L35" i="14"/>
  <c r="L26" i="14" s="1"/>
  <c r="L37" i="14"/>
  <c r="AG37" i="14"/>
  <c r="AG26" i="14" s="1"/>
  <c r="AG71" i="14"/>
  <c r="O52" i="14"/>
  <c r="L10" i="15"/>
  <c r="T12" i="15"/>
  <c r="U7" i="15"/>
  <c r="S13" i="15"/>
  <c r="S8" i="15" s="1"/>
  <c r="T8" i="15"/>
  <c r="AD15" i="14"/>
  <c r="AC15" i="14" s="1"/>
  <c r="R15" i="14" s="1"/>
  <c r="Q15" i="14" s="1"/>
  <c r="AN14" i="14"/>
  <c r="AM14" i="14"/>
  <c r="AL14" i="14"/>
  <c r="AK14" i="14" s="1"/>
  <c r="AJ14" i="14" s="1"/>
  <c r="AI14" i="14" s="1"/>
  <c r="AH14" i="14" s="1"/>
  <c r="AC14" i="14"/>
  <c r="R14" i="14" s="1"/>
  <c r="Q14" i="14" s="1"/>
  <c r="E14" i="14"/>
  <c r="D14" i="14"/>
  <c r="C14" i="14"/>
  <c r="O14" i="14" l="1"/>
  <c r="N14" i="14" s="1"/>
  <c r="D22" i="14"/>
  <c r="M21" i="14"/>
  <c r="O43" i="14"/>
  <c r="A20" i="14"/>
  <c r="A14" i="14" s="1"/>
  <c r="P14" i="14" s="1"/>
  <c r="C22" i="14"/>
  <c r="C26" i="14"/>
  <c r="G26" i="14"/>
  <c r="I35" i="14"/>
  <c r="I26" i="14" s="1"/>
  <c r="J26" i="14"/>
  <c r="AN23" i="14"/>
  <c r="AO19" i="14"/>
  <c r="AO13" i="14" s="1"/>
  <c r="L179" i="14"/>
  <c r="M169" i="14"/>
  <c r="E26" i="14"/>
  <c r="O22" i="14"/>
  <c r="AF154" i="15"/>
  <c r="AG6" i="15"/>
  <c r="B179" i="14"/>
  <c r="C169" i="14"/>
  <c r="Y11" i="15"/>
  <c r="A27" i="14"/>
  <c r="AG24" i="14"/>
  <c r="AH6" i="15"/>
  <c r="L25" i="14"/>
  <c r="K22" i="14"/>
  <c r="J22" i="14" s="1"/>
  <c r="S12" i="15"/>
  <c r="T7" i="15"/>
  <c r="K179" i="14" l="1"/>
  <c r="J179" i="14" s="1"/>
  <c r="L169" i="14"/>
  <c r="AM23" i="14"/>
  <c r="AN19" i="14"/>
  <c r="AN13" i="14" s="1"/>
  <c r="A26" i="14"/>
  <c r="A22" i="14"/>
  <c r="AO21" i="14" s="1"/>
  <c r="AN21" i="14" s="1"/>
  <c r="X11" i="15"/>
  <c r="A179" i="14"/>
  <c r="A169" i="14" s="1"/>
  <c r="B169" i="14"/>
  <c r="AE154" i="15"/>
  <c r="AD154" i="15" s="1"/>
  <c r="AF6" i="15"/>
  <c r="K25" i="14"/>
  <c r="J25" i="14" s="1"/>
  <c r="I25" i="14" s="1"/>
  <c r="H25" i="14" s="1"/>
  <c r="G25" i="14" s="1"/>
  <c r="F25" i="14" s="1"/>
  <c r="E25" i="14" s="1"/>
  <c r="D25" i="14" s="1"/>
  <c r="C25" i="14" s="1"/>
  <c r="L21" i="14"/>
  <c r="AE24" i="14"/>
  <c r="AG20" i="14"/>
  <c r="AG14" i="14" s="1"/>
  <c r="AF14" i="14" s="1"/>
  <c r="R12" i="15"/>
  <c r="S7" i="15"/>
  <c r="AC13" i="14"/>
  <c r="R13" i="14"/>
  <c r="Q13" i="14"/>
  <c r="K169" i="14" l="1"/>
  <c r="J169" i="14" s="1"/>
  <c r="AL23" i="14"/>
  <c r="AM19" i="14"/>
  <c r="AM13" i="14" s="1"/>
  <c r="M24" i="14"/>
  <c r="AE20" i="14"/>
  <c r="AD20" i="14" s="1"/>
  <c r="AD14" i="14" s="1"/>
  <c r="AC154" i="15"/>
  <c r="AD6" i="15"/>
  <c r="W11" i="15"/>
  <c r="N26" i="14"/>
  <c r="P26" i="14"/>
  <c r="AM21" i="14"/>
  <c r="AN15" i="14"/>
  <c r="AE14" i="14"/>
  <c r="K21" i="14"/>
  <c r="J21" i="14" s="1"/>
  <c r="I21" i="14" s="1"/>
  <c r="AE6" i="15"/>
  <c r="Q12" i="15"/>
  <c r="Q7" i="15" s="1"/>
  <c r="AM7" i="15" s="1"/>
  <c r="R7" i="15"/>
  <c r="AK23" i="14" l="1"/>
  <c r="AL19" i="14"/>
  <c r="AL13" i="14" s="1"/>
  <c r="AL21" i="14"/>
  <c r="AM15" i="14"/>
  <c r="AB154" i="15"/>
  <c r="AC6" i="15"/>
  <c r="L24" i="14"/>
  <c r="M20" i="14"/>
  <c r="M14" i="14" s="1"/>
  <c r="H21" i="14"/>
  <c r="G21" i="14" s="1"/>
  <c r="F21" i="14" s="1"/>
  <c r="E21" i="14" s="1"/>
  <c r="I15" i="14"/>
  <c r="O26" i="14"/>
  <c r="Q334" i="6"/>
  <c r="AJ334" i="6"/>
  <c r="Z333" i="6"/>
  <c r="Z328" i="6" s="1"/>
  <c r="Z327" i="6" s="1"/>
  <c r="V333" i="6"/>
  <c r="Q333" i="6"/>
  <c r="Q328" i="6" s="1"/>
  <c r="P333" i="6"/>
  <c r="R329" i="6"/>
  <c r="P329" i="6" s="1"/>
  <c r="X328" i="6"/>
  <c r="X327" i="6" s="1"/>
  <c r="W328" i="6"/>
  <c r="U328" i="6"/>
  <c r="U327" i="6" s="1"/>
  <c r="T327" i="6"/>
  <c r="S328" i="6"/>
  <c r="S327" i="6" s="1"/>
  <c r="R328" i="6"/>
  <c r="R327" i="6" s="1"/>
  <c r="J328" i="6"/>
  <c r="AN327" i="6"/>
  <c r="AM327" i="6"/>
  <c r="AK327" i="6"/>
  <c r="Q327" i="6" l="1"/>
  <c r="AJ23" i="14"/>
  <c r="AJ19" i="14" s="1"/>
  <c r="AK19" i="14"/>
  <c r="AK13" i="14" s="1"/>
  <c r="H15" i="14"/>
  <c r="G15" i="14" s="1"/>
  <c r="F15" i="14" s="1"/>
  <c r="K24" i="14"/>
  <c r="J24" i="14" s="1"/>
  <c r="I24" i="14" s="1"/>
  <c r="L20" i="14"/>
  <c r="L14" i="14" s="1"/>
  <c r="AA154" i="15"/>
  <c r="AB6" i="15"/>
  <c r="AK21" i="14"/>
  <c r="AJ21" i="14" s="1"/>
  <c r="AI21" i="14" s="1"/>
  <c r="AH21" i="14" s="1"/>
  <c r="AG21" i="14" s="1"/>
  <c r="AF21" i="14" s="1"/>
  <c r="AF15" i="14" s="1"/>
  <c r="AE15" i="14" s="1"/>
  <c r="AL15" i="14"/>
  <c r="D21" i="14"/>
  <c r="C21" i="14" s="1"/>
  <c r="E15" i="14"/>
  <c r="W334" i="6"/>
  <c r="W327" i="6" s="1"/>
  <c r="V328" i="6"/>
  <c r="V327" i="6" s="1"/>
  <c r="P327" i="6"/>
  <c r="O327" i="6"/>
  <c r="N327" i="6"/>
  <c r="M327" i="6"/>
  <c r="L327" i="6"/>
  <c r="J327" i="6" s="1"/>
  <c r="J326" i="6"/>
  <c r="Q321" i="6"/>
  <c r="J321" i="6"/>
  <c r="J320" i="6"/>
  <c r="Q319" i="6"/>
  <c r="Z318" i="6"/>
  <c r="Z315" i="6" s="1"/>
  <c r="R318" i="6"/>
  <c r="R315" i="6" s="1"/>
  <c r="Q318" i="6"/>
  <c r="Q317" i="6"/>
  <c r="R316" i="6"/>
  <c r="P316" i="6" s="1"/>
  <c r="Q316" i="6"/>
  <c r="AI315" i="6"/>
  <c r="AH315" i="6"/>
  <c r="AG315" i="6"/>
  <c r="AF315" i="6"/>
  <c r="AE315" i="6"/>
  <c r="AD315" i="6"/>
  <c r="AC315" i="6"/>
  <c r="AB315" i="6"/>
  <c r="AA315" i="6"/>
  <c r="Y315" i="6"/>
  <c r="W315" i="6"/>
  <c r="V315" i="6"/>
  <c r="U315" i="6"/>
  <c r="T315" i="6"/>
  <c r="S315" i="6"/>
  <c r="J315" i="6"/>
  <c r="AN314" i="6"/>
  <c r="AM314" i="6"/>
  <c r="AJ327" i="6" l="1"/>
  <c r="Q315" i="6"/>
  <c r="AI23" i="14"/>
  <c r="AI19" i="14" s="1"/>
  <c r="AJ13" i="14"/>
  <c r="B21" i="14"/>
  <c r="A21" i="14" s="1"/>
  <c r="C15" i="14"/>
  <c r="Y154" i="15"/>
  <c r="AA6" i="15"/>
  <c r="H24" i="14"/>
  <c r="G24" i="14" s="1"/>
  <c r="G20" i="14" s="1"/>
  <c r="I20" i="14"/>
  <c r="D15" i="14"/>
  <c r="AK15" i="14"/>
  <c r="AJ15" i="14" s="1"/>
  <c r="AI15" i="14" s="1"/>
  <c r="AH15" i="14" s="1"/>
  <c r="AG15" i="14" s="1"/>
  <c r="K20" i="14"/>
  <c r="P321" i="6"/>
  <c r="AJ321" i="6" s="1"/>
  <c r="AE314" i="6"/>
  <c r="AD314" i="6" s="1"/>
  <c r="AC314" i="6" s="1"/>
  <c r="AB314" i="6" s="1"/>
  <c r="AA314" i="6"/>
  <c r="Z314" i="6"/>
  <c r="Y314" i="6"/>
  <c r="X314" i="6"/>
  <c r="W314" i="6"/>
  <c r="V314" i="6"/>
  <c r="U314" i="6"/>
  <c r="T314" i="6"/>
  <c r="S314" i="6"/>
  <c r="R314" i="6" s="1"/>
  <c r="P314" i="6"/>
  <c r="O314" i="6"/>
  <c r="N314" i="6"/>
  <c r="M314" i="6"/>
  <c r="L314" i="6"/>
  <c r="J314" i="6" s="1"/>
  <c r="J313" i="6"/>
  <c r="Z312" i="6"/>
  <c r="T312" i="6"/>
  <c r="Q312" i="6"/>
  <c r="AE311" i="6"/>
  <c r="T311" i="6"/>
  <c r="Q311" i="6"/>
  <c r="AI310" i="6"/>
  <c r="AH310" i="6"/>
  <c r="AG310" i="6"/>
  <c r="AF310" i="6"/>
  <c r="AD310" i="6"/>
  <c r="AC310" i="6"/>
  <c r="AB310" i="6"/>
  <c r="AA310" i="6"/>
  <c r="AE310" i="6" l="1"/>
  <c r="Q314" i="6"/>
  <c r="AH23" i="14"/>
  <c r="AI13" i="14"/>
  <c r="P312" i="6"/>
  <c r="AJ314" i="6"/>
  <c r="J20" i="14"/>
  <c r="K14" i="14"/>
  <c r="F20" i="14"/>
  <c r="G14" i="14"/>
  <c r="X154" i="15"/>
  <c r="Y6" i="15"/>
  <c r="H20" i="14"/>
  <c r="B15" i="14"/>
  <c r="A15" i="14" s="1"/>
  <c r="AI314" i="6"/>
  <c r="AH314" i="6" s="1"/>
  <c r="AG314" i="6" s="1"/>
  <c r="AF314" i="6" s="1"/>
  <c r="AK314" i="6"/>
  <c r="Z310" i="6"/>
  <c r="Y310" i="6"/>
  <c r="W310" i="6"/>
  <c r="W309" i="6" s="1"/>
  <c r="V310" i="6"/>
  <c r="V309" i="6" s="1"/>
  <c r="U310" i="6"/>
  <c r="U309" i="6" s="1"/>
  <c r="T310" i="6"/>
  <c r="T309" i="6" s="1"/>
  <c r="S310" i="6"/>
  <c r="R310" i="6" s="1"/>
  <c r="R309" i="6" s="1"/>
  <c r="Q310" i="6"/>
  <c r="AN309" i="6"/>
  <c r="AM309" i="6"/>
  <c r="AE309" i="6"/>
  <c r="AD309" i="6"/>
  <c r="AC309" i="6"/>
  <c r="AB309" i="6" s="1"/>
  <c r="AA309" i="6" s="1"/>
  <c r="Z309" i="6" s="1"/>
  <c r="Y309" i="6"/>
  <c r="X309" i="6"/>
  <c r="Q309" i="6"/>
  <c r="P309" i="6"/>
  <c r="O309" i="6"/>
  <c r="N309" i="6"/>
  <c r="M309" i="6"/>
  <c r="L309" i="6"/>
  <c r="J309" i="6" s="1"/>
  <c r="J308" i="6"/>
  <c r="AE307" i="6"/>
  <c r="T307" i="6"/>
  <c r="P307" i="6"/>
  <c r="AI306" i="6"/>
  <c r="AH306" i="6"/>
  <c r="AG306" i="6"/>
  <c r="AF306" i="6"/>
  <c r="AC305" i="6"/>
  <c r="AB305" i="6"/>
  <c r="Y306" i="6"/>
  <c r="X306" i="6"/>
  <c r="W306" i="6"/>
  <c r="V306" i="6"/>
  <c r="S306" i="6"/>
  <c r="R306" i="6"/>
  <c r="J306" i="6"/>
  <c r="AN305" i="6"/>
  <c r="AM305" i="6"/>
  <c r="AD305" i="6"/>
  <c r="AH19" i="14" l="1"/>
  <c r="AH13" i="14" s="1"/>
  <c r="S309" i="6"/>
  <c r="W154" i="15"/>
  <c r="X6" i="15"/>
  <c r="AO14" i="14"/>
  <c r="P15" i="14"/>
  <c r="O15" i="14" s="1"/>
  <c r="N15" i="14" s="1"/>
  <c r="M15" i="14" s="1"/>
  <c r="L15" i="14" s="1"/>
  <c r="K15" i="14" s="1"/>
  <c r="J15" i="14" s="1"/>
  <c r="F14" i="14"/>
  <c r="J14" i="14"/>
  <c r="I14" i="14" s="1"/>
  <c r="H14" i="14" s="1"/>
  <c r="Z306" i="6"/>
  <c r="Z305" i="6" s="1"/>
  <c r="AI309" i="6"/>
  <c r="AH309" i="6" s="1"/>
  <c r="AG309" i="6" s="1"/>
  <c r="AF309" i="6" s="1"/>
  <c r="AA305" i="6"/>
  <c r="AE306" i="6"/>
  <c r="AE305" i="6" s="1"/>
  <c r="U306" i="6"/>
  <c r="U305" i="6" s="1"/>
  <c r="Q306" i="6"/>
  <c r="Q305" i="6" s="1"/>
  <c r="AL309" i="6"/>
  <c r="T306" i="6"/>
  <c r="T305" i="6" s="1"/>
  <c r="Y305" i="6"/>
  <c r="X305" i="6"/>
  <c r="W305" i="6"/>
  <c r="V305" i="6"/>
  <c r="S305" i="6"/>
  <c r="R305" i="6"/>
  <c r="P305" i="6"/>
  <c r="O305" i="6"/>
  <c r="N305" i="6"/>
  <c r="M305" i="6"/>
  <c r="L305" i="6"/>
  <c r="J305" i="6" s="1"/>
  <c r="P303" i="6"/>
  <c r="AJ303" i="6" s="1"/>
  <c r="O303" i="6"/>
  <c r="V154" i="15" l="1"/>
  <c r="W6" i="15"/>
  <c r="AJ305" i="6"/>
  <c r="AK303" i="6"/>
  <c r="N303" i="6"/>
  <c r="M303" i="6"/>
  <c r="L303" i="6"/>
  <c r="V302" i="6"/>
  <c r="AH301" i="6"/>
  <c r="AH294" i="6" s="1"/>
  <c r="AG301" i="6"/>
  <c r="AG294" i="6" s="1"/>
  <c r="AF301" i="6"/>
  <c r="AF294" i="6" s="1"/>
  <c r="AD301" i="6"/>
  <c r="AC301" i="6"/>
  <c r="AB301" i="6"/>
  <c r="AA301" i="6"/>
  <c r="Z301" i="6" s="1"/>
  <c r="Y301" i="6"/>
  <c r="X301" i="6"/>
  <c r="W301" i="6"/>
  <c r="U301" i="6"/>
  <c r="T301" i="6"/>
  <c r="S301" i="6"/>
  <c r="R301" i="6"/>
  <c r="Q301" i="6" s="1"/>
  <c r="Q281" i="6" s="1"/>
  <c r="U154" i="15" l="1"/>
  <c r="V6" i="15"/>
  <c r="V301" i="6"/>
  <c r="AI305" i="6"/>
  <c r="AH305" i="6" s="1"/>
  <c r="AG305" i="6" s="1"/>
  <c r="AF305" i="6" s="1"/>
  <c r="AK305" i="6"/>
  <c r="Z299" i="6"/>
  <c r="T299" i="6"/>
  <c r="Q299" i="6"/>
  <c r="Z296" i="6"/>
  <c r="T296" i="6"/>
  <c r="R296" i="6"/>
  <c r="Q296" i="6"/>
  <c r="Q295" i="6" s="1"/>
  <c r="AD295" i="6"/>
  <c r="AC295" i="6"/>
  <c r="AB295" i="6"/>
  <c r="AA295" i="6"/>
  <c r="Y295" i="6"/>
  <c r="X295" i="6"/>
  <c r="W295" i="6"/>
  <c r="V295" i="6"/>
  <c r="U295" i="6"/>
  <c r="S295" i="6"/>
  <c r="R295" i="6"/>
  <c r="P294" i="6"/>
  <c r="O294" i="6"/>
  <c r="N294" i="6"/>
  <c r="M294" i="6"/>
  <c r="L294" i="6"/>
  <c r="J294" i="6" s="1"/>
  <c r="AE293" i="6"/>
  <c r="Z293" i="6"/>
  <c r="V293" i="6"/>
  <c r="V292" i="6" s="1"/>
  <c r="R293" i="6"/>
  <c r="R292" i="6" s="1"/>
  <c r="Q293" i="6"/>
  <c r="P293" i="6" s="1"/>
  <c r="AN292" i="6"/>
  <c r="AM292" i="6"/>
  <c r="AL292" i="6"/>
  <c r="AK292" i="6"/>
  <c r="AJ292" i="6"/>
  <c r="AI292" i="6"/>
  <c r="AH292" i="6"/>
  <c r="AG292" i="6"/>
  <c r="AG291" i="6" s="1"/>
  <c r="AF292" i="6"/>
  <c r="AD292" i="6"/>
  <c r="AC292" i="6"/>
  <c r="AB292" i="6"/>
  <c r="AA292" i="6"/>
  <c r="Z292" i="6"/>
  <c r="Y292" i="6"/>
  <c r="W292" i="6"/>
  <c r="U292" i="6"/>
  <c r="U291" i="6" s="1"/>
  <c r="T292" i="6"/>
  <c r="T291" i="6" s="1"/>
  <c r="S292" i="6"/>
  <c r="Q292" i="6"/>
  <c r="AN291" i="6" s="1"/>
  <c r="AF291" i="6"/>
  <c r="X291" i="6"/>
  <c r="P291" i="6"/>
  <c r="M291" i="6"/>
  <c r="L291" i="6"/>
  <c r="J291" i="6" s="1"/>
  <c r="Z289" i="6"/>
  <c r="X289" i="6"/>
  <c r="V289" i="6"/>
  <c r="Q289" i="6"/>
  <c r="Z288" i="6"/>
  <c r="Q288" i="6"/>
  <c r="P288" i="6" s="1"/>
  <c r="AD287" i="6"/>
  <c r="AC287" i="6"/>
  <c r="AB287" i="6"/>
  <c r="AA287" i="6"/>
  <c r="T295" i="6" l="1"/>
  <c r="Z295" i="6"/>
  <c r="W291" i="6"/>
  <c r="AM291" i="6"/>
  <c r="V291" i="6"/>
  <c r="T154" i="15"/>
  <c r="U6" i="15"/>
  <c r="S291" i="6"/>
  <c r="R291" i="6" s="1"/>
  <c r="Q291" i="6" s="1"/>
  <c r="P296" i="6"/>
  <c r="AE292" i="6"/>
  <c r="AE291" i="6" s="1"/>
  <c r="Z287" i="6"/>
  <c r="Y287" i="6"/>
  <c r="Y286" i="6" s="1"/>
  <c r="X287" i="6"/>
  <c r="W287" i="6"/>
  <c r="V287" i="6" s="1"/>
  <c r="V286" i="6" s="1"/>
  <c r="U287" i="6"/>
  <c r="U286" i="6" s="1"/>
  <c r="T287" i="6"/>
  <c r="T286" i="6" s="1"/>
  <c r="S287" i="6"/>
  <c r="R287" i="6"/>
  <c r="R286" i="6" s="1"/>
  <c r="Q287" i="6"/>
  <c r="Q286" i="6" s="1"/>
  <c r="AN286" i="6"/>
  <c r="AM286" i="6"/>
  <c r="AL286" i="6"/>
  <c r="AI286" i="6"/>
  <c r="AH286" i="6"/>
  <c r="AG286" i="6"/>
  <c r="AF286" i="6"/>
  <c r="AE286" i="6"/>
  <c r="AD286" i="6" s="1"/>
  <c r="AC286" i="6"/>
  <c r="AB286" i="6"/>
  <c r="AA286" i="6"/>
  <c r="X286" i="6"/>
  <c r="S286" i="6"/>
  <c r="P286" i="6"/>
  <c r="O286" i="6"/>
  <c r="N286" i="6"/>
  <c r="M286" i="6"/>
  <c r="L286" i="6"/>
  <c r="Z285" i="6"/>
  <c r="Q285" i="6"/>
  <c r="AH284" i="6"/>
  <c r="AG284" i="6"/>
  <c r="AF284" i="6"/>
  <c r="AF283" i="6" s="1"/>
  <c r="AE284" i="6"/>
  <c r="AE283" i="6" s="1"/>
  <c r="AD284" i="6"/>
  <c r="AC284" i="6"/>
  <c r="AB284" i="6"/>
  <c r="AB283" i="6" s="1"/>
  <c r="AA284" i="6"/>
  <c r="AA283" i="6" s="1"/>
  <c r="Y284" i="6"/>
  <c r="X284" i="6"/>
  <c r="X283" i="6" s="1"/>
  <c r="W284" i="6"/>
  <c r="W283" i="6" s="1"/>
  <c r="V284" i="6"/>
  <c r="V283" i="6" s="1"/>
  <c r="U284" i="6"/>
  <c r="T284" i="6"/>
  <c r="T283" i="6" s="1"/>
  <c r="S284" i="6"/>
  <c r="S283" i="6" s="1"/>
  <c r="R284" i="6"/>
  <c r="Q284" i="6" s="1"/>
  <c r="Q283" i="6" s="1"/>
  <c r="AN283" i="6"/>
  <c r="AM283" i="6"/>
  <c r="AL283" i="6"/>
  <c r="AK283" i="6"/>
  <c r="AJ283" i="6"/>
  <c r="AI283" i="6"/>
  <c r="AH283" i="6"/>
  <c r="AG283" i="6"/>
  <c r="AD283" i="6"/>
  <c r="AC283" i="6"/>
  <c r="Y283" i="6"/>
  <c r="U283" i="6"/>
  <c r="P283" i="6"/>
  <c r="O283" i="6"/>
  <c r="N283" i="6"/>
  <c r="M283" i="6"/>
  <c r="L283" i="6"/>
  <c r="L280" i="6" s="1"/>
  <c r="L282" i="6"/>
  <c r="AL281" i="6"/>
  <c r="AK281" i="6"/>
  <c r="AJ281" i="6"/>
  <c r="AI281" i="6"/>
  <c r="AH281" i="6"/>
  <c r="AG281" i="6"/>
  <c r="AF281" i="6"/>
  <c r="AE281" i="6"/>
  <c r="AD281" i="6"/>
  <c r="AB281" i="6"/>
  <c r="AA281" i="6"/>
  <c r="Z281" i="6"/>
  <c r="Y281" i="6"/>
  <c r="X281" i="6"/>
  <c r="W281" i="6"/>
  <c r="V281" i="6"/>
  <c r="U281" i="6"/>
  <c r="T281" i="6"/>
  <c r="S281" i="6"/>
  <c r="R281" i="6"/>
  <c r="P281" i="6"/>
  <c r="O281" i="6"/>
  <c r="N281" i="6"/>
  <c r="M281" i="6"/>
  <c r="AN280" i="6"/>
  <c r="Z286" i="6" l="1"/>
  <c r="AJ286" i="6"/>
  <c r="AK286" i="6" s="1"/>
  <c r="Z284" i="6"/>
  <c r="Z283" i="6" s="1"/>
  <c r="AD291" i="6"/>
  <c r="AC291" i="6" s="1"/>
  <c r="AB291" i="6" s="1"/>
  <c r="AA291" i="6" s="1"/>
  <c r="Z291" i="6" s="1"/>
  <c r="Y291" i="6" s="1"/>
  <c r="AL291" i="6"/>
  <c r="AM280" i="6"/>
  <c r="W286" i="6"/>
  <c r="S154" i="15"/>
  <c r="T6" i="15"/>
  <c r="R283" i="6"/>
  <c r="AC281" i="6"/>
  <c r="AL280" i="6" l="1"/>
  <c r="AK291" i="6"/>
  <c r="R154" i="15"/>
  <c r="S6" i="15"/>
  <c r="AG280" i="6"/>
  <c r="AF280" i="6"/>
  <c r="AE280" i="6" s="1"/>
  <c r="AD280" i="6"/>
  <c r="AJ291" i="6" l="1"/>
  <c r="AK280" i="6"/>
  <c r="Q154" i="15"/>
  <c r="R6" i="15"/>
  <c r="AC280" i="6"/>
  <c r="AI291" i="6" l="1"/>
  <c r="AJ280" i="6"/>
  <c r="P154" i="15"/>
  <c r="Q6" i="15"/>
  <c r="AB280" i="6"/>
  <c r="AH291" i="6" l="1"/>
  <c r="AI280" i="6"/>
  <c r="O154" i="15"/>
  <c r="P5" i="15"/>
  <c r="P6" i="15"/>
  <c r="AA280" i="6"/>
  <c r="Z280" i="6"/>
  <c r="Y280" i="6" s="1"/>
  <c r="X280" i="6" s="1"/>
  <c r="W280" i="6" s="1"/>
  <c r="V280" i="6" s="1"/>
  <c r="U280" i="6" s="1"/>
  <c r="T280" i="6" s="1"/>
  <c r="S280" i="6" s="1"/>
  <c r="R280" i="6" s="1"/>
  <c r="Q280" i="6" s="1"/>
  <c r="P280" i="6"/>
  <c r="O280" i="6" s="1"/>
  <c r="N280" i="6" s="1"/>
  <c r="M280" i="6" s="1"/>
  <c r="K280" i="6"/>
  <c r="AM5" i="15" l="1"/>
  <c r="AH280" i="6"/>
  <c r="N154" i="15"/>
  <c r="O153" i="15"/>
  <c r="O6" i="15"/>
  <c r="O5" i="15" s="1"/>
  <c r="AM6" i="15"/>
  <c r="J280" i="6"/>
  <c r="L279" i="6"/>
  <c r="R273" i="6"/>
  <c r="L273" i="6"/>
  <c r="AN272" i="6"/>
  <c r="AM272" i="6"/>
  <c r="AL272" i="6"/>
  <c r="AK272" i="6"/>
  <c r="AJ272" i="6"/>
  <c r="AF272" i="6"/>
  <c r="AE272" i="6"/>
  <c r="AD272" i="6"/>
  <c r="AB272" i="6"/>
  <c r="AA272" i="6"/>
  <c r="Y272" i="6"/>
  <c r="X272" i="6"/>
  <c r="V272" i="6"/>
  <c r="U272" i="6"/>
  <c r="T272" i="6"/>
  <c r="S272" i="6"/>
  <c r="O272" i="6"/>
  <c r="L272" i="6" s="1"/>
  <c r="L271" i="6" s="1"/>
  <c r="L268" i="6" s="1"/>
  <c r="AN271" i="6"/>
  <c r="AN268" i="6" s="1"/>
  <c r="AM271" i="6"/>
  <c r="AI271" i="6"/>
  <c r="AI268" i="6" s="1"/>
  <c r="AH271" i="6"/>
  <c r="AH268" i="6" s="1"/>
  <c r="AG271" i="6"/>
  <c r="N271" i="6"/>
  <c r="M271" i="6"/>
  <c r="L270" i="6"/>
  <c r="L269" i="6"/>
  <c r="AM268" i="6"/>
  <c r="K268" i="6"/>
  <c r="O271" i="6" l="1"/>
  <c r="AF271" i="6"/>
  <c r="AG268" i="6"/>
  <c r="R272" i="6"/>
  <c r="M154" i="15"/>
  <c r="N153" i="15"/>
  <c r="N6" i="15"/>
  <c r="N5" i="15" s="1"/>
  <c r="P272" i="6"/>
  <c r="P271" i="6" s="1"/>
  <c r="Z271" i="6"/>
  <c r="Z268" i="6" s="1"/>
  <c r="Y271" i="6"/>
  <c r="P268" i="6" l="1"/>
  <c r="AE271" i="6"/>
  <c r="AF268" i="6"/>
  <c r="X271" i="6"/>
  <c r="Y268" i="6"/>
  <c r="L154" i="15"/>
  <c r="M6" i="15"/>
  <c r="M5" i="15" s="1"/>
  <c r="M153" i="15"/>
  <c r="O268" i="6"/>
  <c r="N268" i="6" s="1"/>
  <c r="M268" i="6" s="1"/>
  <c r="J268" i="6" s="1"/>
  <c r="L267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AN249" i="6"/>
  <c r="AM249" i="6"/>
  <c r="AM230" i="6" s="1"/>
  <c r="AL249" i="6"/>
  <c r="AK249" i="6"/>
  <c r="AK230" i="6" s="1"/>
  <c r="AJ249" i="6"/>
  <c r="AI249" i="6"/>
  <c r="AI230" i="6" s="1"/>
  <c r="AI181" i="6" s="1"/>
  <c r="AH249" i="6"/>
  <c r="AG249" i="6"/>
  <c r="AG230" i="6" s="1"/>
  <c r="AG181" i="6" s="1"/>
  <c r="AE181" i="6"/>
  <c r="Q181" i="6"/>
  <c r="N31" i="11" s="1"/>
  <c r="O31" i="11" s="1"/>
  <c r="O249" i="6"/>
  <c r="N249" i="6"/>
  <c r="M249" i="6"/>
  <c r="L249" i="6"/>
  <c r="Q248" i="6"/>
  <c r="Q247" i="6"/>
  <c r="Q246" i="6"/>
  <c r="Q245" i="6"/>
  <c r="AI244" i="6"/>
  <c r="AH244" i="6"/>
  <c r="AG244" i="6"/>
  <c r="AF244" i="6"/>
  <c r="AF243" i="6" s="1"/>
  <c r="AE244" i="6"/>
  <c r="AE243" i="6" s="1"/>
  <c r="AD244" i="6"/>
  <c r="AC244" i="6"/>
  <c r="AB244" i="6"/>
  <c r="AA244" i="6"/>
  <c r="AA243" i="6" s="1"/>
  <c r="Z244" i="6"/>
  <c r="Z243" i="6" s="1"/>
  <c r="Y244" i="6"/>
  <c r="Y243" i="6" s="1"/>
  <c r="W244" i="6"/>
  <c r="V244" i="6"/>
  <c r="V243" i="6" s="1"/>
  <c r="U244" i="6"/>
  <c r="U243" i="6" s="1"/>
  <c r="T244" i="6"/>
  <c r="T243" i="6" s="1"/>
  <c r="S244" i="6"/>
  <c r="S243" i="6" s="1"/>
  <c r="R244" i="6"/>
  <c r="AN243" i="6"/>
  <c r="AM243" i="6"/>
  <c r="AL243" i="6"/>
  <c r="AK243" i="6"/>
  <c r="AJ243" i="6"/>
  <c r="X243" i="6"/>
  <c r="W243" i="6"/>
  <c r="P243" i="6"/>
  <c r="O243" i="6"/>
  <c r="N243" i="6"/>
  <c r="M243" i="6"/>
  <c r="L243" i="6"/>
  <c r="Q242" i="6"/>
  <c r="Q241" i="6"/>
  <c r="Q240" i="6"/>
  <c r="Q239" i="6"/>
  <c r="AN238" i="6"/>
  <c r="AN237" i="6" s="1"/>
  <c r="AM238" i="6"/>
  <c r="AM237" i="6" s="1"/>
  <c r="AL238" i="6"/>
  <c r="AL237" i="6" s="1"/>
  <c r="AK238" i="6"/>
  <c r="AJ238" i="6"/>
  <c r="AJ237" i="6" s="1"/>
  <c r="AI238" i="6"/>
  <c r="AH238" i="6"/>
  <c r="AG238" i="6"/>
  <c r="AF238" i="6"/>
  <c r="AE238" i="6"/>
  <c r="AD238" i="6"/>
  <c r="AC238" i="6"/>
  <c r="AB238" i="6"/>
  <c r="AA238" i="6"/>
  <c r="AA237" i="6" s="1"/>
  <c r="Z238" i="6"/>
  <c r="Z237" i="6" s="1"/>
  <c r="Y238" i="6"/>
  <c r="W238" i="6"/>
  <c r="W237" i="6" s="1"/>
  <c r="V238" i="6"/>
  <c r="U238" i="6"/>
  <c r="U237" i="6" s="1"/>
  <c r="T238" i="6"/>
  <c r="S238" i="6"/>
  <c r="S237" i="6" s="1"/>
  <c r="R238" i="6"/>
  <c r="R237" i="6" s="1"/>
  <c r="AK237" i="6"/>
  <c r="AE237" i="6"/>
  <c r="Y237" i="6"/>
  <c r="X237" i="6"/>
  <c r="V237" i="6"/>
  <c r="T237" i="6"/>
  <c r="P237" i="6"/>
  <c r="O237" i="6"/>
  <c r="N237" i="6"/>
  <c r="M237" i="6"/>
  <c r="L237" i="6"/>
  <c r="AE235" i="6"/>
  <c r="Z235" i="6"/>
  <c r="O230" i="6" l="1"/>
  <c r="Q238" i="6"/>
  <c r="Q237" i="6" s="1"/>
  <c r="Q244" i="6"/>
  <c r="Q243" i="6" s="1"/>
  <c r="M230" i="6"/>
  <c r="L153" i="15"/>
  <c r="AI237" i="6"/>
  <c r="AD243" i="6"/>
  <c r="W271" i="6"/>
  <c r="X268" i="6"/>
  <c r="AD271" i="6"/>
  <c r="AE268" i="6"/>
  <c r="AH237" i="6"/>
  <c r="AG237" i="6" s="1"/>
  <c r="AF237" i="6" s="1"/>
  <c r="AC243" i="6"/>
  <c r="AB243" i="6" s="1"/>
  <c r="AD237" i="6"/>
  <c r="AC237" i="6" s="1"/>
  <c r="AB237" i="6" s="1"/>
  <c r="R243" i="6"/>
  <c r="AI243" i="6"/>
  <c r="AH243" i="6" s="1"/>
  <c r="AG243" i="6" s="1"/>
  <c r="N230" i="6"/>
  <c r="P230" i="6"/>
  <c r="AF181" i="6"/>
  <c r="AH230" i="6"/>
  <c r="AH181" i="6" s="1"/>
  <c r="AJ230" i="6"/>
  <c r="AL230" i="6"/>
  <c r="AN230" i="6"/>
  <c r="K154" i="15"/>
  <c r="L6" i="15"/>
  <c r="L5" i="15" s="1"/>
  <c r="T235" i="6"/>
  <c r="Q235" i="6"/>
  <c r="Z234" i="6"/>
  <c r="V234" i="6"/>
  <c r="Q234" i="6" s="1"/>
  <c r="AN233" i="6"/>
  <c r="AM233" i="6"/>
  <c r="AM232" i="6" s="1"/>
  <c r="AL233" i="6"/>
  <c r="AK233" i="6"/>
  <c r="AJ233" i="6"/>
  <c r="AI233" i="6"/>
  <c r="AH233" i="6"/>
  <c r="AG233" i="6"/>
  <c r="AF233" i="6"/>
  <c r="AE233" i="6" s="1"/>
  <c r="AD233" i="6"/>
  <c r="AC233" i="6"/>
  <c r="AC232" i="6" s="1"/>
  <c r="AB233" i="6"/>
  <c r="AB232" i="6" s="1"/>
  <c r="AB229" i="6" s="1"/>
  <c r="AA233" i="6"/>
  <c r="Y233" i="6"/>
  <c r="Y232" i="6" s="1"/>
  <c r="Y229" i="6" s="1"/>
  <c r="X233" i="6"/>
  <c r="X232" i="6" s="1"/>
  <c r="X229" i="6" s="1"/>
  <c r="W233" i="6"/>
  <c r="V233" i="6" s="1"/>
  <c r="V232" i="6" s="1"/>
  <c r="V229" i="6" s="1"/>
  <c r="U233" i="6"/>
  <c r="T233" i="6" s="1"/>
  <c r="T232" i="6" s="1"/>
  <c r="T229" i="6" s="1"/>
  <c r="S233" i="6"/>
  <c r="S232" i="6" s="1"/>
  <c r="S229" i="6" s="1"/>
  <c r="R233" i="6"/>
  <c r="AN232" i="6"/>
  <c r="AE232" i="6"/>
  <c r="R232" i="6"/>
  <c r="R229" i="6" s="1"/>
  <c r="P232" i="6"/>
  <c r="P229" i="6" s="1"/>
  <c r="O232" i="6"/>
  <c r="AC229" i="6" l="1"/>
  <c r="Z233" i="6"/>
  <c r="Z232" i="6" s="1"/>
  <c r="Z229" i="6" s="1"/>
  <c r="AD232" i="6"/>
  <c r="AC271" i="6"/>
  <c r="AD268" i="6"/>
  <c r="V271" i="6"/>
  <c r="W268" i="6"/>
  <c r="U232" i="6"/>
  <c r="U229" i="6" s="1"/>
  <c r="AA232" i="6"/>
  <c r="AA229" i="6" s="1"/>
  <c r="W232" i="6"/>
  <c r="W229" i="6" s="1"/>
  <c r="J154" i="15"/>
  <c r="K153" i="15"/>
  <c r="K6" i="15"/>
  <c r="K5" i="15" s="1"/>
  <c r="Q233" i="6"/>
  <c r="Q232" i="6" s="1"/>
  <c r="AI232" i="6"/>
  <c r="AH232" i="6" s="1"/>
  <c r="AG232" i="6" s="1"/>
  <c r="AF232" i="6" s="1"/>
  <c r="N232" i="6"/>
  <c r="M232" i="6"/>
  <c r="L232" i="6"/>
  <c r="L229" i="6" s="1"/>
  <c r="AL232" i="6" l="1"/>
  <c r="Q229" i="6"/>
  <c r="U271" i="6"/>
  <c r="V268" i="6"/>
  <c r="AB271" i="6"/>
  <c r="AC268" i="6"/>
  <c r="AJ232" i="6"/>
  <c r="AK232" i="6" s="1"/>
  <c r="J153" i="15"/>
  <c r="J6" i="15"/>
  <c r="J5" i="15" s="1"/>
  <c r="L35" i="11" s="1"/>
  <c r="K35" i="11" s="1"/>
  <c r="J35" i="11" s="1"/>
  <c r="I35" i="11" s="1"/>
  <c r="H35" i="11" s="1"/>
  <c r="G35" i="11" s="1"/>
  <c r="AD181" i="6"/>
  <c r="AC181" i="6"/>
  <c r="AB181" i="6"/>
  <c r="AA181" i="6"/>
  <c r="AA271" i="6" l="1"/>
  <c r="AA268" i="6" s="1"/>
  <c r="AB268" i="6"/>
  <c r="T271" i="6"/>
  <c r="U268" i="6"/>
  <c r="L230" i="6"/>
  <c r="AN229" i="6" s="1"/>
  <c r="AI229" i="6"/>
  <c r="AI180" i="6" s="1"/>
  <c r="AH229" i="6"/>
  <c r="AG229" i="6"/>
  <c r="AF229" i="6"/>
  <c r="AE229" i="6"/>
  <c r="AD229" i="6"/>
  <c r="M229" i="6"/>
  <c r="M180" i="6" s="1"/>
  <c r="K229" i="6"/>
  <c r="J229" i="6"/>
  <c r="Z217" i="6"/>
  <c r="X217" i="6"/>
  <c r="Q217" i="6"/>
  <c r="Z216" i="6"/>
  <c r="X216" i="6"/>
  <c r="Q216" i="6"/>
  <c r="Z215" i="6"/>
  <c r="Z214" i="6"/>
  <c r="T214" i="6"/>
  <c r="R214" i="6"/>
  <c r="Q214" i="6"/>
  <c r="X213" i="6"/>
  <c r="Q213" i="6"/>
  <c r="AI212" i="6"/>
  <c r="AH212" i="6"/>
  <c r="AG212" i="6"/>
  <c r="AF212" i="6"/>
  <c r="AE212" i="6"/>
  <c r="AD212" i="6"/>
  <c r="AC212" i="6"/>
  <c r="AB212" i="6"/>
  <c r="AA212" i="6"/>
  <c r="S271" i="6" l="1"/>
  <c r="T268" i="6"/>
  <c r="AB225" i="6"/>
  <c r="AB222" i="6" s="1"/>
  <c r="AB219" i="6" s="1"/>
  <c r="AD226" i="6"/>
  <c r="AD225" i="6" s="1"/>
  <c r="AD223" i="6" s="1"/>
  <c r="AD222" i="6" s="1"/>
  <c r="AD220" i="6" s="1"/>
  <c r="AD219" i="6" s="1"/>
  <c r="AF226" i="6"/>
  <c r="AF225" i="6" s="1"/>
  <c r="AF223" i="6" s="1"/>
  <c r="AF222" i="6" s="1"/>
  <c r="AF220" i="6" s="1"/>
  <c r="AF219" i="6" s="1"/>
  <c r="AH226" i="6"/>
  <c r="AH225" i="6" s="1"/>
  <c r="AH223" i="6" s="1"/>
  <c r="AH222" i="6" s="1"/>
  <c r="AH220" i="6" s="1"/>
  <c r="AH219" i="6" s="1"/>
  <c r="AM229" i="6"/>
  <c r="AN180" i="6"/>
  <c r="AC225" i="6"/>
  <c r="AC222" i="6" s="1"/>
  <c r="AC219" i="6" s="1"/>
  <c r="AE226" i="6"/>
  <c r="AE225" i="6" s="1"/>
  <c r="AE223" i="6" s="1"/>
  <c r="AE222" i="6" s="1"/>
  <c r="AE220" i="6" s="1"/>
  <c r="AE219" i="6" s="1"/>
  <c r="AG226" i="6"/>
  <c r="AG225" i="6" s="1"/>
  <c r="AG223" i="6" s="1"/>
  <c r="AG222" i="6" s="1"/>
  <c r="AG220" i="6" s="1"/>
  <c r="AG219" i="6" s="1"/>
  <c r="AI226" i="6"/>
  <c r="AI225" i="6" s="1"/>
  <c r="AI223" i="6" s="1"/>
  <c r="AI222" i="6" s="1"/>
  <c r="AI220" i="6" s="1"/>
  <c r="AI219" i="6" s="1"/>
  <c r="Z212" i="6"/>
  <c r="S212" i="6"/>
  <c r="Q212" i="6"/>
  <c r="Q211" i="6" s="1"/>
  <c r="AN211" i="6"/>
  <c r="AM211" i="6"/>
  <c r="AL211" i="6"/>
  <c r="AK211" i="6"/>
  <c r="AI211" i="6"/>
  <c r="AH211" i="6" s="1"/>
  <c r="AG211" i="6"/>
  <c r="AF211" i="6"/>
  <c r="AE211" i="6"/>
  <c r="AD211" i="6"/>
  <c r="AC211" i="6"/>
  <c r="AB211" i="6" s="1"/>
  <c r="AA211" i="6"/>
  <c r="Z211" i="6"/>
  <c r="Y211" i="6"/>
  <c r="X211" i="6"/>
  <c r="W211" i="6"/>
  <c r="V211" i="6"/>
  <c r="U211" i="6"/>
  <c r="T211" i="6"/>
  <c r="S211" i="6"/>
  <c r="R211" i="6"/>
  <c r="P211" i="6"/>
  <c r="O211" i="6"/>
  <c r="N211" i="6"/>
  <c r="M211" i="6"/>
  <c r="Z210" i="6"/>
  <c r="Q210" i="6"/>
  <c r="Q209" i="6" s="1"/>
  <c r="Q208" i="6" s="1"/>
  <c r="AF209" i="6"/>
  <c r="AE209" i="6"/>
  <c r="AE208" i="6" s="1"/>
  <c r="AD209" i="6"/>
  <c r="AD208" i="6" s="1"/>
  <c r="AC209" i="6"/>
  <c r="AC208" i="6" s="1"/>
  <c r="AB209" i="6"/>
  <c r="AB208" i="6" s="1"/>
  <c r="AA209" i="6"/>
  <c r="Y209" i="6"/>
  <c r="Y208" i="6" s="1"/>
  <c r="X209" i="6"/>
  <c r="W209" i="6"/>
  <c r="W208" i="6" s="1"/>
  <c r="V209" i="6"/>
  <c r="V208" i="6" s="1"/>
  <c r="U209" i="6"/>
  <c r="U208" i="6" s="1"/>
  <c r="T209" i="6"/>
  <c r="T208" i="6" s="1"/>
  <c r="S209" i="6"/>
  <c r="S208" i="6" s="1"/>
  <c r="R209" i="6"/>
  <c r="R208" i="6" s="1"/>
  <c r="AN208" i="6"/>
  <c r="AM208" i="6"/>
  <c r="AL208" i="6"/>
  <c r="AI208" i="6"/>
  <c r="AH208" i="6"/>
  <c r="AG208" i="6"/>
  <c r="AF208" i="6"/>
  <c r="X208" i="6"/>
  <c r="P208" i="6"/>
  <c r="AJ208" i="6" s="1"/>
  <c r="AK208" i="6" s="1"/>
  <c r="O208" i="6"/>
  <c r="N208" i="6"/>
  <c r="M208" i="6"/>
  <c r="L208" i="6"/>
  <c r="P206" i="6"/>
  <c r="AD204" i="6"/>
  <c r="AD203" i="6" s="1"/>
  <c r="AC204" i="6"/>
  <c r="AC203" i="6" s="1"/>
  <c r="AB204" i="6"/>
  <c r="AB203" i="6" s="1"/>
  <c r="AA204" i="6"/>
  <c r="Y204" i="6"/>
  <c r="Y203" i="6" s="1"/>
  <c r="X204" i="6"/>
  <c r="X203" i="6" s="1"/>
  <c r="W204" i="6"/>
  <c r="W203" i="6" s="1"/>
  <c r="V203" i="6"/>
  <c r="U204" i="6"/>
  <c r="U203" i="6" s="1"/>
  <c r="T204" i="6"/>
  <c r="T203" i="6" s="1"/>
  <c r="AN203" i="6"/>
  <c r="AE202" i="6"/>
  <c r="R202" i="6"/>
  <c r="Q202" i="6"/>
  <c r="Z201" i="6"/>
  <c r="AE200" i="6"/>
  <c r="Z200" i="6"/>
  <c r="Q200" i="6"/>
  <c r="AE199" i="6"/>
  <c r="Z199" i="6"/>
  <c r="R199" i="6"/>
  <c r="Q199" i="6"/>
  <c r="AE198" i="6"/>
  <c r="Q198" i="6"/>
  <c r="AE197" i="6"/>
  <c r="Q197" i="6"/>
  <c r="AE196" i="6"/>
  <c r="R196" i="6"/>
  <c r="Q196" i="6"/>
  <c r="AN195" i="6"/>
  <c r="AM195" i="6"/>
  <c r="AL195" i="6"/>
  <c r="AK195" i="6"/>
  <c r="AJ195" i="6"/>
  <c r="AG195" i="6"/>
  <c r="AF195" i="6"/>
  <c r="AD195" i="6"/>
  <c r="AC195" i="6"/>
  <c r="AB195" i="6"/>
  <c r="AA195" i="6"/>
  <c r="Y195" i="6"/>
  <c r="W195" i="6"/>
  <c r="V195" i="6"/>
  <c r="U195" i="6"/>
  <c r="T195" i="6"/>
  <c r="S195" i="6"/>
  <c r="AJ211" i="6" l="1"/>
  <c r="R271" i="6"/>
  <c r="S268" i="6"/>
  <c r="AA225" i="6"/>
  <c r="AA222" i="6" s="1"/>
  <c r="AA219" i="6" s="1"/>
  <c r="AL229" i="6"/>
  <c r="AM180" i="6"/>
  <c r="AE195" i="6"/>
  <c r="AE194" i="6" s="1"/>
  <c r="AD194" i="6" s="1"/>
  <c r="AC194" i="6" s="1"/>
  <c r="AB194" i="6" s="1"/>
  <c r="AA194" i="6" s="1"/>
  <c r="Z195" i="6"/>
  <c r="Z209" i="6"/>
  <c r="Z208" i="6" s="1"/>
  <c r="Z204" i="6"/>
  <c r="Z203" i="6" s="1"/>
  <c r="AA203" i="6"/>
  <c r="AA208" i="6"/>
  <c r="R195" i="6"/>
  <c r="AN194" i="6"/>
  <c r="AM194" i="6"/>
  <c r="AK194" i="6"/>
  <c r="AI194" i="6"/>
  <c r="AH194" i="6"/>
  <c r="AG194" i="6" s="1"/>
  <c r="AF194" i="6"/>
  <c r="X194" i="6"/>
  <c r="W194" i="6" s="1"/>
  <c r="V194" i="6" s="1"/>
  <c r="U194" i="6" s="1"/>
  <c r="T194" i="6" s="1"/>
  <c r="S194" i="6" s="1"/>
  <c r="R194" i="6" s="1"/>
  <c r="Q194" i="6" s="1"/>
  <c r="P194" i="6"/>
  <c r="O194" i="6"/>
  <c r="N194" i="6"/>
  <c r="M194" i="6"/>
  <c r="L194" i="6"/>
  <c r="J194" i="6" s="1"/>
  <c r="Z192" i="6"/>
  <c r="Z191" i="6" s="1"/>
  <c r="Z190" i="6" s="1"/>
  <c r="R192" i="6"/>
  <c r="R191" i="6" s="1"/>
  <c r="R190" i="6" s="1"/>
  <c r="Q192" i="6"/>
  <c r="Q191" i="6" s="1"/>
  <c r="Q190" i="6" s="1"/>
  <c r="AF191" i="6"/>
  <c r="AF190" i="6" s="1"/>
  <c r="AE191" i="6"/>
  <c r="AE190" i="6" s="1"/>
  <c r="AD191" i="6"/>
  <c r="AC191" i="6"/>
  <c r="AC190" i="6" s="1"/>
  <c r="AB191" i="6"/>
  <c r="AB190" i="6" s="1"/>
  <c r="AA191" i="6"/>
  <c r="AA190" i="6" s="1"/>
  <c r="Y191" i="6"/>
  <c r="Y190" i="6" s="1"/>
  <c r="X191" i="6"/>
  <c r="X190" i="6" s="1"/>
  <c r="W191" i="6"/>
  <c r="W190" i="6" s="1"/>
  <c r="V191" i="6"/>
  <c r="V190" i="6" s="1"/>
  <c r="U191" i="6"/>
  <c r="U190" i="6" s="1"/>
  <c r="T191" i="6"/>
  <c r="T190" i="6" s="1"/>
  <c r="S191" i="6"/>
  <c r="S190" i="6" s="1"/>
  <c r="AN190" i="6"/>
  <c r="AM190" i="6"/>
  <c r="AI190" i="6"/>
  <c r="AH190" i="6"/>
  <c r="AG190" i="6"/>
  <c r="AD190" i="6"/>
  <c r="P190" i="6"/>
  <c r="O190" i="6"/>
  <c r="N190" i="6"/>
  <c r="M190" i="6"/>
  <c r="L190" i="6"/>
  <c r="K190" i="6"/>
  <c r="Z189" i="6"/>
  <c r="Z188" i="6" s="1"/>
  <c r="Z187" i="6" s="1"/>
  <c r="T189" i="6"/>
  <c r="T188" i="6" s="1"/>
  <c r="T187" i="6" s="1"/>
  <c r="R189" i="6"/>
  <c r="Q189" i="6"/>
  <c r="Q188" i="6" s="1"/>
  <c r="AJ188" i="6"/>
  <c r="AI188" i="6"/>
  <c r="AH188" i="6"/>
  <c r="AH187" i="6" s="1"/>
  <c r="AG188" i="6"/>
  <c r="AF188" i="6"/>
  <c r="AF187" i="6" s="1"/>
  <c r="AE188" i="6"/>
  <c r="AD188" i="6"/>
  <c r="AD187" i="6" s="1"/>
  <c r="AC188" i="6"/>
  <c r="AB188" i="6"/>
  <c r="AA188" i="6"/>
  <c r="Y188" i="6"/>
  <c r="Y187" i="6" s="1"/>
  <c r="X188" i="6"/>
  <c r="X187" i="6" s="1"/>
  <c r="W188" i="6"/>
  <c r="V188" i="6"/>
  <c r="V187" i="6" s="1"/>
  <c r="U188" i="6"/>
  <c r="U187" i="6" s="1"/>
  <c r="S188" i="6"/>
  <c r="S187" i="6" s="1"/>
  <c r="AN187" i="6"/>
  <c r="AM187" i="6"/>
  <c r="AI187" i="6"/>
  <c r="AG187" i="6"/>
  <c r="AE187" i="6"/>
  <c r="AC187" i="6"/>
  <c r="AB187" i="6"/>
  <c r="AA187" i="6"/>
  <c r="W187" i="6"/>
  <c r="P187" i="6"/>
  <c r="O187" i="6"/>
  <c r="N187" i="6"/>
  <c r="M187" i="6"/>
  <c r="L187" i="6"/>
  <c r="L186" i="6"/>
  <c r="P185" i="6"/>
  <c r="P181" i="6" s="1"/>
  <c r="N185" i="6"/>
  <c r="M185" i="6"/>
  <c r="L185" i="6"/>
  <c r="L181" i="6" s="1"/>
  <c r="L184" i="6"/>
  <c r="L180" i="6" s="1"/>
  <c r="L183" i="6" l="1"/>
  <c r="Z194" i="6"/>
  <c r="Y194" i="6" s="1"/>
  <c r="N183" i="6"/>
  <c r="O183" i="6"/>
  <c r="AM183" i="6"/>
  <c r="V183" i="6"/>
  <c r="AH183" i="6"/>
  <c r="M183" i="6"/>
  <c r="P183" i="6"/>
  <c r="Z183" i="6"/>
  <c r="Q271" i="6"/>
  <c r="AJ271" i="6" s="1"/>
  <c r="R268" i="6"/>
  <c r="X183" i="6"/>
  <c r="T183" i="6"/>
  <c r="Z180" i="6"/>
  <c r="AK229" i="6"/>
  <c r="AF183" i="6"/>
  <c r="W183" i="6"/>
  <c r="Y183" i="6"/>
  <c r="AA183" i="6"/>
  <c r="AA179" i="6" s="1"/>
  <c r="AC183" i="6"/>
  <c r="AC179" i="6" s="1"/>
  <c r="AE183" i="6"/>
  <c r="AG183" i="6"/>
  <c r="AI183" i="6"/>
  <c r="AN183" i="6"/>
  <c r="U183" i="6"/>
  <c r="AB183" i="6"/>
  <c r="AB179" i="6" s="1"/>
  <c r="AD183" i="6"/>
  <c r="AD179" i="6" s="1"/>
  <c r="AJ190" i="6"/>
  <c r="R188" i="6"/>
  <c r="R187" i="6" s="1"/>
  <c r="R183" i="6" s="1"/>
  <c r="Q187" i="6"/>
  <c r="AL190" i="6"/>
  <c r="K183" i="6"/>
  <c r="J183" i="6" s="1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K182" i="6"/>
  <c r="J182" i="6"/>
  <c r="AN181" i="6"/>
  <c r="AM181" i="6"/>
  <c r="AL181" i="6"/>
  <c r="AK181" i="6"/>
  <c r="AJ181" i="6"/>
  <c r="AE150" i="6"/>
  <c r="Z181" i="6"/>
  <c r="Y181" i="6" s="1"/>
  <c r="X181" i="6" s="1"/>
  <c r="W181" i="6" s="1"/>
  <c r="V181" i="6" s="1"/>
  <c r="U181" i="6" s="1"/>
  <c r="T181" i="6" s="1"/>
  <c r="S181" i="6" s="1"/>
  <c r="R181" i="6" s="1"/>
  <c r="O181" i="6" s="1"/>
  <c r="N181" i="6" s="1"/>
  <c r="M181" i="6" s="1"/>
  <c r="K181" i="6"/>
  <c r="J181" i="6"/>
  <c r="Q268" i="6" l="1"/>
  <c r="AK271" i="6"/>
  <c r="AK190" i="6"/>
  <c r="R180" i="6"/>
  <c r="AJ229" i="6"/>
  <c r="Y180" i="6"/>
  <c r="AJ187" i="6"/>
  <c r="AJ183" i="6" s="1"/>
  <c r="Q183" i="6"/>
  <c r="AH150" i="6"/>
  <c r="AL187" i="6"/>
  <c r="AL183" i="6" s="1"/>
  <c r="AL179" i="6" s="1"/>
  <c r="K180" i="6"/>
  <c r="J180" i="6" s="1"/>
  <c r="AN179" i="6" s="1"/>
  <c r="AM179" i="6" s="1"/>
  <c r="X180" i="6" l="1"/>
  <c r="Q180" i="6"/>
  <c r="AF150" i="6"/>
  <c r="AG150" i="6"/>
  <c r="AK187" i="6"/>
  <c r="AK183" i="6" s="1"/>
  <c r="N179" i="6"/>
  <c r="M179" i="6"/>
  <c r="L179" i="6" s="1"/>
  <c r="K179" i="6" s="1"/>
  <c r="J179" i="6" s="1"/>
  <c r="AN178" i="6" s="1"/>
  <c r="AM178" i="6"/>
  <c r="O229" i="6" l="1"/>
  <c r="P180" i="6"/>
  <c r="W180" i="6"/>
  <c r="AK179" i="6"/>
  <c r="AJ179" i="6" s="1"/>
  <c r="AI179" i="6" s="1"/>
  <c r="AH179" i="6" s="1"/>
  <c r="AG179" i="6" s="1"/>
  <c r="AF179" i="6" s="1"/>
  <c r="AE179" i="6" s="1"/>
  <c r="Z179" i="6" s="1"/>
  <c r="Y179" i="6" s="1"/>
  <c r="X179" i="6" s="1"/>
  <c r="W179" i="6" s="1"/>
  <c r="V179" i="6" s="1"/>
  <c r="U179" i="6" s="1"/>
  <c r="T179" i="6" s="1"/>
  <c r="V180" i="6" l="1"/>
  <c r="V178" i="6" s="1"/>
  <c r="N229" i="6"/>
  <c r="N180" i="6" s="1"/>
  <c r="N178" i="6" s="1"/>
  <c r="O180" i="6"/>
  <c r="W178" i="6"/>
  <c r="Y178" i="6"/>
  <c r="X178" i="6"/>
  <c r="Z178" i="6"/>
  <c r="M178" i="6"/>
  <c r="U180" i="6" l="1"/>
  <c r="U178" i="6" s="1"/>
  <c r="L178" i="6"/>
  <c r="T180" i="6" l="1"/>
  <c r="T178" i="6" s="1"/>
  <c r="K178" i="6"/>
  <c r="S180" i="6" l="1"/>
  <c r="S225" i="6"/>
  <c r="S222" i="6" s="1"/>
  <c r="S219" i="6" s="1"/>
  <c r="S183" i="6" s="1"/>
  <c r="S179" i="6" s="1"/>
  <c r="J178" i="6"/>
  <c r="Z164" i="6"/>
  <c r="R164" i="6"/>
  <c r="R162" i="6" s="1"/>
  <c r="R161" i="6" s="1"/>
  <c r="Q164" i="6"/>
  <c r="Z163" i="6"/>
  <c r="T163" i="6"/>
  <c r="T162" i="6" s="1"/>
  <c r="T161" i="6" s="1"/>
  <c r="Q163" i="6"/>
  <c r="AD162" i="6"/>
  <c r="AC162" i="6"/>
  <c r="AB162" i="6"/>
  <c r="AA162" i="6"/>
  <c r="Y162" i="6"/>
  <c r="Y161" i="6" s="1"/>
  <c r="Y158" i="6" s="1"/>
  <c r="X162" i="6"/>
  <c r="X161" i="6" s="1"/>
  <c r="W162" i="6"/>
  <c r="V162" i="6"/>
  <c r="V161" i="6" s="1"/>
  <c r="U162" i="6"/>
  <c r="U161" i="6" s="1"/>
  <c r="S162" i="6"/>
  <c r="S161" i="6" s="1"/>
  <c r="AN161" i="6"/>
  <c r="AM161" i="6"/>
  <c r="AI161" i="6"/>
  <c r="AH161" i="6"/>
  <c r="AH158" i="6" s="1"/>
  <c r="AG161" i="6"/>
  <c r="AG158" i="6" s="1"/>
  <c r="AF161" i="6"/>
  <c r="AF158" i="6" s="1"/>
  <c r="AE161" i="6"/>
  <c r="AE158" i="6" s="1"/>
  <c r="W161" i="6"/>
  <c r="P161" i="6"/>
  <c r="O161" i="6"/>
  <c r="N161" i="6"/>
  <c r="M161" i="6"/>
  <c r="L161" i="6"/>
  <c r="L160" i="6"/>
  <c r="L159" i="6"/>
  <c r="AN158" i="6" s="1"/>
  <c r="AM158" i="6" l="1"/>
  <c r="AD161" i="6"/>
  <c r="AD158" i="6" s="1"/>
  <c r="Q162" i="6"/>
  <c r="Q161" i="6" s="1"/>
  <c r="AL161" i="6" s="1"/>
  <c r="AL158" i="6" s="1"/>
  <c r="Z162" i="6"/>
  <c r="Z161" i="6" s="1"/>
  <c r="Z158" i="6" s="1"/>
  <c r="R179" i="6"/>
  <c r="S178" i="6"/>
  <c r="AC161" i="6"/>
  <c r="X158" i="6"/>
  <c r="W158" i="6"/>
  <c r="V158" i="6"/>
  <c r="U158" i="6"/>
  <c r="T158" i="6"/>
  <c r="S158" i="6"/>
  <c r="R158" i="6"/>
  <c r="O158" i="6"/>
  <c r="Q158" i="6" l="1"/>
  <c r="P158" i="6" s="1"/>
  <c r="AJ161" i="6"/>
  <c r="AK161" i="6" s="1"/>
  <c r="AK158" i="6" s="1"/>
  <c r="Q179" i="6"/>
  <c r="R178" i="6"/>
  <c r="AB161" i="6"/>
  <c r="AB139" i="6" s="1"/>
  <c r="AC158" i="6"/>
  <c r="N158" i="6"/>
  <c r="M158" i="6"/>
  <c r="L158" i="6" s="1"/>
  <c r="J158" i="6"/>
  <c r="L157" i="6"/>
  <c r="K157" i="6"/>
  <c r="Z142" i="6"/>
  <c r="T142" i="6"/>
  <c r="R142" i="6"/>
  <c r="Q142" i="6"/>
  <c r="AH141" i="6"/>
  <c r="AG141" i="6"/>
  <c r="AF141" i="6"/>
  <c r="AE141" i="6"/>
  <c r="AE140" i="6" s="1"/>
  <c r="AD141" i="6"/>
  <c r="AC141" i="6"/>
  <c r="AC140" i="6" s="1"/>
  <c r="AB141" i="6"/>
  <c r="AB140" i="6" s="1"/>
  <c r="AA141" i="6"/>
  <c r="Y141" i="6"/>
  <c r="Y140" i="6" s="1"/>
  <c r="X141" i="6"/>
  <c r="X140" i="6" s="1"/>
  <c r="W141" i="6"/>
  <c r="W140" i="6" s="1"/>
  <c r="V141" i="6"/>
  <c r="V140" i="6" s="1"/>
  <c r="U141" i="6"/>
  <c r="U140" i="6" s="1"/>
  <c r="T141" i="6"/>
  <c r="T140" i="6" s="1"/>
  <c r="S141" i="6"/>
  <c r="R141" i="6" s="1"/>
  <c r="R140" i="6" s="1"/>
  <c r="Q141" i="6"/>
  <c r="Q140" i="6" s="1"/>
  <c r="AN140" i="6"/>
  <c r="AM140" i="6"/>
  <c r="AK140" i="6"/>
  <c r="AI140" i="6"/>
  <c r="AD140" i="6"/>
  <c r="P140" i="6"/>
  <c r="O140" i="6"/>
  <c r="N140" i="6"/>
  <c r="M140" i="6"/>
  <c r="L140" i="6"/>
  <c r="AI139" i="6"/>
  <c r="AH139" i="6"/>
  <c r="AG139" i="6"/>
  <c r="AF139" i="6"/>
  <c r="AE139" i="6"/>
  <c r="AD139" i="6"/>
  <c r="AC139" i="6"/>
  <c r="W139" i="6"/>
  <c r="V139" i="6"/>
  <c r="T139" i="6"/>
  <c r="P139" i="6"/>
  <c r="Z138" i="6"/>
  <c r="V138" i="6"/>
  <c r="AJ158" i="6" l="1"/>
  <c r="AI158" i="6" s="1"/>
  <c r="Z141" i="6"/>
  <c r="P179" i="6"/>
  <c r="Q178" i="6"/>
  <c r="AA161" i="6"/>
  <c r="AA158" i="6" s="1"/>
  <c r="AB158" i="6"/>
  <c r="S140" i="6"/>
  <c r="AH140" i="6"/>
  <c r="AJ140" i="6"/>
  <c r="AA140" i="6"/>
  <c r="T138" i="6"/>
  <c r="Q138" i="6"/>
  <c r="Z137" i="6"/>
  <c r="V137" i="6"/>
  <c r="Q137" i="6"/>
  <c r="AC136" i="6"/>
  <c r="AB136" i="6"/>
  <c r="AA136" i="6"/>
  <c r="Y136" i="6"/>
  <c r="Y135" i="6" s="1"/>
  <c r="X136" i="6"/>
  <c r="X135" i="6" s="1"/>
  <c r="W136" i="6"/>
  <c r="W135" i="6" s="1"/>
  <c r="U136" i="6"/>
  <c r="S136" i="6"/>
  <c r="R136" i="6"/>
  <c r="AN135" i="6"/>
  <c r="AM135" i="6"/>
  <c r="AL135" i="6"/>
  <c r="O135" i="6"/>
  <c r="N135" i="6"/>
  <c r="M135" i="6"/>
  <c r="AI134" i="6"/>
  <c r="AH134" i="6" s="1"/>
  <c r="AG134" i="6" s="1"/>
  <c r="AF134" i="6" s="1"/>
  <c r="AE134" i="6" s="1"/>
  <c r="AD134" i="6" s="1"/>
  <c r="AC134" i="6" s="1"/>
  <c r="AB134" i="6" s="1"/>
  <c r="W134" i="6" s="1"/>
  <c r="V134" i="6" s="1"/>
  <c r="R133" i="6"/>
  <c r="R132" i="6" s="1"/>
  <c r="Q133" i="6"/>
  <c r="Q132" i="6" s="1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AN131" i="6"/>
  <c r="AM131" i="6"/>
  <c r="O131" i="6"/>
  <c r="N131" i="6"/>
  <c r="M131" i="6"/>
  <c r="Q136" i="6" l="1"/>
  <c r="T136" i="6"/>
  <c r="T135" i="6" s="1"/>
  <c r="O179" i="6"/>
  <c r="O178" i="6" s="1"/>
  <c r="P178" i="6"/>
  <c r="Z136" i="6"/>
  <c r="S135" i="6"/>
  <c r="R135" i="6"/>
  <c r="Q135" i="6" s="1"/>
  <c r="P135" i="6" s="1"/>
  <c r="AJ135" i="6" s="1"/>
  <c r="V136" i="6"/>
  <c r="V135" i="6" s="1"/>
  <c r="U135" i="6" s="1"/>
  <c r="AG140" i="6"/>
  <c r="Z140" i="6"/>
  <c r="Z130" i="6"/>
  <c r="Z129" i="6" s="1"/>
  <c r="R130" i="6"/>
  <c r="Q130" i="6"/>
  <c r="AI129" i="6"/>
  <c r="AH129" i="6"/>
  <c r="AG129" i="6"/>
  <c r="AF129" i="6"/>
  <c r="AE129" i="6"/>
  <c r="AD129" i="6"/>
  <c r="AC129" i="6"/>
  <c r="AB129" i="6"/>
  <c r="AA129" i="6"/>
  <c r="Y129" i="6"/>
  <c r="X129" i="6"/>
  <c r="W129" i="6"/>
  <c r="U129" i="6"/>
  <c r="T129" i="6"/>
  <c r="S129" i="6"/>
  <c r="AN128" i="6"/>
  <c r="AM128" i="6"/>
  <c r="AL128" i="6"/>
  <c r="AI135" i="6" l="1"/>
  <c r="AH135" i="6" s="1"/>
  <c r="AG135" i="6" s="1"/>
  <c r="AF135" i="6" s="1"/>
  <c r="AE135" i="6" s="1"/>
  <c r="AD135" i="6" s="1"/>
  <c r="AC135" i="6" s="1"/>
  <c r="AB135" i="6" s="1"/>
  <c r="AA135" i="6" s="1"/>
  <c r="Z135" i="6" s="1"/>
  <c r="AK135" i="6"/>
  <c r="R129" i="6"/>
  <c r="Q129" i="6"/>
  <c r="AF140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AE126" i="6"/>
  <c r="Z126" i="6"/>
  <c r="T126" i="6"/>
  <c r="P126" i="6" s="1"/>
  <c r="L126" i="6"/>
  <c r="AE125" i="6"/>
  <c r="T125" i="6"/>
  <c r="T124" i="6" s="1"/>
  <c r="T123" i="6" s="1"/>
  <c r="Q125" i="6"/>
  <c r="L125" i="6"/>
  <c r="AI124" i="6"/>
  <c r="AH124" i="6"/>
  <c r="AG124" i="6"/>
  <c r="AF124" i="6"/>
  <c r="AE124" i="6"/>
  <c r="AE123" i="6" s="1"/>
  <c r="AD124" i="6"/>
  <c r="AC124" i="6"/>
  <c r="AB124" i="6"/>
  <c r="AA124" i="6"/>
  <c r="AA123" i="6" s="1"/>
  <c r="Z124" i="6"/>
  <c r="Z123" i="6" s="1"/>
  <c r="Y124" i="6"/>
  <c r="W124" i="6"/>
  <c r="W123" i="6" s="1"/>
  <c r="V124" i="6"/>
  <c r="V123" i="6" s="1"/>
  <c r="U124" i="6"/>
  <c r="U123" i="6" s="1"/>
  <c r="S124" i="6"/>
  <c r="S123" i="6" s="1"/>
  <c r="Q124" i="6"/>
  <c r="Q123" i="6" s="1"/>
  <c r="AN123" i="6"/>
  <c r="AM123" i="6"/>
  <c r="X123" i="6"/>
  <c r="R123" i="6"/>
  <c r="P123" i="6"/>
  <c r="O123" i="6"/>
  <c r="N123" i="6"/>
  <c r="M123" i="6"/>
  <c r="L123" i="6"/>
  <c r="AE121" i="6"/>
  <c r="Q121" i="6"/>
  <c r="AE120" i="6"/>
  <c r="Z120" i="6"/>
  <c r="Z118" i="6" s="1"/>
  <c r="Z117" i="6" s="1"/>
  <c r="R120" i="6"/>
  <c r="Q120" i="6"/>
  <c r="AE119" i="6"/>
  <c r="AE118" i="6" s="1"/>
  <c r="AE117" i="6" s="1"/>
  <c r="Q119" i="6"/>
  <c r="AI118" i="6"/>
  <c r="AH118" i="6"/>
  <c r="AG118" i="6"/>
  <c r="AF118" i="6"/>
  <c r="AD118" i="6"/>
  <c r="AC118" i="6"/>
  <c r="AB118" i="6"/>
  <c r="AA118" i="6"/>
  <c r="Y118" i="6"/>
  <c r="Y117" i="6" s="1"/>
  <c r="W118" i="6"/>
  <c r="W117" i="6" s="1"/>
  <c r="V118" i="6"/>
  <c r="V117" i="6" s="1"/>
  <c r="U118" i="6"/>
  <c r="T118" i="6"/>
  <c r="T117" i="6" s="1"/>
  <c r="S118" i="6"/>
  <c r="S117" i="6" s="1"/>
  <c r="R118" i="6"/>
  <c r="P118" i="6"/>
  <c r="AN117" i="6"/>
  <c r="AM117" i="6"/>
  <c r="AK117" i="6"/>
  <c r="AA117" i="6"/>
  <c r="X117" i="6"/>
  <c r="U117" i="6"/>
  <c r="R117" i="6"/>
  <c r="O117" i="6"/>
  <c r="N117" i="6"/>
  <c r="M117" i="6"/>
  <c r="L117" i="6"/>
  <c r="AE116" i="6"/>
  <c r="Q116" i="6"/>
  <c r="AI115" i="6"/>
  <c r="AH115" i="6"/>
  <c r="AG115" i="6"/>
  <c r="AF115" i="6"/>
  <c r="AD115" i="6"/>
  <c r="AC115" i="6"/>
  <c r="AB115" i="6"/>
  <c r="AA115" i="6"/>
  <c r="AA114" i="6" s="1"/>
  <c r="Z115" i="6"/>
  <c r="Y115" i="6"/>
  <c r="X115" i="6"/>
  <c r="W115" i="6"/>
  <c r="W114" i="6" s="1"/>
  <c r="V115" i="6"/>
  <c r="V114" i="6" s="1"/>
  <c r="U115" i="6"/>
  <c r="U114" i="6" s="1"/>
  <c r="T115" i="6"/>
  <c r="T114" i="6" s="1"/>
  <c r="S115" i="6"/>
  <c r="S114" i="6" s="1"/>
  <c r="R115" i="6"/>
  <c r="R114" i="6" s="1"/>
  <c r="AN114" i="6"/>
  <c r="AM114" i="6"/>
  <c r="AK114" i="6"/>
  <c r="Z114" i="6"/>
  <c r="Y114" i="6"/>
  <c r="X114" i="6"/>
  <c r="P114" i="6"/>
  <c r="O114" i="6"/>
  <c r="N114" i="6"/>
  <c r="M114" i="6"/>
  <c r="L114" i="6"/>
  <c r="Z113" i="6"/>
  <c r="Q113" i="6"/>
  <c r="AC112" i="6"/>
  <c r="AB112" i="6"/>
  <c r="AB111" i="6" s="1"/>
  <c r="AA112" i="6"/>
  <c r="Z112" i="6" s="1"/>
  <c r="Y112" i="6"/>
  <c r="Y111" i="6" s="1"/>
  <c r="X112" i="6"/>
  <c r="X111" i="6" s="1"/>
  <c r="W112" i="6"/>
  <c r="W111" i="6" s="1"/>
  <c r="V112" i="6"/>
  <c r="V111" i="6" s="1"/>
  <c r="T112" i="6"/>
  <c r="T111" i="6" s="1"/>
  <c r="S112" i="6"/>
  <c r="S111" i="6" s="1"/>
  <c r="R112" i="6"/>
  <c r="R111" i="6" s="1"/>
  <c r="AN111" i="6"/>
  <c r="AM111" i="6"/>
  <c r="AL111" i="6"/>
  <c r="AK111" i="6"/>
  <c r="AI111" i="6"/>
  <c r="AH111" i="6"/>
  <c r="AG111" i="6"/>
  <c r="AF111" i="6"/>
  <c r="AE111" i="6"/>
  <c r="AD111" i="6"/>
  <c r="AC111" i="6"/>
  <c r="Z111" i="6"/>
  <c r="P111" i="6"/>
  <c r="O111" i="6"/>
  <c r="N111" i="6"/>
  <c r="M111" i="6"/>
  <c r="L111" i="6"/>
  <c r="Z110" i="6"/>
  <c r="Q110" i="6"/>
  <c r="AD109" i="6"/>
  <c r="AC109" i="6"/>
  <c r="AC108" i="6" s="1"/>
  <c r="AB109" i="6"/>
  <c r="AA109" i="6"/>
  <c r="Y109" i="6"/>
  <c r="Y108" i="6" s="1"/>
  <c r="X109" i="6"/>
  <c r="X108" i="6" s="1"/>
  <c r="W109" i="6"/>
  <c r="V109" i="6"/>
  <c r="T109" i="6"/>
  <c r="T108" i="6" s="1"/>
  <c r="S109" i="6"/>
  <c r="S108" i="6" s="1"/>
  <c r="R109" i="6"/>
  <c r="AN108" i="6"/>
  <c r="AM108" i="6"/>
  <c r="AL108" i="6"/>
  <c r="AK108" i="6"/>
  <c r="AK95" i="6" s="1"/>
  <c r="AI108" i="6"/>
  <c r="AH108" i="6"/>
  <c r="AG108" i="6"/>
  <c r="AF108" i="6"/>
  <c r="AE108" i="6"/>
  <c r="AD108" i="6"/>
  <c r="AB108" i="6"/>
  <c r="W108" i="6"/>
  <c r="V108" i="6"/>
  <c r="R108" i="6"/>
  <c r="P108" i="6"/>
  <c r="O108" i="6"/>
  <c r="N108" i="6"/>
  <c r="M108" i="6"/>
  <c r="L108" i="6"/>
  <c r="AJ107" i="6"/>
  <c r="L107" i="6"/>
  <c r="J106" i="6"/>
  <c r="AE105" i="6"/>
  <c r="Z105" i="6"/>
  <c r="R105" i="6"/>
  <c r="Q105" i="6"/>
  <c r="AA111" i="6" l="1"/>
  <c r="Y123" i="6"/>
  <c r="Z109" i="6"/>
  <c r="Z108" i="6" s="1"/>
  <c r="AD117" i="6"/>
  <c r="AC117" i="6" s="1"/>
  <c r="AB117" i="6" s="1"/>
  <c r="AD123" i="6"/>
  <c r="AC123" i="6" s="1"/>
  <c r="AB123" i="6" s="1"/>
  <c r="Q115" i="6"/>
  <c r="Q114" i="6" s="1"/>
  <c r="Q118" i="6"/>
  <c r="Q117" i="6" s="1"/>
  <c r="P117" i="6"/>
  <c r="AE115" i="6"/>
  <c r="AE114" i="6" s="1"/>
  <c r="AD114" i="6" s="1"/>
  <c r="AC114" i="6" s="1"/>
  <c r="AB114" i="6" s="1"/>
  <c r="AJ114" i="6"/>
  <c r="AI114" i="6" s="1"/>
  <c r="AH114" i="6" s="1"/>
  <c r="AG114" i="6" s="1"/>
  <c r="AF114" i="6" s="1"/>
  <c r="AA108" i="6"/>
  <c r="U112" i="6"/>
  <c r="U111" i="6" s="1"/>
  <c r="Q109" i="6"/>
  <c r="Q108" i="6" s="1"/>
  <c r="AJ108" i="6" s="1"/>
  <c r="AK107" i="6"/>
  <c r="U109" i="6"/>
  <c r="U108" i="6" s="1"/>
  <c r="Q112" i="6"/>
  <c r="Q111" i="6" s="1"/>
  <c r="AJ111" i="6" s="1"/>
  <c r="AJ123" i="6"/>
  <c r="AJ128" i="6"/>
  <c r="AK128" i="6" s="1"/>
  <c r="AL123" i="6"/>
  <c r="T104" i="6"/>
  <c r="Q104" i="6"/>
  <c r="Z103" i="6"/>
  <c r="T103" i="6"/>
  <c r="Q103" i="6"/>
  <c r="AJ102" i="6"/>
  <c r="AJ95" i="6" s="1"/>
  <c r="AI102" i="6"/>
  <c r="AH102" i="6"/>
  <c r="AH101" i="6" s="1"/>
  <c r="AG102" i="6"/>
  <c r="AG101" i="6" s="1"/>
  <c r="AF102" i="6"/>
  <c r="AE102" i="6" s="1"/>
  <c r="AE101" i="6" s="1"/>
  <c r="AD102" i="6"/>
  <c r="AC102" i="6"/>
  <c r="AC101" i="6" s="1"/>
  <c r="AB102" i="6"/>
  <c r="AB101" i="6" s="1"/>
  <c r="AA102" i="6"/>
  <c r="Y102" i="6"/>
  <c r="X102" i="6"/>
  <c r="X101" i="6" s="1"/>
  <c r="W102" i="6"/>
  <c r="W101" i="6" s="1"/>
  <c r="V101" i="6"/>
  <c r="U102" i="6"/>
  <c r="S102" i="6"/>
  <c r="R102" i="6" s="1"/>
  <c r="R101" i="6" s="1"/>
  <c r="J102" i="6"/>
  <c r="AN101" i="6"/>
  <c r="AM101" i="6"/>
  <c r="AI101" i="6"/>
  <c r="AF101" i="6"/>
  <c r="AD101" i="6"/>
  <c r="Y101" i="6"/>
  <c r="U101" i="6"/>
  <c r="O101" i="6"/>
  <c r="N101" i="6"/>
  <c r="M101" i="6"/>
  <c r="L101" i="6"/>
  <c r="J101" i="6" s="1"/>
  <c r="AE99" i="6"/>
  <c r="AE98" i="6" s="1"/>
  <c r="Z99" i="6"/>
  <c r="Z98" i="6" s="1"/>
  <c r="X99" i="6"/>
  <c r="V99" i="6"/>
  <c r="V98" i="6" s="1"/>
  <c r="R99" i="6"/>
  <c r="Q99" i="6"/>
  <c r="P99" i="6" s="1"/>
  <c r="AI98" i="6"/>
  <c r="AH98" i="6"/>
  <c r="AG98" i="6"/>
  <c r="AF98" i="6"/>
  <c r="AD98" i="6"/>
  <c r="AC98" i="6"/>
  <c r="AB98" i="6"/>
  <c r="AB97" i="6" s="1"/>
  <c r="AA98" i="6"/>
  <c r="Y98" i="6"/>
  <c r="X98" i="6"/>
  <c r="W98" i="6"/>
  <c r="U98" i="6"/>
  <c r="T98" i="6"/>
  <c r="S98" i="6"/>
  <c r="R98" i="6" s="1"/>
  <c r="AK97" i="6"/>
  <c r="AI97" i="6" s="1"/>
  <c r="P97" i="6"/>
  <c r="O97" i="6"/>
  <c r="O94" i="6" s="1"/>
  <c r="N97" i="6"/>
  <c r="N94" i="6" s="1"/>
  <c r="M97" i="6"/>
  <c r="M94" i="6" s="1"/>
  <c r="L97" i="6"/>
  <c r="L96" i="6"/>
  <c r="J96" i="6" s="1"/>
  <c r="L95" i="6"/>
  <c r="J95" i="6" s="1"/>
  <c r="AN94" i="6" s="1"/>
  <c r="AM94" i="6" s="1"/>
  <c r="L94" i="6" l="1"/>
  <c r="T102" i="6"/>
  <c r="T101" i="6" s="1"/>
  <c r="AJ117" i="6"/>
  <c r="AI117" i="6" s="1"/>
  <c r="AH117" i="6" s="1"/>
  <c r="AG117" i="6" s="1"/>
  <c r="AF117" i="6" s="1"/>
  <c r="AI123" i="6"/>
  <c r="AH123" i="6" s="1"/>
  <c r="AG123" i="6" s="1"/>
  <c r="AF123" i="6" s="1"/>
  <c r="AK123" i="6"/>
  <c r="Z102" i="6"/>
  <c r="Z101" i="6" s="1"/>
  <c r="S101" i="6"/>
  <c r="Q98" i="6"/>
  <c r="Q97" i="6" s="1"/>
  <c r="AA101" i="6"/>
  <c r="Q102" i="6"/>
  <c r="Q101" i="6" s="1"/>
  <c r="P101" i="6" s="1"/>
  <c r="AJ101" i="6" s="1"/>
  <c r="AK101" i="6" s="1"/>
  <c r="AA97" i="6"/>
  <c r="J97" i="6"/>
  <c r="AH97" i="6"/>
  <c r="AL101" i="6" l="1"/>
  <c r="AJ94" i="6"/>
  <c r="Z97" i="6"/>
  <c r="AG97" i="6"/>
  <c r="J94" i="6"/>
  <c r="K94" i="6"/>
  <c r="L93" i="6"/>
  <c r="AE83" i="6"/>
  <c r="AE82" i="6" s="1"/>
  <c r="AE81" i="6" s="1"/>
  <c r="AE78" i="6" s="1"/>
  <c r="R83" i="6"/>
  <c r="R82" i="6" s="1"/>
  <c r="AF82" i="6"/>
  <c r="Z82" i="6"/>
  <c r="Z81" i="6" s="1"/>
  <c r="Z78" i="6" s="1"/>
  <c r="Y82" i="6"/>
  <c r="Y81" i="6" s="1"/>
  <c r="Y78" i="6" s="1"/>
  <c r="AN81" i="6"/>
  <c r="AN78" i="6" s="1"/>
  <c r="AM81" i="6"/>
  <c r="AM78" i="6" s="1"/>
  <c r="AI81" i="6"/>
  <c r="AI78" i="6" s="1"/>
  <c r="AH81" i="6"/>
  <c r="AH78" i="6" s="1"/>
  <c r="AG81" i="6"/>
  <c r="AG78" i="6" s="1"/>
  <c r="AD81" i="6"/>
  <c r="AD78" i="6" s="1"/>
  <c r="AC81" i="6"/>
  <c r="AC78" i="6" s="1"/>
  <c r="AB81" i="6"/>
  <c r="AB78" i="6" s="1"/>
  <c r="AA81" i="6"/>
  <c r="AA78" i="6" s="1"/>
  <c r="X81" i="6"/>
  <c r="X78" i="6" s="1"/>
  <c r="W81" i="6"/>
  <c r="W78" i="6" s="1"/>
  <c r="V81" i="6"/>
  <c r="V78" i="6" s="1"/>
  <c r="U81" i="6"/>
  <c r="U78" i="6" s="1"/>
  <c r="T81" i="6"/>
  <c r="T78" i="6" s="1"/>
  <c r="S81" i="6"/>
  <c r="S78" i="6" s="1"/>
  <c r="R81" i="6"/>
  <c r="R78" i="6" s="1"/>
  <c r="Q81" i="6"/>
  <c r="P81" i="6"/>
  <c r="P78" i="6" s="1"/>
  <c r="O81" i="6"/>
  <c r="O78" i="6" s="1"/>
  <c r="N81" i="6"/>
  <c r="N78" i="6" s="1"/>
  <c r="M81" i="6"/>
  <c r="M78" i="6" s="1"/>
  <c r="AK94" i="6" l="1"/>
  <c r="AL94" i="6"/>
  <c r="AL81" i="6"/>
  <c r="AL78" i="6" s="1"/>
  <c r="Q78" i="6"/>
  <c r="AF97" i="6"/>
  <c r="Y97" i="6"/>
  <c r="AF81" i="6"/>
  <c r="AF78" i="6" s="1"/>
  <c r="AJ81" i="6"/>
  <c r="L81" i="6"/>
  <c r="L78" i="6" s="1"/>
  <c r="L80" i="6"/>
  <c r="L79" i="6"/>
  <c r="K78" i="6"/>
  <c r="J78" i="6"/>
  <c r="J71" i="6"/>
  <c r="Z70" i="6"/>
  <c r="Z69" i="6" s="1"/>
  <c r="Z68" i="6" s="1"/>
  <c r="Z62" i="6" s="1"/>
  <c r="V70" i="6"/>
  <c r="Q70" i="6"/>
  <c r="AC69" i="6"/>
  <c r="AC68" i="6" s="1"/>
  <c r="AC62" i="6" s="1"/>
  <c r="AB69" i="6"/>
  <c r="AB68" i="6" s="1"/>
  <c r="AB62" i="6" s="1"/>
  <c r="AA69" i="6"/>
  <c r="AA68" i="6" s="1"/>
  <c r="AA62" i="6" s="1"/>
  <c r="Y69" i="6"/>
  <c r="Y68" i="6" s="1"/>
  <c r="Y62" i="6" s="1"/>
  <c r="X69" i="6"/>
  <c r="W69" i="6"/>
  <c r="W68" i="6" s="1"/>
  <c r="W62" i="6" s="1"/>
  <c r="U69" i="6"/>
  <c r="U68" i="6" s="1"/>
  <c r="U62" i="6" s="1"/>
  <c r="T69" i="6"/>
  <c r="T68" i="6" s="1"/>
  <c r="T62" i="6" s="1"/>
  <c r="S69" i="6"/>
  <c r="S68" i="6" s="1"/>
  <c r="S62" i="6" s="1"/>
  <c r="R69" i="6"/>
  <c r="Q69" i="6" s="1"/>
  <c r="Q68" i="6" s="1"/>
  <c r="Q62" i="6" s="1"/>
  <c r="J69" i="6"/>
  <c r="AN68" i="6"/>
  <c r="AM68" i="6"/>
  <c r="AM62" i="6" s="1"/>
  <c r="AI68" i="6"/>
  <c r="AI62" i="6" s="1"/>
  <c r="AH68" i="6"/>
  <c r="AH62" i="6" s="1"/>
  <c r="AG68" i="6"/>
  <c r="AG62" i="6" s="1"/>
  <c r="AF68" i="6"/>
  <c r="AF62" i="6" s="1"/>
  <c r="AE68" i="6"/>
  <c r="AE62" i="6" s="1"/>
  <c r="AD68" i="6"/>
  <c r="AD62" i="6" s="1"/>
  <c r="X68" i="6"/>
  <c r="X62" i="6" s="1"/>
  <c r="P68" i="6"/>
  <c r="O68" i="6"/>
  <c r="N68" i="6"/>
  <c r="M68" i="6"/>
  <c r="J68" i="6"/>
  <c r="L67" i="6"/>
  <c r="J67" i="6" s="1"/>
  <c r="L66" i="6"/>
  <c r="J66" i="6" s="1"/>
  <c r="AN65" i="6"/>
  <c r="AN62" i="6" s="1"/>
  <c r="AN20" i="6" s="1"/>
  <c r="AM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J64" i="6"/>
  <c r="J63" i="6"/>
  <c r="AI61" i="6"/>
  <c r="AH61" i="6"/>
  <c r="AG61" i="6"/>
  <c r="AF61" i="6"/>
  <c r="Z58" i="6"/>
  <c r="Q59" i="6"/>
  <c r="Q58" i="6" s="1"/>
  <c r="W58" i="6"/>
  <c r="V58" i="6"/>
  <c r="U58" i="6"/>
  <c r="T57" i="6"/>
  <c r="T54" i="6" s="1"/>
  <c r="S57" i="6"/>
  <c r="S54" i="6" s="1"/>
  <c r="R57" i="6"/>
  <c r="R54" i="6" s="1"/>
  <c r="P57" i="6"/>
  <c r="O57" i="6"/>
  <c r="O55" i="6" s="1"/>
  <c r="N57" i="6"/>
  <c r="N55" i="6" s="1"/>
  <c r="M57" i="6"/>
  <c r="L57" i="6"/>
  <c r="AN55" i="6"/>
  <c r="AM55" i="6"/>
  <c r="AL55" i="6"/>
  <c r="AI55" i="6"/>
  <c r="AH55" i="6"/>
  <c r="AG55" i="6"/>
  <c r="AF55" i="6"/>
  <c r="AE55" i="6"/>
  <c r="AD55" i="6"/>
  <c r="N62" i="6" l="1"/>
  <c r="O62" i="6"/>
  <c r="L65" i="6"/>
  <c r="J65" i="6" s="1"/>
  <c r="M62" i="6"/>
  <c r="AM20" i="6"/>
  <c r="L62" i="6"/>
  <c r="J62" i="6" s="1"/>
  <c r="R68" i="6"/>
  <c r="R62" i="6" s="1"/>
  <c r="X97" i="6"/>
  <c r="AE97" i="6"/>
  <c r="P62" i="6"/>
  <c r="AK81" i="6"/>
  <c r="AK78" i="6" s="1"/>
  <c r="AJ78" i="6"/>
  <c r="AJ65" i="6"/>
  <c r="AK65" i="6" s="1"/>
  <c r="AJ62" i="6"/>
  <c r="AK68" i="6"/>
  <c r="AK62" i="6" s="1"/>
  <c r="V69" i="6"/>
  <c r="V68" i="6" s="1"/>
  <c r="V62" i="6" s="1"/>
  <c r="Q57" i="6"/>
  <c r="AJ57" i="6" s="1"/>
  <c r="M55" i="6"/>
  <c r="K55" i="6"/>
  <c r="J55" i="6"/>
  <c r="Z46" i="6"/>
  <c r="Q46" i="6"/>
  <c r="AD45" i="6"/>
  <c r="Y45" i="6"/>
  <c r="Y44" i="6" s="1"/>
  <c r="X45" i="6"/>
  <c r="L45" i="6"/>
  <c r="AN44" i="6"/>
  <c r="AM44" i="6"/>
  <c r="AI44" i="6"/>
  <c r="AH44" i="6"/>
  <c r="AG44" i="6"/>
  <c r="AF44" i="6"/>
  <c r="AE44" i="6"/>
  <c r="AC44" i="6"/>
  <c r="AB44" i="6"/>
  <c r="AA44" i="6"/>
  <c r="X44" i="6"/>
  <c r="W44" i="6"/>
  <c r="V44" i="6"/>
  <c r="U44" i="6"/>
  <c r="T44" i="6"/>
  <c r="S44" i="6"/>
  <c r="R44" i="6"/>
  <c r="P44" i="6"/>
  <c r="O44" i="6"/>
  <c r="N44" i="6"/>
  <c r="M44" i="6"/>
  <c r="L44" i="6"/>
  <c r="AN41" i="6"/>
  <c r="AM41" i="6"/>
  <c r="AL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Q40" i="6"/>
  <c r="P40" i="6" s="1"/>
  <c r="T39" i="6"/>
  <c r="AI38" i="6"/>
  <c r="AH38" i="6"/>
  <c r="AG38" i="6"/>
  <c r="AD38" i="6"/>
  <c r="AC38" i="6"/>
  <c r="AB38" i="6"/>
  <c r="AA38" i="6"/>
  <c r="Z38" i="6"/>
  <c r="Y38" i="6"/>
  <c r="W38" i="6"/>
  <c r="V38" i="6"/>
  <c r="S38" i="6"/>
  <c r="R38" i="6"/>
  <c r="N38" i="6"/>
  <c r="L38" i="6"/>
  <c r="AE37" i="6"/>
  <c r="Z37" i="6"/>
  <c r="Z36" i="6" s="1"/>
  <c r="Q37" i="6"/>
  <c r="P37" i="6" s="1"/>
  <c r="AI36" i="6"/>
  <c r="AH36" i="6"/>
  <c r="AG36" i="6"/>
  <c r="AF36" i="6"/>
  <c r="AE36" i="6"/>
  <c r="AD36" i="6"/>
  <c r="AC36" i="6"/>
  <c r="AB36" i="6"/>
  <c r="AA36" i="6"/>
  <c r="Y36" i="6"/>
  <c r="W36" i="6"/>
  <c r="V36" i="6"/>
  <c r="U36" i="6"/>
  <c r="T36" i="6"/>
  <c r="S36" i="6"/>
  <c r="Z45" i="6" l="1"/>
  <c r="Z44" i="6" s="1"/>
  <c r="AJ41" i="6"/>
  <c r="AD44" i="6"/>
  <c r="P23" i="6"/>
  <c r="J41" i="6"/>
  <c r="AF40" i="6" s="1"/>
  <c r="AE40" i="6" s="1"/>
  <c r="L23" i="6"/>
  <c r="L19" i="6" s="1"/>
  <c r="Q54" i="6"/>
  <c r="P54" i="6"/>
  <c r="AD97" i="6"/>
  <c r="W97" i="6"/>
  <c r="R36" i="6"/>
  <c r="Q39" i="6"/>
  <c r="Q38" i="6" s="1"/>
  <c r="Q25" i="6" s="1"/>
  <c r="Q21" i="6" s="1"/>
  <c r="Q45" i="6"/>
  <c r="Q44" i="6" s="1"/>
  <c r="AL44" i="6" s="1"/>
  <c r="AK20" i="6"/>
  <c r="AB54" i="6"/>
  <c r="AK57" i="6"/>
  <c r="AK55" i="6" s="1"/>
  <c r="AJ55" i="6"/>
  <c r="Q36" i="6"/>
  <c r="J36" i="6"/>
  <c r="AE35" i="6"/>
  <c r="Z35" i="6"/>
  <c r="R35" i="6"/>
  <c r="AJ44" i="6" l="1"/>
  <c r="AK44" i="6" s="1"/>
  <c r="AF39" i="6"/>
  <c r="O54" i="6"/>
  <c r="O20" i="6" s="1"/>
  <c r="AJ20" i="6"/>
  <c r="V97" i="6"/>
  <c r="AC97" i="6"/>
  <c r="P39" i="6"/>
  <c r="AA54" i="6"/>
  <c r="Q35" i="6"/>
  <c r="P35" i="6"/>
  <c r="AE34" i="6"/>
  <c r="Z34" i="6"/>
  <c r="Q34" i="6"/>
  <c r="AE33" i="6"/>
  <c r="Z33" i="6"/>
  <c r="Q33" i="6"/>
  <c r="AE32" i="6"/>
  <c r="Z32" i="6"/>
  <c r="Q32" i="6"/>
  <c r="P32" i="6"/>
  <c r="AE31" i="6"/>
  <c r="Z31" i="6"/>
  <c r="T31" i="6"/>
  <c r="Q31" i="6"/>
  <c r="P31" i="6"/>
  <c r="AE30" i="6"/>
  <c r="Z30" i="6"/>
  <c r="Q30" i="6"/>
  <c r="P30" i="6" s="1"/>
  <c r="AE29" i="6"/>
  <c r="Z29" i="6"/>
  <c r="Q29" i="6"/>
  <c r="AH28" i="6"/>
  <c r="AG28" i="6"/>
  <c r="AF28" i="6"/>
  <c r="AD28" i="6"/>
  <c r="AD23" i="6" s="1"/>
  <c r="AC28" i="6"/>
  <c r="AC23" i="6" s="1"/>
  <c r="AB28" i="6"/>
  <c r="AB23" i="6" s="1"/>
  <c r="AA23" i="6"/>
  <c r="Y28" i="6"/>
  <c r="Y23" i="6" s="1"/>
  <c r="X28" i="6"/>
  <c r="W28" i="6"/>
  <c r="V28" i="6"/>
  <c r="U28" i="6"/>
  <c r="Z28" i="6" l="1"/>
  <c r="Z23" i="6" s="1"/>
  <c r="Z19" i="6" s="1"/>
  <c r="AE39" i="6"/>
  <c r="AE38" i="6" s="1"/>
  <c r="AF38" i="6"/>
  <c r="P29" i="6"/>
  <c r="N54" i="6"/>
  <c r="N20" i="6" s="1"/>
  <c r="U97" i="6"/>
  <c r="Z57" i="6"/>
  <c r="Z54" i="6" s="1"/>
  <c r="T28" i="6"/>
  <c r="S28" i="6"/>
  <c r="I30" i="6" s="1"/>
  <c r="R28" i="6"/>
  <c r="R27" i="6" s="1"/>
  <c r="Q28" i="6"/>
  <c r="Q23" i="6" s="1"/>
  <c r="K28" i="6"/>
  <c r="K27" i="6" s="1"/>
  <c r="AN27" i="6"/>
  <c r="AM27" i="6"/>
  <c r="AH27" i="6"/>
  <c r="AG27" i="6"/>
  <c r="AF27" i="6" s="1"/>
  <c r="AE27" i="6"/>
  <c r="AD27" i="6"/>
  <c r="AC27" i="6"/>
  <c r="AB27" i="6"/>
  <c r="AA27" i="6"/>
  <c r="Z27" i="6"/>
  <c r="Y27" i="6"/>
  <c r="X27" i="6"/>
  <c r="W27" i="6"/>
  <c r="V27" i="6"/>
  <c r="U27" i="6"/>
  <c r="T27" i="6"/>
  <c r="P27" i="6"/>
  <c r="O27" i="6"/>
  <c r="N27" i="6"/>
  <c r="M27" i="6"/>
  <c r="L27" i="6"/>
  <c r="AN26" i="6"/>
  <c r="AM26" i="6"/>
  <c r="AL26" i="6"/>
  <c r="AK26" i="6"/>
  <c r="AJ26" i="6"/>
  <c r="AI26" i="6" s="1"/>
  <c r="AH26" i="6" s="1"/>
  <c r="AG26" i="6"/>
  <c r="AF26" i="6" s="1"/>
  <c r="AE26" i="6"/>
  <c r="AD26" i="6" s="1"/>
  <c r="AC26" i="6" s="1"/>
  <c r="AB26" i="6" s="1"/>
  <c r="AA26" i="6"/>
  <c r="Z26" i="6"/>
  <c r="Y26" i="6"/>
  <c r="X26" i="6"/>
  <c r="W26" i="6" s="1"/>
  <c r="V26" i="6" s="1"/>
  <c r="U26" i="6"/>
  <c r="T26" i="6"/>
  <c r="S26" i="6"/>
  <c r="R26" i="6" s="1"/>
  <c r="Q26" i="6"/>
  <c r="P26" i="6"/>
  <c r="O26" i="6"/>
  <c r="N26" i="6"/>
  <c r="M26" i="6"/>
  <c r="L26" i="6"/>
  <c r="K26" i="6"/>
  <c r="J26" i="6" s="1"/>
  <c r="AI25" i="6"/>
  <c r="AI21" i="6" s="1"/>
  <c r="AH25" i="6"/>
  <c r="AH21" i="6" s="1"/>
  <c r="AG25" i="6"/>
  <c r="AG21" i="6" s="1"/>
  <c r="AE25" i="6"/>
  <c r="AE21" i="6" s="1"/>
  <c r="AA25" i="6"/>
  <c r="AA21" i="6" s="1"/>
  <c r="Z25" i="6"/>
  <c r="Z21" i="6" s="1"/>
  <c r="Y25" i="6"/>
  <c r="Y21" i="6" s="1"/>
  <c r="X25" i="6"/>
  <c r="W25" i="6"/>
  <c r="V25" i="6"/>
  <c r="Q27" i="6" l="1"/>
  <c r="AK27" i="6" s="1"/>
  <c r="S27" i="6"/>
  <c r="I29" i="6"/>
  <c r="AD25" i="6"/>
  <c r="AD21" i="6" s="1"/>
  <c r="AF25" i="6"/>
  <c r="AF21" i="6" s="1"/>
  <c r="M54" i="6"/>
  <c r="M20" i="6" s="1"/>
  <c r="T97" i="6"/>
  <c r="AC25" i="6"/>
  <c r="AC21" i="6" s="1"/>
  <c r="Y57" i="6"/>
  <c r="Y54" i="6" s="1"/>
  <c r="U25" i="6"/>
  <c r="U21" i="6" s="1"/>
  <c r="T25" i="6"/>
  <c r="T21" i="6" s="1"/>
  <c r="S25" i="6"/>
  <c r="S21" i="6" s="1"/>
  <c r="R25" i="6"/>
  <c r="P25" i="6"/>
  <c r="P21" i="6" s="1"/>
  <c r="O25" i="6"/>
  <c r="O21" i="6" s="1"/>
  <c r="N25" i="6"/>
  <c r="N21" i="6" s="1"/>
  <c r="M25" i="6"/>
  <c r="M21" i="6" s="1"/>
  <c r="AN23" i="6"/>
  <c r="AM23" i="6"/>
  <c r="AL23" i="6" s="1"/>
  <c r="AI23" i="6"/>
  <c r="AH23" i="6"/>
  <c r="AH19" i="6" s="1"/>
  <c r="AG23" i="6"/>
  <c r="AG19" i="6" s="1"/>
  <c r="AF23" i="6"/>
  <c r="AF19" i="6" s="1"/>
  <c r="AE23" i="6"/>
  <c r="AE19" i="6" s="1"/>
  <c r="AD19" i="6"/>
  <c r="AC19" i="6"/>
  <c r="AB19" i="6"/>
  <c r="AA19" i="6"/>
  <c r="X23" i="6"/>
  <c r="W23" i="6"/>
  <c r="V23" i="6"/>
  <c r="U23" i="6"/>
  <c r="T23" i="6"/>
  <c r="S23" i="6"/>
  <c r="R23" i="6"/>
  <c r="R21" i="6" l="1"/>
  <c r="L54" i="6"/>
  <c r="L20" i="6" s="1"/>
  <c r="L25" i="6"/>
  <c r="L21" i="6" s="1"/>
  <c r="S97" i="6"/>
  <c r="AB25" i="6"/>
  <c r="AB21" i="6" s="1"/>
  <c r="X57" i="6"/>
  <c r="X54" i="6" s="1"/>
  <c r="O23" i="6"/>
  <c r="N23" i="6"/>
  <c r="M23" i="6"/>
  <c r="R97" i="6" l="1"/>
  <c r="W57" i="6"/>
  <c r="W54" i="6" s="1"/>
  <c r="X21" i="6"/>
  <c r="K23" i="6"/>
  <c r="V57" i="6" l="1"/>
  <c r="V54" i="6" s="1"/>
  <c r="W21" i="6"/>
  <c r="J23" i="6"/>
  <c r="AN22" i="6"/>
  <c r="AM22" i="6"/>
  <c r="AL22" i="6"/>
  <c r="AK22" i="6"/>
  <c r="AJ22" i="6"/>
  <c r="AI22" i="6" s="1"/>
  <c r="AH22" i="6" s="1"/>
  <c r="AG22" i="6" s="1"/>
  <c r="AF22" i="6" s="1"/>
  <c r="AE22" i="6" s="1"/>
  <c r="AD22" i="6" s="1"/>
  <c r="AC22" i="6" s="1"/>
  <c r="AB22" i="6" s="1"/>
  <c r="AA22" i="6" s="1"/>
  <c r="Z22" i="6" s="1"/>
  <c r="Y22" i="6" s="1"/>
  <c r="X22" i="6" s="1"/>
  <c r="W22" i="6" s="1"/>
  <c r="V22" i="6" s="1"/>
  <c r="U22" i="6" s="1"/>
  <c r="T22" i="6" s="1"/>
  <c r="S22" i="6" s="1"/>
  <c r="R22" i="6" s="1"/>
  <c r="Q22" i="6" s="1"/>
  <c r="P22" i="6"/>
  <c r="O22" i="6" s="1"/>
  <c r="N22" i="6" s="1"/>
  <c r="M22" i="6" s="1"/>
  <c r="L22" i="6"/>
  <c r="K22" i="6" s="1"/>
  <c r="J22" i="6" s="1"/>
  <c r="AN21" i="6" s="1"/>
  <c r="AM21" i="6" s="1"/>
  <c r="AL21" i="6" s="1"/>
  <c r="AK21" i="6" s="1"/>
  <c r="AJ21" i="6"/>
  <c r="U57" i="6" l="1"/>
  <c r="U54" i="6" s="1"/>
  <c r="V21" i="6"/>
  <c r="K21" i="6"/>
  <c r="J21" i="6" s="1"/>
  <c r="J20" i="6" l="1"/>
  <c r="AN19" i="6" s="1"/>
  <c r="AM19" i="6" s="1"/>
  <c r="AL19" i="6" s="1"/>
  <c r="M19" i="6"/>
  <c r="K19" i="6" s="1"/>
  <c r="J19" i="6" s="1"/>
  <c r="AN18" i="6" l="1"/>
  <c r="AM18" i="6"/>
  <c r="J18" i="6"/>
  <c r="AN16" i="6"/>
  <c r="AM16" i="6"/>
  <c r="AK16" i="6"/>
  <c r="AJ16" i="6"/>
  <c r="AI16" i="6" s="1"/>
  <c r="AH16" i="6"/>
  <c r="AG16" i="6" s="1"/>
  <c r="AF16" i="6"/>
  <c r="AE16" i="6" s="1"/>
  <c r="AD16" i="6"/>
  <c r="AC16" i="6"/>
  <c r="AB16" i="6"/>
  <c r="AA16" i="6"/>
  <c r="Z16" i="6"/>
  <c r="Y16" i="6"/>
  <c r="X16" i="6"/>
  <c r="W16" i="6"/>
  <c r="V16" i="6"/>
  <c r="U16" i="6" s="1"/>
  <c r="T16" i="6"/>
  <c r="S16" i="6"/>
  <c r="R16" i="6"/>
  <c r="Q16" i="6" s="1"/>
  <c r="P16" i="6"/>
  <c r="O16" i="6" s="1"/>
  <c r="N16" i="6" s="1"/>
  <c r="M16" i="6" l="1"/>
  <c r="L16" i="6" l="1"/>
  <c r="K16" i="6"/>
  <c r="J16" i="6" s="1"/>
  <c r="AN15" i="6"/>
  <c r="AM15" i="6"/>
  <c r="AK15" i="6"/>
  <c r="AJ15" i="6"/>
  <c r="AI15" i="6" l="1"/>
  <c r="AH15" i="6"/>
  <c r="AG15" i="6" s="1"/>
  <c r="AF15" i="6"/>
  <c r="AE15" i="6"/>
  <c r="AD15" i="6" s="1"/>
  <c r="AC15" i="6" s="1"/>
  <c r="AB15" i="6"/>
  <c r="AA15" i="6" l="1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 l="1"/>
  <c r="L15" i="6"/>
  <c r="K15" i="6"/>
  <c r="J15" i="6"/>
  <c r="AN14" i="6"/>
  <c r="AM14" i="6"/>
  <c r="AN13" i="6" l="1"/>
  <c r="AM13" i="6"/>
  <c r="AD13" i="6"/>
  <c r="AC13" i="6" s="1"/>
  <c r="AB13" i="6" s="1"/>
  <c r="AA13" i="6"/>
  <c r="M13" i="6"/>
  <c r="L13" i="6" l="1"/>
  <c r="K13" i="6"/>
  <c r="J13" i="6"/>
  <c r="AN12" i="6"/>
  <c r="AM12" i="6"/>
  <c r="AG180" i="6" l="1"/>
  <c r="AF180" i="6"/>
  <c r="AE180" i="6"/>
  <c r="Q294" i="6"/>
  <c r="AH180" i="6"/>
  <c r="AI178" i="6"/>
  <c r="AC180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AA180" i="6" l="1"/>
  <c r="AA178" i="6" s="1"/>
  <c r="AB180" i="6"/>
  <c r="AB178" i="6" s="1"/>
  <c r="AD180" i="6"/>
  <c r="AD178" i="6" s="1"/>
  <c r="AC178" i="6"/>
  <c r="AL268" i="6"/>
  <c r="AJ268" i="6"/>
  <c r="AJ180" i="6" s="1"/>
  <c r="AK294" i="6"/>
  <c r="AK268" i="6" s="1"/>
  <c r="AK180" i="6" s="1"/>
  <c r="AL180" i="6" l="1"/>
  <c r="AL178" i="6" s="1"/>
  <c r="AJ14" i="6"/>
  <c r="AJ178" i="6"/>
  <c r="AK14" i="6"/>
  <c r="AK178" i="6"/>
  <c r="AJ23" i="6"/>
  <c r="AJ19" i="6" s="1"/>
  <c r="AG13" i="6"/>
  <c r="AE13" i="6"/>
  <c r="AH13" i="6"/>
  <c r="AF13" i="6"/>
  <c r="AI19" i="6"/>
  <c r="AB131" i="6"/>
  <c r="AB94" i="6" s="1"/>
  <c r="AB20" i="6" s="1"/>
  <c r="AB18" i="6" s="1"/>
  <c r="AD131" i="6"/>
  <c r="AC131" i="6"/>
  <c r="AC94" i="6" s="1"/>
  <c r="AC20" i="6" s="1"/>
  <c r="AC18" i="6" s="1"/>
  <c r="Q19" i="6"/>
  <c r="Q13" i="6" s="1"/>
  <c r="Q131" i="6"/>
  <c r="Q94" i="6" s="1"/>
  <c r="Q20" i="6" s="1"/>
  <c r="P19" i="6"/>
  <c r="P13" i="6" s="1"/>
  <c r="P131" i="6"/>
  <c r="O19" i="6"/>
  <c r="O13" i="6" s="1"/>
  <c r="O14" i="6"/>
  <c r="N19" i="6"/>
  <c r="N13" i="6" s="1"/>
  <c r="N14" i="6"/>
  <c r="T19" i="6"/>
  <c r="T13" i="6" s="1"/>
  <c r="T131" i="6"/>
  <c r="T94" i="6" s="1"/>
  <c r="T20" i="6" s="1"/>
  <c r="S19" i="6"/>
  <c r="S13" i="6" s="1"/>
  <c r="S131" i="6"/>
  <c r="R19" i="6"/>
  <c r="R13" i="6" s="1"/>
  <c r="R131" i="6"/>
  <c r="R94" i="6" s="1"/>
  <c r="R20" i="6" s="1"/>
  <c r="R14" i="6" s="1"/>
  <c r="AA131" i="6"/>
  <c r="Z13" i="6"/>
  <c r="Z131" i="6"/>
  <c r="Z94" i="6" s="1"/>
  <c r="Z20" i="6" s="1"/>
  <c r="Y19" i="6"/>
  <c r="Y13" i="6" s="1"/>
  <c r="Y131" i="6"/>
  <c r="X19" i="6"/>
  <c r="X13" i="6" s="1"/>
  <c r="X131" i="6"/>
  <c r="X94" i="6" s="1"/>
  <c r="X20" i="6" s="1"/>
  <c r="W19" i="6"/>
  <c r="W13" i="6" s="1"/>
  <c r="W131" i="6"/>
  <c r="M14" i="6"/>
  <c r="M12" i="6" s="1"/>
  <c r="L14" i="6"/>
  <c r="L12" i="6" s="1"/>
  <c r="K20" i="6"/>
  <c r="K14" i="6" s="1"/>
  <c r="K12" i="6" s="1"/>
  <c r="J14" i="6"/>
  <c r="J12" i="6" s="1"/>
  <c r="V19" i="6"/>
  <c r="V13" i="6" s="1"/>
  <c r="V131" i="6"/>
  <c r="U19" i="6"/>
  <c r="U13" i="6" s="1"/>
  <c r="U131" i="6"/>
  <c r="U94" i="6" s="1"/>
  <c r="U20" i="6" s="1"/>
  <c r="AI131" i="6"/>
  <c r="AI94" i="6" s="1"/>
  <c r="AH131" i="6"/>
  <c r="AH94" i="6" s="1"/>
  <c r="AG131" i="6"/>
  <c r="AG94" i="6" s="1"/>
  <c r="AF131" i="6"/>
  <c r="AF94" i="6" s="1"/>
  <c r="AE131" i="6"/>
  <c r="AE94" i="6" s="1"/>
  <c r="AJ131" i="6" l="1"/>
  <c r="AK131" i="6" s="1"/>
  <c r="AI13" i="6"/>
  <c r="K18" i="6"/>
  <c r="AK41" i="6"/>
  <c r="AK23" i="6" s="1"/>
  <c r="AK19" i="6" s="1"/>
  <c r="AK18" i="6" s="1"/>
  <c r="AG20" i="6"/>
  <c r="AF20" i="6"/>
  <c r="AH20" i="6"/>
  <c r="AE20" i="6"/>
  <c r="AI20" i="6"/>
  <c r="AI14" i="6" s="1"/>
  <c r="W94" i="6"/>
  <c r="W20" i="6" s="1"/>
  <c r="Y94" i="6"/>
  <c r="Y20" i="6" s="1"/>
  <c r="S94" i="6"/>
  <c r="S20" i="6" s="1"/>
  <c r="AD94" i="6"/>
  <c r="AD20" i="6" s="1"/>
  <c r="AD18" i="6" s="1"/>
  <c r="V94" i="6"/>
  <c r="V20" i="6" s="1"/>
  <c r="AA94" i="6"/>
  <c r="AA20" i="6" s="1"/>
  <c r="AA18" i="6" s="1"/>
  <c r="P94" i="6"/>
  <c r="P20" i="6" s="1"/>
  <c r="P18" i="6" s="1"/>
  <c r="M18" i="6"/>
  <c r="N18" i="6"/>
  <c r="O18" i="6"/>
  <c r="O12" i="6"/>
  <c r="X18" i="6"/>
  <c r="X14" i="6"/>
  <c r="X12" i="6" s="1"/>
  <c r="Z14" i="6"/>
  <c r="Z12" i="6" s="1"/>
  <c r="Z18" i="6"/>
  <c r="AC14" i="6"/>
  <c r="AC12" i="6" s="1"/>
  <c r="AJ13" i="6"/>
  <c r="AJ12" i="6" s="1"/>
  <c r="AJ18" i="6"/>
  <c r="N12" i="6"/>
  <c r="U14" i="6"/>
  <c r="U12" i="6" s="1"/>
  <c r="U18" i="6"/>
  <c r="R12" i="6"/>
  <c r="R18" i="6"/>
  <c r="T14" i="6"/>
  <c r="T12" i="6" s="1"/>
  <c r="T18" i="6"/>
  <c r="Q18" i="6"/>
  <c r="Q14" i="6"/>
  <c r="Q12" i="6" s="1"/>
  <c r="AB14" i="6"/>
  <c r="AB12" i="6" s="1"/>
  <c r="L18" i="6"/>
  <c r="AL13" i="6"/>
  <c r="AB155" i="15"/>
  <c r="AB7" i="15" s="1"/>
  <c r="AB5" i="15" s="1"/>
  <c r="AC155" i="15"/>
  <c r="AC7" i="15" s="1"/>
  <c r="AC5" i="15" s="1"/>
  <c r="AG155" i="15"/>
  <c r="AG7" i="15" s="1"/>
  <c r="AG5" i="15" s="1"/>
  <c r="AK265" i="15"/>
  <c r="AL265" i="15" s="1"/>
  <c r="AD155" i="15"/>
  <c r="AD7" i="15" s="1"/>
  <c r="AD5" i="15" s="1"/>
  <c r="Y155" i="15"/>
  <c r="Y7" i="15" s="1"/>
  <c r="AF155" i="15"/>
  <c r="AF7" i="15" s="1"/>
  <c r="AF5" i="15" s="1"/>
  <c r="AE155" i="15"/>
  <c r="AE153" i="15" s="1"/>
  <c r="AA155" i="15"/>
  <c r="AA7" i="15" s="1"/>
  <c r="AK13" i="6" l="1"/>
  <c r="AK12" i="6" s="1"/>
  <c r="AI12" i="6"/>
  <c r="AH14" i="6"/>
  <c r="AH18" i="6"/>
  <c r="AG14" i="6"/>
  <c r="AG18" i="6"/>
  <c r="AE14" i="6"/>
  <c r="AE18" i="6"/>
  <c r="AF14" i="6"/>
  <c r="AF18" i="6"/>
  <c r="AI18" i="6"/>
  <c r="AB153" i="15"/>
  <c r="AD153" i="15"/>
  <c r="AE7" i="15"/>
  <c r="AE5" i="15" s="1"/>
  <c r="AF153" i="15"/>
  <c r="AG153" i="15"/>
  <c r="AC153" i="15"/>
  <c r="P14" i="6"/>
  <c r="P12" i="6" s="1"/>
  <c r="AL12" i="6" s="1"/>
  <c r="V14" i="6"/>
  <c r="V12" i="6" s="1"/>
  <c r="V18" i="6"/>
  <c r="S14" i="6"/>
  <c r="S12" i="6" s="1"/>
  <c r="S18" i="6"/>
  <c r="W18" i="6"/>
  <c r="W14" i="6"/>
  <c r="W12" i="6" s="1"/>
  <c r="AA14" i="6"/>
  <c r="AA12" i="6" s="1"/>
  <c r="AD14" i="6"/>
  <c r="AD12" i="6" s="1"/>
  <c r="Y18" i="6"/>
  <c r="Y14" i="6"/>
  <c r="Y12" i="6" s="1"/>
  <c r="AL14" i="6" l="1"/>
  <c r="AK267" i="15"/>
  <c r="AK230" i="15" s="1"/>
  <c r="AK155" i="15" s="1"/>
  <c r="AI267" i="15"/>
  <c r="AI230" i="15" s="1"/>
  <c r="AI155" i="15" s="1"/>
  <c r="AJ267" i="15"/>
  <c r="AJ230" i="15" s="1"/>
  <c r="AJ155" i="15" s="1"/>
  <c r="AH267" i="15"/>
  <c r="AH230" i="15" s="1"/>
  <c r="AH155" i="15" s="1"/>
  <c r="C18" i="14"/>
  <c r="C111" i="14"/>
  <c r="C102" i="14" s="1"/>
  <c r="C98" i="14" s="1"/>
  <c r="C64" i="14"/>
  <c r="C61" i="14" s="1"/>
  <c r="C83" i="14"/>
  <c r="C69" i="14" s="1"/>
  <c r="C136" i="14"/>
  <c r="C133" i="14" s="1"/>
  <c r="C159" i="14"/>
  <c r="C156" i="14" s="1"/>
  <c r="I18" i="14"/>
  <c r="I111" i="14"/>
  <c r="I102" i="14" s="1"/>
  <c r="I98" i="14" s="1"/>
  <c r="I64" i="14"/>
  <c r="I61" i="14" s="1"/>
  <c r="I83" i="14"/>
  <c r="I69" i="14" s="1"/>
  <c r="I136" i="14"/>
  <c r="I133" i="14"/>
  <c r="I159" i="14"/>
  <c r="I156" i="14" s="1"/>
  <c r="H18" i="14"/>
  <c r="H111" i="14"/>
  <c r="H102" i="14" s="1"/>
  <c r="H98" i="14" s="1"/>
  <c r="H64" i="14"/>
  <c r="H61" i="14" s="1"/>
  <c r="H83" i="14"/>
  <c r="H69" i="14" s="1"/>
  <c r="H136" i="14"/>
  <c r="H133" i="14" s="1"/>
  <c r="H159" i="14"/>
  <c r="H156" i="14" s="1"/>
  <c r="AD18" i="14"/>
  <c r="AD12" i="14" s="1"/>
  <c r="AD13" i="14"/>
  <c r="AC18" i="14"/>
  <c r="AC12" i="14" s="1"/>
  <c r="AC11" i="14" s="1"/>
  <c r="R18" i="14"/>
  <c r="R12" i="14" s="1"/>
  <c r="R11" i="14" s="1"/>
  <c r="AJ18" i="14"/>
  <c r="AJ12" i="14" s="1"/>
  <c r="AJ11" i="14" s="1"/>
  <c r="B18" i="14"/>
  <c r="B111" i="14"/>
  <c r="B102" i="14" s="1"/>
  <c r="B98" i="14" s="1"/>
  <c r="B64" i="14"/>
  <c r="B61" i="14" s="1"/>
  <c r="B83" i="14"/>
  <c r="B69" i="14" s="1"/>
  <c r="B136" i="14"/>
  <c r="B133" i="14" s="1"/>
  <c r="B159" i="14"/>
  <c r="B156" i="14" s="1"/>
  <c r="G18" i="14"/>
  <c r="G111" i="14"/>
  <c r="G102" i="14" s="1"/>
  <c r="G98" i="14" s="1"/>
  <c r="G64" i="14"/>
  <c r="G61" i="14" s="1"/>
  <c r="G83" i="14"/>
  <c r="G69" i="14" s="1"/>
  <c r="G136" i="14"/>
  <c r="G133" i="14" s="1"/>
  <c r="G159" i="14"/>
  <c r="G156" i="14" s="1"/>
  <c r="F18" i="14"/>
  <c r="F111" i="14"/>
  <c r="F102" i="14" s="1"/>
  <c r="F98" i="14" s="1"/>
  <c r="F64" i="14"/>
  <c r="F61" i="14" s="1"/>
  <c r="F83" i="14"/>
  <c r="F69" i="14" s="1"/>
  <c r="F136" i="14"/>
  <c r="F133" i="14" s="1"/>
  <c r="F159" i="14"/>
  <c r="F156" i="14" s="1"/>
  <c r="E18" i="14"/>
  <c r="E111" i="14"/>
  <c r="E102" i="14" s="1"/>
  <c r="E98" i="14" s="1"/>
  <c r="E64" i="14"/>
  <c r="E61" i="14" s="1"/>
  <c r="E83" i="14"/>
  <c r="E69" i="14" s="1"/>
  <c r="E136" i="14"/>
  <c r="E133" i="14" s="1"/>
  <c r="E159" i="14"/>
  <c r="E156" i="14" s="1"/>
  <c r="D18" i="14"/>
  <c r="D111" i="14"/>
  <c r="D102" i="14" s="1"/>
  <c r="D98" i="14" s="1"/>
  <c r="D64" i="14"/>
  <c r="D61" i="14" s="1"/>
  <c r="D83" i="14"/>
  <c r="D69" i="14" s="1"/>
  <c r="D136" i="14"/>
  <c r="D133" i="14" s="1"/>
  <c r="D159" i="14"/>
  <c r="D156" i="14" s="1"/>
  <c r="L18" i="14"/>
  <c r="L111" i="14"/>
  <c r="L102" i="14" s="1"/>
  <c r="L98" i="14" s="1"/>
  <c r="L64" i="14"/>
  <c r="L61" i="14" s="1"/>
  <c r="L19" i="14" s="1"/>
  <c r="L136" i="14"/>
  <c r="L133" i="14" s="1"/>
  <c r="L159" i="14"/>
  <c r="L156" i="14" s="1"/>
  <c r="K18" i="14"/>
  <c r="K111" i="14"/>
  <c r="K102" i="14" s="1"/>
  <c r="K98" i="14" s="1"/>
  <c r="K64" i="14"/>
  <c r="K61" i="14" s="1"/>
  <c r="K83" i="14"/>
  <c r="K69" i="14" s="1"/>
  <c r="K136" i="14"/>
  <c r="K133" i="14" s="1"/>
  <c r="K159" i="14"/>
  <c r="K156" i="14" s="1"/>
  <c r="J18" i="14"/>
  <c r="J111" i="14"/>
  <c r="J102" i="14" s="1"/>
  <c r="J98" i="14" s="1"/>
  <c r="J64" i="14"/>
  <c r="J61" i="14" s="1"/>
  <c r="J83" i="14"/>
  <c r="J69" i="14" s="1"/>
  <c r="J136" i="14"/>
  <c r="J133" i="14" s="1"/>
  <c r="J159" i="14"/>
  <c r="J156" i="14" s="1"/>
  <c r="Q18" i="14"/>
  <c r="Q12" i="14" s="1"/>
  <c r="Q11" i="14" s="1"/>
  <c r="AG18" i="14"/>
  <c r="AG12" i="14" s="1"/>
  <c r="AG63" i="14"/>
  <c r="AG19" i="14" s="1"/>
  <c r="AF18" i="14"/>
  <c r="AF12" i="14" s="1"/>
  <c r="AF63" i="14"/>
  <c r="AF19" i="14" s="1"/>
  <c r="AE18" i="14"/>
  <c r="AE12" i="14" s="1"/>
  <c r="AE63" i="14"/>
  <c r="AE19" i="14" s="1"/>
  <c r="AI18" i="14"/>
  <c r="AI12" i="14" s="1"/>
  <c r="AI11" i="14" s="1"/>
  <c r="AL18" i="14"/>
  <c r="AL12" i="14" s="1"/>
  <c r="AL11" i="14" s="1"/>
  <c r="AK18" i="14"/>
  <c r="AK12" i="14" s="1"/>
  <c r="A18" i="14"/>
  <c r="A111" i="14"/>
  <c r="P111" i="14" s="1"/>
  <c r="P102" i="14" s="1"/>
  <c r="P98" i="14" s="1"/>
  <c r="P97" i="14" s="1"/>
  <c r="A64" i="14"/>
  <c r="A61" i="14" s="1"/>
  <c r="A83" i="14"/>
  <c r="A69" i="14" s="1"/>
  <c r="A136" i="14"/>
  <c r="A133" i="14" s="1"/>
  <c r="A159" i="14"/>
  <c r="A156" i="14" s="1"/>
  <c r="O18" i="14"/>
  <c r="N136" i="14"/>
  <c r="O136" i="14" s="1"/>
  <c r="O133" i="14" s="1"/>
  <c r="N18" i="14"/>
  <c r="M18" i="14"/>
  <c r="M111" i="14"/>
  <c r="M102" i="14" s="1"/>
  <c r="M98" i="14" s="1"/>
  <c r="M64" i="14"/>
  <c r="M61" i="14" s="1"/>
  <c r="M19" i="14" s="1"/>
  <c r="M136" i="14"/>
  <c r="M133" i="14" s="1"/>
  <c r="M159" i="14"/>
  <c r="M156" i="14" s="1"/>
  <c r="AH18" i="14"/>
  <c r="AH12" i="14" s="1"/>
  <c r="AH11" i="14" s="1"/>
  <c r="AN18" i="14"/>
  <c r="AN12" i="14" s="1"/>
  <c r="AN11" i="14" s="1"/>
  <c r="AM18" i="14"/>
  <c r="AM12" i="14" s="1"/>
  <c r="AM11" i="14" s="1"/>
  <c r="AO18" i="14"/>
  <c r="AO12" i="14" s="1"/>
  <c r="AO15" i="14"/>
  <c r="P64" i="14"/>
  <c r="P61" i="14" s="1"/>
  <c r="P19" i="14" s="1"/>
  <c r="Q17" i="14"/>
  <c r="P18" i="14"/>
  <c r="AC17" i="14"/>
  <c r="AN17" i="14"/>
  <c r="R17" i="14"/>
  <c r="M83" i="14"/>
  <c r="L83" i="14"/>
  <c r="AK19" i="15"/>
  <c r="AL19" i="15" s="1"/>
  <c r="AH244" i="15"/>
  <c r="AJ244" i="15"/>
  <c r="N83" i="14" l="1"/>
  <c r="N64" i="14"/>
  <c r="O64" i="14" s="1"/>
  <c r="O61" i="14" s="1"/>
  <c r="O19" i="14" s="1"/>
  <c r="AH17" i="14"/>
  <c r="AI244" i="15"/>
  <c r="AK244" i="15"/>
  <c r="AJ17" i="14"/>
  <c r="AD17" i="14"/>
  <c r="N111" i="14"/>
  <c r="O111" i="14" s="1"/>
  <c r="O102" i="14" s="1"/>
  <c r="O98" i="14" s="1"/>
  <c r="A102" i="14"/>
  <c r="A98" i="14" s="1"/>
  <c r="AI17" i="14"/>
  <c r="AL17" i="14"/>
  <c r="D99" i="14"/>
  <c r="D97" i="14" s="1"/>
  <c r="AL267" i="15"/>
  <c r="AL230" i="15" s="1"/>
  <c r="AL155" i="15" s="1"/>
  <c r="AL153" i="15" s="1"/>
  <c r="AF13" i="14"/>
  <c r="AF11" i="14" s="1"/>
  <c r="AF17" i="14"/>
  <c r="AG13" i="14"/>
  <c r="AG11" i="14" s="1"/>
  <c r="AG17" i="14"/>
  <c r="AE13" i="14"/>
  <c r="AE11" i="14" s="1"/>
  <c r="AE17" i="14"/>
  <c r="AO11" i="14"/>
  <c r="J99" i="14"/>
  <c r="K19" i="14"/>
  <c r="G19" i="14"/>
  <c r="G17" i="14" s="1"/>
  <c r="B99" i="14"/>
  <c r="B97" i="14" s="1"/>
  <c r="H99" i="14"/>
  <c r="J19" i="14"/>
  <c r="K99" i="14"/>
  <c r="K97" i="14" s="1"/>
  <c r="AD11" i="14"/>
  <c r="D19" i="14"/>
  <c r="G99" i="14"/>
  <c r="B19" i="14"/>
  <c r="B17" i="14" s="1"/>
  <c r="H19" i="14"/>
  <c r="H17" i="14" s="1"/>
  <c r="A19" i="14"/>
  <c r="L99" i="14"/>
  <c r="E99" i="14"/>
  <c r="E97" i="14" s="1"/>
  <c r="F19" i="14"/>
  <c r="F17" i="14" s="1"/>
  <c r="I99" i="14"/>
  <c r="C19" i="14"/>
  <c r="P17" i="14"/>
  <c r="AK17" i="14"/>
  <c r="AM17" i="14"/>
  <c r="AO17" i="14"/>
  <c r="N102" i="14"/>
  <c r="N98" i="14" s="1"/>
  <c r="N12" i="14" s="1"/>
  <c r="M17" i="14"/>
  <c r="M12" i="14"/>
  <c r="O17" i="14"/>
  <c r="A17" i="14"/>
  <c r="A12" i="14"/>
  <c r="J17" i="14"/>
  <c r="J13" i="14"/>
  <c r="L13" i="14"/>
  <c r="L17" i="14"/>
  <c r="E12" i="14"/>
  <c r="F12" i="14"/>
  <c r="I12" i="14"/>
  <c r="I97" i="14"/>
  <c r="C17" i="14"/>
  <c r="C12" i="14"/>
  <c r="AJ153" i="15"/>
  <c r="AJ7" i="15"/>
  <c r="AJ5" i="15" s="1"/>
  <c r="AI7" i="15"/>
  <c r="AI5" i="15" s="1"/>
  <c r="AI153" i="15"/>
  <c r="AL7" i="15"/>
  <c r="AL5" i="15" s="1"/>
  <c r="AK7" i="15"/>
  <c r="AK5" i="15" s="1"/>
  <c r="AK153" i="15"/>
  <c r="J12" i="14"/>
  <c r="J11" i="14" s="1"/>
  <c r="J97" i="14"/>
  <c r="K17" i="14"/>
  <c r="K12" i="14"/>
  <c r="L12" i="14"/>
  <c r="L97" i="14"/>
  <c r="D13" i="14"/>
  <c r="D17" i="14"/>
  <c r="D12" i="14"/>
  <c r="G12" i="14"/>
  <c r="G97" i="14"/>
  <c r="B12" i="14"/>
  <c r="H12" i="14"/>
  <c r="H97" i="14"/>
  <c r="AH7" i="15"/>
  <c r="AH5" i="15" s="1"/>
  <c r="AH153" i="15"/>
  <c r="M99" i="14"/>
  <c r="M13" i="14" s="1"/>
  <c r="O12" i="14"/>
  <c r="A99" i="14"/>
  <c r="E19" i="14"/>
  <c r="F99" i="14"/>
  <c r="I19" i="14"/>
  <c r="C99" i="14"/>
  <c r="C13" i="14" s="1"/>
  <c r="N133" i="14"/>
  <c r="N61" i="14"/>
  <c r="N19" i="14" s="1"/>
  <c r="N159" i="14"/>
  <c r="K13" i="14" l="1"/>
  <c r="A97" i="14"/>
  <c r="H13" i="14"/>
  <c r="H11" i="14" s="1"/>
  <c r="B13" i="14"/>
  <c r="B11" i="14" s="1"/>
  <c r="L11" i="14"/>
  <c r="G13" i="14"/>
  <c r="G11" i="14" s="1"/>
  <c r="F13" i="14"/>
  <c r="F11" i="14" s="1"/>
  <c r="AL244" i="15"/>
  <c r="D11" i="14"/>
  <c r="K11" i="14"/>
  <c r="I17" i="14"/>
  <c r="I13" i="14"/>
  <c r="N17" i="14"/>
  <c r="P12" i="14"/>
  <c r="C97" i="14"/>
  <c r="I11" i="14"/>
  <c r="F97" i="14"/>
  <c r="A13" i="14"/>
  <c r="P13" i="14" s="1"/>
  <c r="M97" i="14"/>
  <c r="O159" i="14"/>
  <c r="O156" i="14" s="1"/>
  <c r="O99" i="14" s="1"/>
  <c r="N156" i="14"/>
  <c r="N99" i="14" s="1"/>
  <c r="E17" i="14"/>
  <c r="E13" i="14"/>
  <c r="E11" i="14" s="1"/>
  <c r="C11" i="14"/>
  <c r="M11" i="14"/>
  <c r="N97" i="14" l="1"/>
  <c r="N13" i="14"/>
  <c r="N11" i="14" s="1"/>
  <c r="O13" i="14"/>
  <c r="O11" i="14" s="1"/>
  <c r="O97" i="14"/>
  <c r="A11" i="14"/>
  <c r="P11" i="14" s="1"/>
</calcChain>
</file>

<file path=xl/sharedStrings.xml><?xml version="1.0" encoding="utf-8"?>
<sst xmlns="http://schemas.openxmlformats.org/spreadsheetml/2006/main" count="5686" uniqueCount="493">
  <si>
    <t>Источник финансирования</t>
  </si>
  <si>
    <t>Год начала строительства/ проектирования</t>
  </si>
  <si>
    <t>Год окончания строительства/ проектирования</t>
  </si>
  <si>
    <t>№ п/п</t>
  </si>
  <si>
    <t>Наименование мероприятий</t>
  </si>
  <si>
    <t xml:space="preserve">Проектная мощность </t>
  </si>
  <si>
    <t>Диаметр, мм</t>
  </si>
  <si>
    <t>Водоотведение.</t>
  </si>
  <si>
    <t>График финансирования и реализации мероприятий (тыс. руб.)</t>
  </si>
  <si>
    <t>прочие средства</t>
  </si>
  <si>
    <t>бюджетные средства</t>
  </si>
  <si>
    <t xml:space="preserve">Всего </t>
  </si>
  <si>
    <t xml:space="preserve">1. Водоснабжение </t>
  </si>
  <si>
    <t>2.</t>
  </si>
  <si>
    <t>Протяженность сетей, п. м</t>
  </si>
  <si>
    <t>проектирование</t>
  </si>
  <si>
    <t>строительство</t>
  </si>
  <si>
    <t xml:space="preserve"> Строительство новых сетей не связанных с подключением</t>
  </si>
  <si>
    <t>Расширение Восточной водопроводной станции г. Калининграда</t>
  </si>
  <si>
    <t>собственные средства (плата за подключен.)</t>
  </si>
  <si>
    <t>собственные средства (амортизация)</t>
  </si>
  <si>
    <t>всего</t>
  </si>
  <si>
    <t>1.2.</t>
  </si>
  <si>
    <t>1.2.1.</t>
  </si>
  <si>
    <t>2.2.</t>
  </si>
  <si>
    <t>1.1.</t>
  </si>
  <si>
    <t>1.1.1.</t>
  </si>
  <si>
    <t>2.1.</t>
  </si>
  <si>
    <t>Реконструкция ВНС "Аллея Смелых" и строительство двух резервуаров чистой воды по 6000 м3.</t>
  </si>
  <si>
    <t>1.3.</t>
  </si>
  <si>
    <t>2.2.1.</t>
  </si>
  <si>
    <t>2.3.</t>
  </si>
  <si>
    <t>реконструкция</t>
  </si>
  <si>
    <t>1.1.2.</t>
  </si>
  <si>
    <t>2.1.1.</t>
  </si>
  <si>
    <t>Реконструкция КНС-5 по ул.Косогорной, 5  в           г. Калининграде</t>
  </si>
  <si>
    <t>Строительство нового водозабора для Восточной водопроводной станции (ВВС)</t>
  </si>
  <si>
    <t>1.1.3.</t>
  </si>
  <si>
    <t xml:space="preserve">Строительство второй очереди очистных сооружений г. Калининград.                                                                                                                                                                            </t>
  </si>
  <si>
    <t>Проектирование</t>
  </si>
  <si>
    <t>Увеличение мощности и производительности существующих объектов за исключением сетей за счет платы за подключение</t>
  </si>
  <si>
    <t>Модернизация или реконструкция существующих объектов за исключением сетей</t>
  </si>
  <si>
    <t>2.1.2.</t>
  </si>
  <si>
    <t>2х240/100</t>
  </si>
  <si>
    <t>до  90 000</t>
  </si>
  <si>
    <t>Мероприятия по защите централизованных систем водоснабжения и (или) водоотведения и их отдельных объектов от угроз техногенного, природного характера и террористических актов, по предотвращению возникновения аварийных ситуаций, снижению риска и смягчению последствий чрезвычайных ситуаций.</t>
  </si>
  <si>
    <t>1.3.1.</t>
  </si>
  <si>
    <t>1.4.</t>
  </si>
  <si>
    <t>1.4.1.</t>
  </si>
  <si>
    <t>Строительство новых сетей водоснабжения  в целях подключения объектов капитального строительства</t>
  </si>
  <si>
    <t>2.3.1.</t>
  </si>
  <si>
    <t xml:space="preserve">Финансовая потребность общая,                 тыс. руб. </t>
  </si>
  <si>
    <t>источник финансирования    программа 2016- 2018г                 тыс.руб.</t>
  </si>
  <si>
    <t>Реконструкция участка водопроводной сети по ул.Дзержинского в г. Калининграде</t>
  </si>
  <si>
    <t>Реконструкция участка водопроводной сети по ул.Зои Космодемьянской в г. Калининграде</t>
  </si>
  <si>
    <t>Реконструкция Южной водопроводной станции №2 г.Калининград (реконструкция системы обеззараживания воды)</t>
  </si>
  <si>
    <t>1.5.</t>
  </si>
  <si>
    <t>1.5.1.</t>
  </si>
  <si>
    <t>1.5.2.</t>
  </si>
  <si>
    <t>1.5.3.</t>
  </si>
  <si>
    <t>1.6.</t>
  </si>
  <si>
    <t>1.6.1.</t>
  </si>
  <si>
    <t xml:space="preserve"> Модернизация или реконструкция существующих сетей </t>
  </si>
  <si>
    <t>2.1.3.</t>
  </si>
  <si>
    <r>
      <t>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/ч</t>
    </r>
  </si>
  <si>
    <r>
      <t>м</t>
    </r>
    <r>
      <rPr>
        <vertAlign val="superscript"/>
        <sz val="11"/>
        <rFont val="Times New Roman"/>
        <family val="1"/>
        <charset val="204"/>
      </rPr>
      <t>3</t>
    </r>
    <r>
      <rPr>
        <sz val="11"/>
        <rFont val="Times New Roman"/>
        <family val="1"/>
        <charset val="204"/>
      </rPr>
      <t>/
сутки</t>
    </r>
  </si>
  <si>
    <t>Строительство разгрузочного коллектора бытовой канализации по ул. Тихорецкой в Московском районе г.Калининграда</t>
  </si>
  <si>
    <t>Объем финансирования  за 1 квартал</t>
  </si>
  <si>
    <t>Объем финансирования  за 2 квартал</t>
  </si>
  <si>
    <t>Объем финансирования  за 3 квартал</t>
  </si>
  <si>
    <t>Объем финансирования  за 4 квартал</t>
  </si>
  <si>
    <t>Освоено (закрыто актами выполненных работ), тыс. руб.</t>
  </si>
  <si>
    <t>Введено (оформлено актами ввода в эксплуатацию),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</si>
  <si>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</si>
  <si>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</si>
  <si>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</si>
  <si>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</si>
  <si>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%</t>
  </si>
  <si>
    <t>в том числе за счет</t>
  </si>
  <si>
    <t>план**</t>
  </si>
  <si>
    <t>факт**</t>
  </si>
  <si>
    <t>план</t>
  </si>
  <si>
    <t>факт</t>
  </si>
  <si>
    <t xml:space="preserve">план 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</si>
  <si>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</si>
  <si>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</si>
  <si>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2019г.</t>
  </si>
  <si>
    <t>Строительство подземного (скважинного) водозабора и станции водоочистки в мкр. Прегольский г. Калининград.</t>
  </si>
  <si>
    <t>Устройство ограждения из ж/б плит санитарной зоны водохранилища Нескучное.</t>
  </si>
  <si>
    <t>Реконструкция системы обезвоживания осадка очистных сооружений г. Калининграда.</t>
  </si>
  <si>
    <t>без учета НДС</t>
  </si>
  <si>
    <t>______________В.В. Дегтярёв</t>
  </si>
  <si>
    <t>М.П.</t>
  </si>
  <si>
    <t>МП "Городмкой центр геодеии"</t>
  </si>
  <si>
    <t>Заместитель директора по капитальному строительству</t>
  </si>
  <si>
    <t>А.О. Орехов</t>
  </si>
  <si>
    <t>Заместитель директора по ЭФиК</t>
  </si>
  <si>
    <t>С.В. Левченко</t>
  </si>
  <si>
    <t>Начальник ОРПР</t>
  </si>
  <si>
    <t>Е.В. Мичурова</t>
  </si>
  <si>
    <t>Заместитель главного бухгалтера</t>
  </si>
  <si>
    <t>И.А. Гладышева</t>
  </si>
  <si>
    <t>Ввод мощностей</t>
  </si>
  <si>
    <t>Вывод мощностей</t>
  </si>
  <si>
    <t>план*</t>
  </si>
  <si>
    <t>км</t>
  </si>
  <si>
    <t>м3 сут.</t>
  </si>
  <si>
    <t>1.2.2.</t>
  </si>
  <si>
    <t>1.2.3.</t>
  </si>
  <si>
    <t>Заместитель директора по экономике, финансам и контролю</t>
  </si>
  <si>
    <t>№№</t>
  </si>
  <si>
    <t>II кв.</t>
  </si>
  <si>
    <t>III кв.</t>
  </si>
  <si>
    <t>IV кв.</t>
  </si>
  <si>
    <t>1.</t>
  </si>
  <si>
    <t>Собственные средства</t>
  </si>
  <si>
    <t>Прибыль, направляемая на инвестиции:</t>
  </si>
  <si>
    <t xml:space="preserve">   </t>
  </si>
  <si>
    <t>в т.ч. инвестиционная составляющая в тарифе</t>
  </si>
  <si>
    <t>в т.ч. прибыль со свободного сектора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</si>
  <si>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</si>
  <si>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</si>
  <si>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</si>
  <si>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</si>
  <si>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</si>
  <si>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</si>
  <si>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</si>
  <si>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Амортизация</t>
  </si>
  <si>
    <t>Амортизация, учтенная в тарифе</t>
  </si>
  <si>
    <t>Прочая амортизация</t>
  </si>
  <si>
    <t>Недоиспользованная амортизация прошлых лет</t>
  </si>
  <si>
    <t>Возврат НДС</t>
  </si>
  <si>
    <t>Прочие собственные средства</t>
  </si>
  <si>
    <t>в т.ч. средства допэмиссии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</si>
  <si>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</si>
  <si>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</si>
  <si>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</si>
  <si>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</si>
  <si>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</si>
  <si>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</si>
  <si>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</si>
  <si>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</si>
  <si>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</si>
  <si>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</si>
  <si>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</si>
  <si>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</si>
  <si>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</si>
  <si>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</si>
  <si>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* План в соответствии с утвержденной инвестиционной программой</t>
  </si>
  <si>
    <t>** Накопленным итогом за год</t>
  </si>
  <si>
    <t>Начальник  ФЭО</t>
  </si>
  <si>
    <t>В.Н. Говоровская</t>
  </si>
  <si>
    <t>ИП Тимофеев К.А. - кадастровые работы</t>
  </si>
  <si>
    <t>ИП Алешков К.В. - разработка ПОДД</t>
  </si>
  <si>
    <t>всего в 2019 г.</t>
  </si>
  <si>
    <t>Выполнение работ по контракту до 30.09.2019г.</t>
  </si>
  <si>
    <t>КГХ - компенсационное озеленение</t>
  </si>
  <si>
    <t>"____"___________2020г.</t>
  </si>
  <si>
    <t>удален из ИП</t>
  </si>
  <si>
    <t>1.5.5</t>
  </si>
  <si>
    <t>1.5.6</t>
  </si>
  <si>
    <r>
      <t xml:space="preserve">Реконструкция нежилого здания - склада извести  под склад хранения гипохлорита натрия на Центральной водопроводной станции в г. Калининграде.                                                </t>
    </r>
    <r>
      <rPr>
        <sz val="10"/>
        <rFont val="Times New Roman"/>
        <family val="1"/>
        <charset val="204"/>
      </rPr>
      <t>Проектирование.</t>
    </r>
  </si>
  <si>
    <t>1.5.7</t>
  </si>
  <si>
    <t>Реконструкция здания жилого дома путем перепланировки помещения подвала № 1, расположенного по адресу: ул. Тихорецкая, д.45, г. Калининград.</t>
  </si>
  <si>
    <t>Калининградтеплосеть, оплата</t>
  </si>
  <si>
    <t>1.5.8</t>
  </si>
  <si>
    <t>Реконструкция административно-бытового корпуса под здание производственной лаборатории по Балтийскому шоссее. 127 в г. Калининграде.</t>
  </si>
  <si>
    <t>2.1.4.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</si>
  <si>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</t>
  </si>
  <si>
    <t>2.1.5.</t>
  </si>
  <si>
    <t>Реконструкция  очистных сооружений мкр. Прибрежный.</t>
  </si>
  <si>
    <t>2.1.6.</t>
  </si>
  <si>
    <t>Строительство КНС в пос. Родники с коллекторами, в целях подключения областного онкологического центра Калининградской области.</t>
  </si>
  <si>
    <t>Строительство коллектора в мкр. им.А.Космодемьянского  г.Калининграда</t>
  </si>
  <si>
    <t>2.2.2.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</si>
  <si>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</t>
  </si>
  <si>
    <t>2.2.3.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</si>
  <si>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Ломоносова".</t>
  </si>
  <si>
    <t>2.2.4.</t>
  </si>
  <si>
    <t>2.2.5.</t>
  </si>
  <si>
    <t>Строительство канализационного коллектора для последующего  подключения индивидуальных жилых домов по ул. Монетной, ул. Живописной, ул. Гончарной, ул. Рассветной в микрорайоне ул. Горького - И.Сусанина в г. Калининграде.</t>
  </si>
  <si>
    <t>бюджетные средства                                                 (ГБ)</t>
  </si>
  <si>
    <t>Строительство сетей бытовой канализации по ул. Толбухина - ул. Тульской в г. Калининграде.</t>
  </si>
  <si>
    <t>Строительство канализационной сети по ул. Алданской, Лужской в мкр. им. А. Космодемьянского г. Калининграда.</t>
  </si>
  <si>
    <t>2.4.1.</t>
  </si>
  <si>
    <t>2.4.2.</t>
  </si>
  <si>
    <t>2.4.3.</t>
  </si>
  <si>
    <t>Реконструкция Цеха механического обезвоживания на площадке очистных сооружений г. Калининграда.</t>
  </si>
  <si>
    <t>2.4.4.</t>
  </si>
  <si>
    <t>2.4.5.</t>
  </si>
  <si>
    <t>2.4.6.</t>
  </si>
  <si>
    <t>Строительство канализационной насосной станции с напорными коллекторами в мкр.Прегольский г.Калининграда</t>
  </si>
  <si>
    <t>2.4.7.</t>
  </si>
  <si>
    <t>2.4.8.</t>
  </si>
  <si>
    <t>2.4.9.</t>
  </si>
  <si>
    <t>2.4.10.</t>
  </si>
  <si>
    <t>Реконструкция КНС-2 в г. Калининграде</t>
  </si>
  <si>
    <t>Реконструкция КНС-1 в г. Калининграде</t>
  </si>
  <si>
    <t>объект из АИП удален</t>
  </si>
  <si>
    <t>удален  из ИП</t>
  </si>
  <si>
    <t xml:space="preserve">Совершенствование существующей системы технологического процесса гидролиза Московской насосной станции №2 (2 и 3 этапы) </t>
  </si>
  <si>
    <t>Модернизация</t>
  </si>
  <si>
    <t xml:space="preserve">Реконструкция функционирующих помещений и технических устройств, по обеззараживанию воды гипохоритом натрия на Южной водопроводной станции № 2 в г. Калининграде.                                                                                        </t>
  </si>
  <si>
    <t xml:space="preserve">    Проектирование..</t>
  </si>
  <si>
    <t xml:space="preserve">Реконструкция нежилого здания - склада хлора  под склад хранения гипохлорита натрия на Южной  водопроводной станции № 2 в 
г. Калининграде.                                                                </t>
  </si>
  <si>
    <t>Реконструкция КНС-15 по ул.Суворова, 59  в           г. Калининграде.</t>
  </si>
  <si>
    <t>Строительство новых сетей водоотведения в целях подключения объектов капитального строительства.</t>
  </si>
  <si>
    <t>АИП</t>
  </si>
  <si>
    <t>Строительство новых сетей, не связанных с подключением.</t>
  </si>
  <si>
    <t>Модернизация или реконструкция существующих объектов за исключением сетей.</t>
  </si>
  <si>
    <t xml:space="preserve">Модернизация канализационной насосной станции КНС № 9 по адресу: г. Калининград, Калининградская обл., ул.Нарвская,54. </t>
  </si>
  <si>
    <t>Модернизация.</t>
  </si>
  <si>
    <t>Калининградтеплосеть оплата</t>
  </si>
  <si>
    <t>Реконструкция</t>
  </si>
  <si>
    <t>Увеличение мощности и производительности существующих объектов за исключением сетей за счет платы за подключение.</t>
  </si>
  <si>
    <t>ООО НЦ "Балтэкспертиза" -независимая экспертиза на ВВС</t>
  </si>
  <si>
    <t>ООО "Прогресс Проект" - авторский надзор</t>
  </si>
  <si>
    <t>ООО "СК "Аякс" - строительный конироль</t>
  </si>
  <si>
    <t xml:space="preserve">ИП Нестерук А. Н. </t>
  </si>
  <si>
    <t>областной бюджет</t>
  </si>
  <si>
    <t>городской бюджет</t>
  </si>
  <si>
    <t>ООО "ЯнтарьСервисБалтик" - (НДС-водоканал, СМР)</t>
  </si>
  <si>
    <t>за                     4 кв.</t>
  </si>
  <si>
    <t>Администрация муниципального образования "Гвардейский городской округ".</t>
  </si>
  <si>
    <t>ЭКОФЕС - разработка ПД</t>
  </si>
  <si>
    <t>Городской центр геодезии - изыск.</t>
  </si>
  <si>
    <t>Центр комплексного проектирования - ПД</t>
  </si>
  <si>
    <t>Центр  инженерных изысканий - изыскания</t>
  </si>
  <si>
    <t>ООО "СК "Маяк" - разаработка ПД</t>
  </si>
  <si>
    <t>Российский центр защиты леса - обследование ул. Тихорецкой</t>
  </si>
  <si>
    <t>ООО "ЗападГазЭнергоИнвест" - СМР</t>
  </si>
  <si>
    <t>ИП Гасанова С.В. - корректировка ПД</t>
  </si>
  <si>
    <t>ООО "Европроект иК" - разработка ПД</t>
  </si>
  <si>
    <t>Городской центр  геодезии - изыскания</t>
  </si>
  <si>
    <t>ГАУ КО "ЦПЭи ЦС" - экспертиза ПД</t>
  </si>
  <si>
    <t>ООО "ЗападГазЭнергоИнвест" - разраб. ПД</t>
  </si>
  <si>
    <t>ООО "ГНБ Плюс"  - разработка ПД</t>
  </si>
  <si>
    <t>ООО "Гороне дело" - разаработка РД</t>
  </si>
  <si>
    <t>ООО "Гороне дело" - разаработка ПД</t>
  </si>
  <si>
    <t>ООО "Калининградсвязь" - разаработка ПД</t>
  </si>
  <si>
    <t>АДС ООО - разработка ПОДД (по счету  без договора)</t>
  </si>
  <si>
    <t>Директор ГП КО "Водоканал"</t>
  </si>
  <si>
    <t>Заместитель дирекора по инвестиционной политике и технологическому присоединению</t>
  </si>
  <si>
    <t>в стадии выполнения изысканий</t>
  </si>
  <si>
    <t>в стадии разработки ПД</t>
  </si>
  <si>
    <t>В стадии сдачи ПД на государственную экспертизу.</t>
  </si>
  <si>
    <t>СИБ</t>
  </si>
  <si>
    <t>за 1 кв.</t>
  </si>
  <si>
    <t>за 2 кв.</t>
  </si>
  <si>
    <t>за                     1 кв.</t>
  </si>
  <si>
    <t>ООО "ЦИИ" - изыскания</t>
  </si>
  <si>
    <t>ООО "КПСП"- разработка ПД</t>
  </si>
  <si>
    <t>ГАУ КО "ЦПЭиЦС" - экспертиза СМ</t>
  </si>
  <si>
    <t>ООО "СК "ЧистоГрад" - вып. работ</t>
  </si>
  <si>
    <t>2020 год              без НДС</t>
  </si>
  <si>
    <t>ООО "ЛАЙТЭКО" - вырубка деревьев</t>
  </si>
  <si>
    <t>проектирование завершено</t>
  </si>
  <si>
    <t>1. Водоснабжение</t>
  </si>
  <si>
    <t xml:space="preserve"> 2. Водоотведение</t>
  </si>
  <si>
    <t>ИП Гасанова С.В. - авторский надзор</t>
  </si>
  <si>
    <t>за                    2кв.</t>
  </si>
  <si>
    <t>АО "Янтарьэнерго" - технолог. Присоединение</t>
  </si>
  <si>
    <t>ООО "Прогресс Проект" разработка ПД</t>
  </si>
  <si>
    <t>Центр кадастровых услуг</t>
  </si>
  <si>
    <t>КГХ -адм. - снос деревьев компенсация</t>
  </si>
  <si>
    <t>ЗАПАДЭКОПРОЕКТ ООО разработка ПД сан-защиты зоны</t>
  </si>
  <si>
    <t>МП "Городской центр геодеии"</t>
  </si>
  <si>
    <t>ГАУ КО "ЦПЭиЦС" - экспертиза ПД</t>
  </si>
  <si>
    <t>ООО "СК "Маяк" - разработка ПД</t>
  </si>
  <si>
    <t>за 3 кв.</t>
  </si>
  <si>
    <t>за 4 кв.</t>
  </si>
  <si>
    <t>ООО Прогесс Проект - разработка ПД</t>
  </si>
  <si>
    <t>инженерные изыскания  выполнены</t>
  </si>
  <si>
    <t>работы выполнены</t>
  </si>
  <si>
    <t>обследовавние выполнено</t>
  </si>
  <si>
    <t>Финансовая потребность, общая тыс. руб. без НДС</t>
  </si>
  <si>
    <t xml:space="preserve"> Строительство водопровода Д 160мм по ул.Сержанта Мишина в г.Калининграде.</t>
  </si>
  <si>
    <t>Строительство водопровода по ул. Тихоокеанской  -  ул.Механической  от ул. Благодатной до ул. Славянской в  г. Калининграда.</t>
  </si>
  <si>
    <t>1.5.3</t>
  </si>
  <si>
    <t>1.5.4</t>
  </si>
  <si>
    <t>Строительство нового здания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</si>
  <si>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1.5.9</t>
  </si>
  <si>
    <t>1.5.10</t>
  </si>
  <si>
    <t>1.5.11</t>
  </si>
  <si>
    <t>Строительство склада на территории Восточной водопроводной станции.</t>
  </si>
  <si>
    <t>Проектирование.</t>
  </si>
  <si>
    <t>Строительство здания-лаборатории по поверке средств измерений.</t>
  </si>
  <si>
    <t>Строительство</t>
  </si>
  <si>
    <t xml:space="preserve">Модернизации ячеек ЗРУ 6 кВ, расположенных в насосной станции второго подъема ЮВС-2 в п. М. Борисово, д. 10а     </t>
  </si>
  <si>
    <t xml:space="preserve">Строительство КНС с напорными коллекторами  от пр-та Победы с подключением в существующую шахту № 5 (ор-р - ул. Дубовая аллея) в г.Калининграде                                 </t>
  </si>
  <si>
    <t>ТрансЭнергоСнаб ООО - электромонтажные работы</t>
  </si>
  <si>
    <t>Центр кадастровых услуг ООО</t>
  </si>
  <si>
    <t>ООО "Стандарт Оценка" - оценка рыночной ст-ти</t>
  </si>
  <si>
    <t>Сыромахо Д.В. ИП - описание границ публичного сервитута</t>
  </si>
  <si>
    <t xml:space="preserve">Центр геодезии </t>
  </si>
  <si>
    <t>работы завершены</t>
  </si>
  <si>
    <t>____________А.С. Мурадянц</t>
  </si>
  <si>
    <t>ЭИЗ - подсчет запаса воды</t>
  </si>
  <si>
    <t>ГАУ КО ЦПЭиЦС</t>
  </si>
  <si>
    <t>КПСП - разработка ПД</t>
  </si>
  <si>
    <t>ГАУ КО ЦПЭИЦС - экспертиза ПИР</t>
  </si>
  <si>
    <t>ГАУ КО ЦПЭИЦС - экспертиза ПД</t>
  </si>
  <si>
    <t>ГАУ КО ЦПЭ и ЦС - экспертиза ПД</t>
  </si>
  <si>
    <t>ЦПЭиЦС- экспертиза ПД</t>
  </si>
  <si>
    <t>СК Чисторгад - СМР</t>
  </si>
  <si>
    <t>КПСП - авторский надзор</t>
  </si>
  <si>
    <t>Объем финансирования  за 1 квартал,                               тыс. руб.</t>
  </si>
  <si>
    <t>Введено (оформлено актами ввода в эксплуатацию),                      тыс. руб</t>
  </si>
  <si>
    <t>Освоено (закрыто актами выполненных работ),                                      тыс. руб.</t>
  </si>
  <si>
    <t>________________А.С. Мурадянц</t>
  </si>
  <si>
    <t>I квартал</t>
  </si>
  <si>
    <t>ООО "Норматив" - разработка ПД</t>
  </si>
  <si>
    <t>ВДПО - обследование дымовых путей</t>
  </si>
  <si>
    <t>ГАУ КО "ЦПЭиЦС"- экспертиза ПД</t>
  </si>
  <si>
    <t>Городской центр геодезии</t>
  </si>
  <si>
    <t>АО "Янтарьэнерго" - подключ.</t>
  </si>
  <si>
    <t>ЗападГазЭнергоИнвест - СМР</t>
  </si>
  <si>
    <t>АО "Янтарьэнерго" - тех. Прис.</t>
  </si>
  <si>
    <t>Ж.В. Шумская</t>
  </si>
  <si>
    <t>ИП Гасанова С.В.</t>
  </si>
  <si>
    <t>Объем финансирования             за 3 квартал</t>
  </si>
  <si>
    <t>ООО "Калининградпромстройпроект" - разработка ПД</t>
  </si>
  <si>
    <t>ООО "Шуяпроект" - разработка ПД</t>
  </si>
  <si>
    <t xml:space="preserve"> ГАУ КО "ЦПЭиЦС"</t>
  </si>
  <si>
    <t>А.И. Дьяченко</t>
  </si>
  <si>
    <t>Руководитель группы технологического присоединения</t>
  </si>
  <si>
    <t>Реконструкция нежилого здания - склада извести  под склад хранения гипохлорита натрия на Центральной водопроводной станции в г. Калининграде.                                                Проектирование.</t>
  </si>
  <si>
    <t>Всего :</t>
  </si>
  <si>
    <t xml:space="preserve">Заместитель директора </t>
  </si>
  <si>
    <t>по капитальному строительству</t>
  </si>
  <si>
    <t>Информация по объектам капитального строительства, приступить к реализации которых ГП КО "Водоканал" планирует в 2022 году и в рамках реализации которых предусмотрена компенсационная стоимость зеленых насаждений.</t>
  </si>
  <si>
    <t>стоимость в тыс. руб.</t>
  </si>
  <si>
    <t>деревьев</t>
  </si>
  <si>
    <t>кустарников</t>
  </si>
  <si>
    <t>живой изгороди</t>
  </si>
  <si>
    <t>176 шт.</t>
  </si>
  <si>
    <t>8 п.м.</t>
  </si>
  <si>
    <t>2</t>
  </si>
  <si>
    <t>Объемы вырубаемых зеленых насаждений.</t>
  </si>
  <si>
    <t>15 шт.</t>
  </si>
  <si>
    <t>2 шт.</t>
  </si>
  <si>
    <t>-</t>
  </si>
  <si>
    <t>ГАУ КО "ЦПЭиЦС" - эксп. ПИР</t>
  </si>
  <si>
    <t>ИП Гасанова С.В. -авторский надзор</t>
  </si>
  <si>
    <t>Сыромяхо Х.В. - кадастровые работы</t>
  </si>
  <si>
    <t>октябрь</t>
  </si>
  <si>
    <t>ООО "Ирис" - разработка ПОДД</t>
  </si>
  <si>
    <t>собственные средства</t>
  </si>
  <si>
    <t>ООО "ИРИС" - разработка ПОДД</t>
  </si>
  <si>
    <t>Строительство скважинного водозабора и сетей водоснабжения мкр. Совхозный в г. Калининграде.</t>
  </si>
  <si>
    <t>Строительство новых сетей водоснабжения связанных с подключением</t>
  </si>
  <si>
    <t>ОБ</t>
  </si>
  <si>
    <t>ГБ</t>
  </si>
  <si>
    <t xml:space="preserve">Финансовая потребность, 2019-2023г.г. тыс. руб. без НДС </t>
  </si>
  <si>
    <t>1.3.2.</t>
  </si>
  <si>
    <t>1.4.2.</t>
  </si>
  <si>
    <t>Строительство участка водопроводной сети Д 160-200мм в районе  д. № 8 поул. Земнухова в г. Калининграде.</t>
  </si>
  <si>
    <t>Строительство водопроводной сети по ул. Клинской от ул. Муромской до ул. Ангарской  в г. Калининграде.</t>
  </si>
  <si>
    <t>1.5.12</t>
  </si>
  <si>
    <t>Реконструкция нежилого здания водоподъемной установки по ул. Нарвская, д. 19а  в г. Калининграде.</t>
  </si>
  <si>
    <t>1.5.13</t>
  </si>
  <si>
    <t>Реконструкция нежилого здания водоподъемной установки по ул. Генерала Толстикова,, д. 77а  в г. Калининграде.</t>
  </si>
  <si>
    <t>1.7.</t>
  </si>
  <si>
    <t>Вывод из эксплуатации. Консервацияи демонтаж объектов за исключением сетей.</t>
  </si>
  <si>
    <t>Демонтаж нежилого здания насосной подкачки по ул. Коммунистическая. 56а-56-г в г. Калининграде.</t>
  </si>
  <si>
    <t>1.7.1.</t>
  </si>
  <si>
    <t>1.7.2.</t>
  </si>
  <si>
    <t>Демонтаж нежилого здания  водоподъемной установки по ул. Коммунистическая. 46е в г. Калининграде.</t>
  </si>
  <si>
    <t>демонтаж</t>
  </si>
  <si>
    <t xml:space="preserve">Реконструкция  очистных сооружений г. Калининград, с увеличением производительностидо 250 тыс. м3/сут.                                                                                                                                                                            </t>
  </si>
  <si>
    <t>2.1.7.</t>
  </si>
  <si>
    <t>Строительство КНС по ул. Лисопильной в г. Калининграде.</t>
  </si>
  <si>
    <t>2.1.8.</t>
  </si>
  <si>
    <t>Реконструкция КНС-3 по ул. Парковая. 1 в мкр. Прибрежный г. Калининграда.</t>
  </si>
  <si>
    <t>2.2.6.</t>
  </si>
  <si>
    <t>Строительство  коллектора в мкр. им. А. Космодемьянского по ул. Урицкого в г. Каалининграде.</t>
  </si>
  <si>
    <t>Модернизация и реконструкция существующих сетей.</t>
  </si>
  <si>
    <t>Реконструкция сетей  водоснабжения и водоотведения  в раоне ул. Шевченко и Московский проспект в г. Калининграде.</t>
  </si>
  <si>
    <t>Строительство канализационной сети по ул. Левитана в г. Калининграде.</t>
  </si>
  <si>
    <t>2.5.1.</t>
  </si>
  <si>
    <t>2.5.2.</t>
  </si>
  <si>
    <t>2.5.3.</t>
  </si>
  <si>
    <t>2.5.4.</t>
  </si>
  <si>
    <t>2.5.5.</t>
  </si>
  <si>
    <t>2.5.6.</t>
  </si>
  <si>
    <t>2.5.7.</t>
  </si>
  <si>
    <t>2.5.8.</t>
  </si>
  <si>
    <t>2.5.9.</t>
  </si>
  <si>
    <t>2.5.10.</t>
  </si>
  <si>
    <t>2.6.1.</t>
  </si>
  <si>
    <t>2.6.2.</t>
  </si>
  <si>
    <t>2.7.1.</t>
  </si>
  <si>
    <t>Модернизация или реконструкция существующих сетей.</t>
  </si>
  <si>
    <t>Реконструкция внутриквартальной канализационной сети  ул. Октябрьская - Солнечный бульвар в г. Калининграде.</t>
  </si>
  <si>
    <t>Реконструкция канализационного коллектора по ул. Баженова в г. Калининграде.</t>
  </si>
  <si>
    <t>Вывод из эксплуатации, консервация  и демонтаж объектов за исключением сетей.</t>
  </si>
  <si>
    <t>Демонтаж КНС малая  по ул. Беланова в мкр. Чкаловск г. Калининграда.</t>
  </si>
  <si>
    <t>ООО "Авангард Логистика" - разработка ПОДД</t>
  </si>
  <si>
    <t>ГП КО "Водоканал" - СМР</t>
  </si>
  <si>
    <t>ООО "АМ Квадр" - разработка ПД</t>
  </si>
  <si>
    <t>АО "Янтарьэнерго" - тех. прис.</t>
  </si>
  <si>
    <t>Строительство скважинного водозабора и сетей водоснабжения  мкр. Совхозный в г. Калининграде.</t>
  </si>
  <si>
    <t>Реконструкция  сетей водоснабжения и водоотведения в районе  ул. Шевченко и  Московский проспект в г. Калининграде.</t>
  </si>
  <si>
    <t>Строительство участка  водопроводной сети  Д 160-200мм в районе  д.№8 по  ул. Земнухова в  г. Калининграда.</t>
  </si>
  <si>
    <t>Строительство  водопроводной сети  по  ул. Клинской  от ул. Муромской  до ул.  Ангарской  в  г. Калининграда.</t>
  </si>
  <si>
    <t>Реконструкция нежилого здания водоподъемной установки по ул. Нарвская, д. 19а в г. Калининграде.</t>
  </si>
  <si>
    <t>Реконструкция нежилого здания водоподъемной установки по ул. Генерала Толстикова, д. 77а в г. Калининграде.</t>
  </si>
  <si>
    <t>Демонтаж нежилого здания  насосной подкачки  по ул.  Коммунистическая, 56а-56г в г. Калининграде.</t>
  </si>
  <si>
    <t>Демонтаж нежилого здания  водоподъемной установки  по ул.  Коммунистическая, 46е в г. Калининграде.</t>
  </si>
  <si>
    <t>Реконструкция КНС-2  по ул. Судостроительная, д.9б в мкр. Прибрежный г. Калининграда.</t>
  </si>
  <si>
    <t>Строительство  КНС по ул. Лесопильной в г. Калининграде.</t>
  </si>
  <si>
    <t>Реконструкция КНС-3  по ул. Парковая, 1 в мкр. Прибрежный г. Калининграда.</t>
  </si>
  <si>
    <t>Строительство   коллектора в мкр. им. А. Космодемьянского по ул. Урицкого  в г. Калининграде.</t>
  </si>
  <si>
    <t>Реконструкция сетей водоснабжения и водоотведения в районе  ул. Шевченко и Московский проспект в г. Калининграде.</t>
  </si>
  <si>
    <t>Строительство канализационной сети по ул. Левитана г. Калининграда.</t>
  </si>
  <si>
    <t>бюджет</t>
  </si>
  <si>
    <t>демонтаж КНС  малая  пл ул. Беланова в мкр. Чкаловск г. Калининграда.</t>
  </si>
  <si>
    <t>ГАУ КО "ЦПЭиЦС"</t>
  </si>
  <si>
    <t>введен в эксплуатацию</t>
  </si>
  <si>
    <t>повторная экспертиза ПД</t>
  </si>
  <si>
    <t>ПД разработана</t>
  </si>
  <si>
    <t>в стадии выполнения работ</t>
  </si>
  <si>
    <t>"____"____________2022г.</t>
  </si>
  <si>
    <t>"____"____________2022 г.</t>
  </si>
  <si>
    <t>всего в 2022г.</t>
  </si>
  <si>
    <t xml:space="preserve">Объем финансирования  в 2022 г. ,                           тыс. руб.                                             </t>
  </si>
  <si>
    <t>всего в 2022 г.</t>
  </si>
  <si>
    <t>Реконструкция КНС-2  по ул. Строительная, д. 9б в мкр. Прибрежный  г. Калининграда.</t>
  </si>
  <si>
    <t>В стадии разработки ПД</t>
  </si>
  <si>
    <t>в стадии разработки ПД на 2-ой этап</t>
  </si>
  <si>
    <t>МП "Городской центр геодезии" -изыскания</t>
  </si>
  <si>
    <t>плата за подключение</t>
  </si>
  <si>
    <t>ООО "СК "Ирис" - ПОДД</t>
  </si>
  <si>
    <t>ООО "Авангард Логистика - ПОДД</t>
  </si>
  <si>
    <t>Калининградгазификация</t>
  </si>
  <si>
    <t>Объем финансирования  - 2022 год</t>
  </si>
  <si>
    <t>Отчет об источниках финансирования инвестиционных программ    (2019-2023г.г.)                                                                                                                                                                                              тыс. руб.  без НДС</t>
  </si>
  <si>
    <t>Утверждено (план на 2022г.), тыс. руб.</t>
  </si>
  <si>
    <t>Профинансировано (факт) за 3 месяца 2022г. ,  тыс. руб.</t>
  </si>
  <si>
    <t>Освоено (фак) за 3 месяца 2022г.),                                      тыс. руб.</t>
  </si>
  <si>
    <t xml:space="preserve">Объем финансирования  в 2022 г.                                              </t>
  </si>
  <si>
    <t xml:space="preserve">Реконструкция  очистных сооружений г. Калининград, с увеличением производительностидо 250 тыс. м3/сут.                   проектирование   </t>
  </si>
  <si>
    <t>1. Водоснабжение                                                                   Всего:</t>
  </si>
  <si>
    <t>2. Водоотведение.                                                                      Всего:</t>
  </si>
  <si>
    <t>Отчет об исполнении инвестиционной программы ГП КО "Водоканал" за 4 месяца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</si>
  <si>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4 месяца 2022г. ,  тыс. руб.</t>
  </si>
  <si>
    <t>Освоено (фак) за 4 месяца 2022г.),                                      тыс. руб.</t>
  </si>
  <si>
    <t>2. Водоотведение.                                                                   Всего:</t>
  </si>
  <si>
    <t>ИП Мальянц В.И.</t>
  </si>
  <si>
    <t>Отчет об исполнении инвестиционной программы ГП КО "Водоканал" за 5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</si>
  <si>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МП "Городской центр геодезии" - дежурный план</t>
  </si>
  <si>
    <t>ИП Мальянц В.А. - разработка ПОДД</t>
  </si>
  <si>
    <t>Профинансировано (факт) за 5 месяцев 2022г. ,  тыс. руб.</t>
  </si>
  <si>
    <t>Освоено (фак) за  5 месяцев 2022г.),                                      тыс. руб.</t>
  </si>
  <si>
    <t>Калининградгазификация - стройконтроль за стр-ом газа</t>
  </si>
  <si>
    <t>АО "Янтарьэнерго" - компенсация</t>
  </si>
  <si>
    <t>Отчет об исполнении инвестиционной программы ГП КО "Водоканал" за 6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</si>
  <si>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6 месяцев 2022г. ,  тыс. руб.</t>
  </si>
  <si>
    <t>Освоено (фак) за  6 месяцев 2022г.),                                      тыс. руб.</t>
  </si>
  <si>
    <t>Демонтаж КНС  малая  пл ул. Беланова в мкр. Чкаловск г. Калининграда.</t>
  </si>
  <si>
    <t>Отчет о вводах/выводах объектов  Инвестиционной программы по объектам ГП КО "Водоканал"  на  2019-2023 г. г.  
за  9 месяцев  2022 года.</t>
  </si>
  <si>
    <t xml:space="preserve"> за 9 месяцев 2022 года.</t>
  </si>
  <si>
    <t xml:space="preserve"> за  9 месяцев   2022 год.  </t>
  </si>
  <si>
    <t>Отчет об исполнении инвестиционной программы ГП КО "Водоканал" за 7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</si>
  <si>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Освоено (фак) за  7 месяцев 2022г.),                                      тыс. руб.</t>
  </si>
  <si>
    <t>Профинансировано (факт) за 7 месяцев 2022г. ,  тыс. руб.</t>
  </si>
  <si>
    <t xml:space="preserve">Строительство КНС с напорными коллекторами  от пр-та Победы с подключением в существующую шахту № 5 (ор-р - ул. Дубовая аллея) в г.Калининграде.                            </t>
  </si>
  <si>
    <t>Отчет об исполнении инвестиционной программы ГП КО "Водоканал" за 8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</si>
  <si>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8 месяцев 2022г. ,  тыс. руб.</t>
  </si>
  <si>
    <t>ИП Сыромахо Д.В. - изготовление тех.пПланов</t>
  </si>
  <si>
    <t>Сыромахо Д.В. ИП - изготовление тех. Планов</t>
  </si>
  <si>
    <t>Освоено (факт) за  8 месяцев 2022г.),                                      тыс. руб.</t>
  </si>
  <si>
    <t>Дубюк Т.М. ИП - лесопатологическое обследование деревьев</t>
  </si>
  <si>
    <t>ООО "ЦРиС" - СМР</t>
  </si>
  <si>
    <t>ИП Грицай В.П. - СМР</t>
  </si>
  <si>
    <t>Отчет об исполнении инвестиционной программы ГП КО "Водоканал" за 9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</si>
  <si>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9 месяцев 2022г. ,  тыс. руб.</t>
  </si>
  <si>
    <t>Освоено (факт) за  9 месяцев 2022г.),                                      тыс. руб.</t>
  </si>
  <si>
    <t>Лесопатологическое обследование деревьев</t>
  </si>
  <si>
    <t>ИП Грицай В.П - СМР</t>
  </si>
  <si>
    <t>разрещение на ввод в эксплуатацию от 15.09.2022г.</t>
  </si>
  <si>
    <t>Отчет об исполнении  Инвестиционной программы по объектам ГП КО "Водоканал"  на  2019-2023 г. г. без  НДС                                
за  2022 года.</t>
  </si>
  <si>
    <t>Главное учреждение экспертизы - экспертиза ПД</t>
  </si>
  <si>
    <t>Отчет об исполнении инвестиционной программы ГП КО "Водоканал" за 10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</si>
  <si>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10 месяцев 2022г. ,  тыс. руб.</t>
  </si>
  <si>
    <t>Освоено (факт) за  10 месяцев 2022г.),                                      тыс. руб.</t>
  </si>
  <si>
    <t>Строительство канализационной насосной станции с напорными коллекторами в мкр. Прегольский г.Калининграда</t>
  </si>
  <si>
    <t>ИП Дубюк Т.М. - лесопатологическое обследование</t>
  </si>
  <si>
    <t>ООО "Балтгеология" - разведочные скважины</t>
  </si>
  <si>
    <t>Отчет об исполнении инвестиционной программы ГП КО "Водоканал" за 11 месяцев 2022года. Утвержденной приказом Службы по государственному регулированию цен и тарифов Калининградской области от 03.11.2020г. № 91-01в/20    ( без НДС).</t>
  </si>
  <si>
    <t>Профинансировано (факт) за 11 месяцев 2022г. ,  тыс. руб.</t>
  </si>
  <si>
    <t>Освоено (факт) за  11 месяцев 2022г.),                                      тыс. руб.</t>
  </si>
  <si>
    <t>ООО "Калининградпромстройпроект" - персчет в текущие цены СД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</si>
</sst>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0"/>
  </numFmts>
  <fonts count="77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name val="Calibri"/>
      <family val="2"/>
      <scheme val="minor"/>
    </font>
    <font>
      <vertAlign val="superscript"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0"/>
      <name val="Calibri"/>
      <family val="2"/>
      <scheme val="minor"/>
    </font>
    <font>
      <sz val="11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B0F0"/>
      <name val="Times New Roman"/>
      <family val="1"/>
      <charset val="204"/>
    </font>
    <font>
      <b/>
      <sz val="11"/>
      <color rgb="FF00B0F0"/>
      <name val="Calibri"/>
      <family val="2"/>
      <scheme val="minor"/>
    </font>
    <font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1"/>
      <color rgb="FFFFFFCC"/>
      <name val="Times New Roman"/>
      <family val="1"/>
      <charset val="204"/>
    </font>
    <font>
      <sz val="11"/>
      <color rgb="FF00B0F0"/>
      <name val="Times New Roman"/>
      <family val="1"/>
      <charset val="204"/>
    </font>
    <font>
      <sz val="11"/>
      <color rgb="FF00B0F0"/>
      <name val="Calibri"/>
      <family val="2"/>
      <scheme val="minor"/>
    </font>
    <font>
      <b/>
      <sz val="11"/>
      <color theme="5"/>
      <name val="Times New Roman"/>
      <family val="1"/>
      <charset val="204"/>
    </font>
    <font>
      <b/>
      <i/>
      <sz val="11"/>
      <color theme="5"/>
      <name val="Times New Roman"/>
      <family val="1"/>
      <charset val="204"/>
    </font>
    <font>
      <b/>
      <sz val="11"/>
      <color theme="5"/>
      <name val="Calibri"/>
      <family val="2"/>
      <scheme val="minor"/>
    </font>
    <font>
      <b/>
      <i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color theme="1"/>
      <name val="Calibri"/>
      <family val="2"/>
      <scheme val="minor"/>
    </font>
    <font>
      <sz val="9"/>
      <color rgb="FFFF0000"/>
      <name val="Times New Roman"/>
      <family val="1"/>
      <charset val="204"/>
    </font>
    <font>
      <sz val="9"/>
      <name val="Calibri"/>
      <family val="2"/>
      <scheme val="minor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i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0"/>
      <color rgb="FFFF0000"/>
      <name val="Calibri"/>
      <family val="2"/>
      <scheme val="minor"/>
    </font>
    <font>
      <b/>
      <sz val="9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scheme val="minor"/>
    </font>
    <font>
      <b/>
      <i/>
      <sz val="12"/>
      <color rgb="FF00B0F0"/>
      <name val="Times New Roman"/>
      <family val="1"/>
      <charset val="204"/>
    </font>
    <font>
      <b/>
      <i/>
      <sz val="10"/>
      <color rgb="FF00B0F0"/>
      <name val="Times New Roman"/>
      <family val="1"/>
      <charset val="204"/>
    </font>
    <font>
      <b/>
      <sz val="10"/>
      <color rgb="FF00B0F0"/>
      <name val="Times New Roman"/>
      <family val="1"/>
      <charset val="204"/>
    </font>
    <font>
      <b/>
      <sz val="9"/>
      <color rgb="FF00B0F0"/>
      <name val="Times New Roman"/>
      <family val="1"/>
      <charset val="204"/>
    </font>
    <font>
      <b/>
      <i/>
      <sz val="9"/>
      <color rgb="FF00B0F0"/>
      <name val="Times New Roman"/>
      <family val="1"/>
      <charset val="204"/>
    </font>
    <font>
      <b/>
      <sz val="10"/>
      <color rgb="FF00B0F0"/>
      <name val="Calibri"/>
      <family val="2"/>
      <scheme val="minor"/>
    </font>
    <font>
      <b/>
      <sz val="12"/>
      <color rgb="FF00B0F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2" fillId="0" borderId="0"/>
  </cellStyleXfs>
  <cellXfs count="1670">
    <xf numFmtId="0" fontId="0" fillId="0" borderId="0" xfId="0"/>
    <xf numFmtId="0" fontId="1" fillId="0" borderId="1" xfId="0" applyFont="1" applyFill="1" applyBorder="1" applyAlignment="1">
      <alignment vertical="top" wrapText="1"/>
    </xf>
    <xf numFmtId="0" fontId="1" fillId="0" borderId="3" xfId="0" applyFont="1" applyFill="1" applyBorder="1" applyAlignment="1">
      <alignment vertical="top" wrapText="1"/>
    </xf>
    <xf numFmtId="4" fontId="3" fillId="0" borderId="1" xfId="0" applyNumberFormat="1" applyFont="1" applyFill="1" applyBorder="1" applyAlignment="1">
      <alignment vertical="top"/>
    </xf>
    <xf numFmtId="4" fontId="1" fillId="0" borderId="3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 wrapText="1"/>
    </xf>
    <xf numFmtId="4" fontId="1" fillId="0" borderId="1" xfId="0" applyNumberFormat="1" applyFont="1" applyFill="1" applyBorder="1" applyAlignment="1">
      <alignment vertical="center"/>
    </xf>
    <xf numFmtId="0" fontId="1" fillId="0" borderId="5" xfId="0" applyFont="1" applyFill="1" applyBorder="1" applyAlignment="1">
      <alignment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4" fontId="3" fillId="0" borderId="1" xfId="0" applyNumberFormat="1" applyFont="1" applyBorder="1" applyAlignment="1">
      <alignment vertical="top"/>
    </xf>
    <xf numFmtId="0" fontId="10" fillId="3" borderId="1" xfId="0" applyFont="1" applyFill="1" applyBorder="1" applyAlignment="1">
      <alignment vertical="top"/>
    </xf>
    <xf numFmtId="4" fontId="11" fillId="3" borderId="1" xfId="0" applyNumberFormat="1" applyFont="1" applyFill="1" applyBorder="1" applyAlignment="1">
      <alignment vertical="top"/>
    </xf>
    <xf numFmtId="0" fontId="10" fillId="0" borderId="1" xfId="0" applyFont="1" applyFill="1" applyBorder="1" applyAlignment="1">
      <alignment vertical="top"/>
    </xf>
    <xf numFmtId="4" fontId="11" fillId="0" borderId="1" xfId="0" applyNumberFormat="1" applyFont="1" applyFill="1" applyBorder="1" applyAlignment="1">
      <alignment vertical="top"/>
    </xf>
    <xf numFmtId="165" fontId="3" fillId="0" borderId="1" xfId="0" applyNumberFormat="1" applyFont="1" applyBorder="1" applyAlignment="1">
      <alignment vertical="top"/>
    </xf>
    <xf numFmtId="4" fontId="1" fillId="0" borderId="1" xfId="0" applyNumberFormat="1" applyFont="1" applyBorder="1" applyAlignment="1">
      <alignment vertical="top"/>
    </xf>
    <xf numFmtId="0" fontId="1" fillId="0" borderId="1" xfId="0" applyFont="1" applyFill="1" applyBorder="1" applyAlignment="1">
      <alignment horizontal="left" vertical="top" wrapText="1"/>
    </xf>
    <xf numFmtId="4" fontId="3" fillId="0" borderId="3" xfId="0" applyNumberFormat="1" applyFont="1" applyBorder="1" applyAlignment="1"/>
    <xf numFmtId="4" fontId="3" fillId="0" borderId="3" xfId="0" applyNumberFormat="1" applyFont="1" applyFill="1" applyBorder="1" applyAlignment="1"/>
    <xf numFmtId="0" fontId="7" fillId="0" borderId="0" xfId="0" applyFont="1" applyBorder="1"/>
    <xf numFmtId="4" fontId="3" fillId="0" borderId="1" xfId="0" applyNumberFormat="1" applyFont="1" applyBorder="1" applyAlignment="1"/>
    <xf numFmtId="4" fontId="3" fillId="0" borderId="1" xfId="0" applyNumberFormat="1" applyFont="1" applyFill="1" applyBorder="1" applyAlignment="1"/>
    <xf numFmtId="4" fontId="3" fillId="0" borderId="1" xfId="0" applyNumberFormat="1" applyFont="1" applyFill="1" applyBorder="1" applyAlignment="1">
      <alignment horizontal="right"/>
    </xf>
    <xf numFmtId="0" fontId="12" fillId="0" borderId="1" xfId="0" applyFont="1" applyFill="1" applyBorder="1" applyAlignment="1">
      <alignment horizontal="center" vertical="top" wrapText="1"/>
    </xf>
    <xf numFmtId="3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4" fontId="3" fillId="0" borderId="3" xfId="0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 vertical="top" wrapText="1"/>
    </xf>
    <xf numFmtId="3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center" wrapText="1"/>
    </xf>
    <xf numFmtId="4" fontId="3" fillId="0" borderId="5" xfId="0" applyNumberFormat="1" applyFont="1" applyBorder="1" applyAlignment="1">
      <alignment horizontal="right"/>
    </xf>
    <xf numFmtId="0" fontId="1" fillId="0" borderId="1" xfId="0" applyFont="1" applyFill="1" applyBorder="1" applyAlignment="1">
      <alignment horizontal="center" vertical="top" wrapText="1"/>
    </xf>
    <xf numFmtId="0" fontId="1" fillId="0" borderId="10" xfId="0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vertical="top" wrapText="1"/>
    </xf>
    <xf numFmtId="4" fontId="3" fillId="0" borderId="3" xfId="0" applyNumberFormat="1" applyFont="1" applyBorder="1" applyAlignment="1">
      <alignment horizontal="right" vertical="top"/>
    </xf>
    <xf numFmtId="49" fontId="9" fillId="0" borderId="1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Border="1" applyAlignment="1">
      <alignment horizontal="right" vertical="top"/>
    </xf>
    <xf numFmtId="0" fontId="7" fillId="0" borderId="1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vertical="top"/>
    </xf>
    <xf numFmtId="0" fontId="7" fillId="0" borderId="1" xfId="0" applyFont="1" applyFill="1" applyBorder="1"/>
    <xf numFmtId="4" fontId="3" fillId="0" borderId="3" xfId="0" applyNumberFormat="1" applyFont="1" applyBorder="1" applyAlignment="1">
      <alignment horizontal="right"/>
    </xf>
    <xf numFmtId="2" fontId="1" fillId="0" borderId="1" xfId="0" applyNumberFormat="1" applyFont="1" applyFill="1" applyBorder="1" applyAlignment="1">
      <alignment horizontal="right" vertical="top" wrapText="1"/>
    </xf>
    <xf numFmtId="0" fontId="7" fillId="0" borderId="1" xfId="0" applyFont="1" applyBorder="1"/>
    <xf numFmtId="4" fontId="3" fillId="0" borderId="1" xfId="0" applyNumberFormat="1" applyFont="1" applyFill="1" applyBorder="1" applyAlignment="1">
      <alignment vertical="center"/>
    </xf>
    <xf numFmtId="4" fontId="3" fillId="0" borderId="1" xfId="0" applyNumberFormat="1" applyFont="1" applyBorder="1" applyAlignment="1">
      <alignment vertical="center"/>
    </xf>
    <xf numFmtId="0" fontId="1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left" vertical="top"/>
    </xf>
    <xf numFmtId="0" fontId="10" fillId="3" borderId="11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2" fontId="1" fillId="0" borderId="5" xfId="0" applyNumberFormat="1" applyFont="1" applyFill="1" applyBorder="1" applyAlignment="1">
      <alignment horizontal="right" wrapText="1"/>
    </xf>
    <xf numFmtId="0" fontId="13" fillId="0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/>
    </xf>
    <xf numFmtId="0" fontId="13" fillId="0" borderId="5" xfId="0" applyFont="1" applyBorder="1" applyAlignment="1">
      <alignment horizontal="center" vertical="top"/>
    </xf>
    <xf numFmtId="4" fontId="3" fillId="0" borderId="5" xfId="0" applyNumberFormat="1" applyFont="1" applyFill="1" applyBorder="1" applyAlignment="1">
      <alignment horizontal="right"/>
    </xf>
    <xf numFmtId="165" fontId="1" fillId="0" borderId="1" xfId="0" applyNumberFormat="1" applyFont="1" applyBorder="1" applyAlignment="1">
      <alignment vertical="top"/>
    </xf>
    <xf numFmtId="4" fontId="3" fillId="0" borderId="1" xfId="0" applyNumberFormat="1" applyFont="1" applyFill="1" applyBorder="1" applyAlignment="1">
      <alignment horizontal="right" vertical="top"/>
    </xf>
    <xf numFmtId="4" fontId="1" fillId="0" borderId="1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3" fillId="5" borderId="1" xfId="0" applyFont="1" applyFill="1" applyBorder="1" applyAlignment="1">
      <alignment horizontal="left" vertical="top" wrapText="1"/>
    </xf>
    <xf numFmtId="4" fontId="3" fillId="5" borderId="3" xfId="0" applyNumberFormat="1" applyFont="1" applyFill="1" applyBorder="1" applyAlignment="1">
      <alignment vertical="top"/>
    </xf>
    <xf numFmtId="0" fontId="3" fillId="5" borderId="1" xfId="0" applyFont="1" applyFill="1" applyBorder="1" applyAlignment="1">
      <alignment vertical="top" wrapText="1"/>
    </xf>
    <xf numFmtId="4" fontId="3" fillId="5" borderId="1" xfId="0" applyNumberFormat="1" applyFont="1" applyFill="1" applyBorder="1" applyAlignment="1">
      <alignment horizontal="right" vertical="top"/>
    </xf>
    <xf numFmtId="4" fontId="3" fillId="5" borderId="1" xfId="0" applyNumberFormat="1" applyFont="1" applyFill="1" applyBorder="1" applyAlignment="1">
      <alignment vertical="top"/>
    </xf>
    <xf numFmtId="0" fontId="3" fillId="5" borderId="6" xfId="0" applyFont="1" applyFill="1" applyBorder="1" applyAlignment="1">
      <alignment vertical="top" wrapText="1"/>
    </xf>
    <xf numFmtId="2" fontId="3" fillId="5" borderId="1" xfId="0" applyNumberFormat="1" applyFont="1" applyFill="1" applyBorder="1" applyAlignment="1">
      <alignment horizontal="right" wrapText="1"/>
    </xf>
    <xf numFmtId="4" fontId="3" fillId="5" borderId="1" xfId="0" applyNumberFormat="1" applyFont="1" applyFill="1" applyBorder="1" applyAlignment="1">
      <alignment horizontal="right" vertical="top" wrapText="1"/>
    </xf>
    <xf numFmtId="4" fontId="1" fillId="0" borderId="5" xfId="0" applyNumberFormat="1" applyFont="1" applyFill="1" applyBorder="1" applyAlignment="1">
      <alignment horizontal="right" vertical="top" wrapText="1"/>
    </xf>
    <xf numFmtId="0" fontId="3" fillId="5" borderId="1" xfId="0" applyFont="1" applyFill="1" applyBorder="1" applyAlignment="1">
      <alignment horizontal="justify" vertical="top" wrapText="1"/>
    </xf>
    <xf numFmtId="0" fontId="11" fillId="4" borderId="3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left" vertical="top" wrapText="1"/>
    </xf>
    <xf numFmtId="4" fontId="11" fillId="4" borderId="1" xfId="0" applyNumberFormat="1" applyFont="1" applyFill="1" applyBorder="1" applyAlignment="1">
      <alignment horizontal="right" vertical="top"/>
    </xf>
    <xf numFmtId="0" fontId="6" fillId="0" borderId="0" xfId="0" applyFont="1" applyBorder="1" applyAlignment="1">
      <alignment horizontal="center" vertical="top" wrapText="1"/>
    </xf>
    <xf numFmtId="0" fontId="7" fillId="0" borderId="2" xfId="0" applyFont="1" applyBorder="1"/>
    <xf numFmtId="0" fontId="15" fillId="0" borderId="4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vertical="top" wrapText="1"/>
    </xf>
    <xf numFmtId="4" fontId="15" fillId="0" borderId="1" xfId="0" applyNumberFormat="1" applyFont="1" applyBorder="1" applyAlignment="1"/>
    <xf numFmtId="4" fontId="15" fillId="0" borderId="1" xfId="0" applyNumberFormat="1" applyFont="1" applyFill="1" applyBorder="1" applyAlignment="1"/>
    <xf numFmtId="4" fontId="15" fillId="0" borderId="1" xfId="0" applyNumberFormat="1" applyFont="1" applyFill="1" applyBorder="1" applyAlignment="1">
      <alignment vertical="top"/>
    </xf>
    <xf numFmtId="4" fontId="16" fillId="0" borderId="1" xfId="0" applyNumberFormat="1" applyFont="1" applyFill="1" applyBorder="1" applyAlignment="1">
      <alignment vertical="top"/>
    </xf>
    <xf numFmtId="0" fontId="17" fillId="0" borderId="0" xfId="0" applyFont="1"/>
    <xf numFmtId="4" fontId="15" fillId="0" borderId="3" xfId="0" applyNumberFormat="1" applyFont="1" applyBorder="1" applyAlignment="1">
      <alignment horizontal="right"/>
    </xf>
    <xf numFmtId="4" fontId="15" fillId="0" borderId="3" xfId="0" applyNumberFormat="1" applyFont="1" applyFill="1" applyBorder="1" applyAlignment="1">
      <alignment horizontal="right"/>
    </xf>
    <xf numFmtId="4" fontId="16" fillId="0" borderId="1" xfId="0" applyNumberFormat="1" applyFont="1" applyFill="1" applyBorder="1" applyAlignment="1">
      <alignment horizontal="right" vertical="top"/>
    </xf>
    <xf numFmtId="4" fontId="16" fillId="0" borderId="3" xfId="0" applyNumberFormat="1" applyFont="1" applyBorder="1" applyAlignment="1">
      <alignment horizontal="left" vertical="top" wrapText="1"/>
    </xf>
    <xf numFmtId="0" fontId="16" fillId="0" borderId="1" xfId="0" applyFont="1" applyFill="1" applyBorder="1" applyAlignment="1">
      <alignment vertical="top" wrapText="1"/>
    </xf>
    <xf numFmtId="0" fontId="18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 wrapText="1"/>
    </xf>
    <xf numFmtId="4" fontId="15" fillId="0" borderId="1" xfId="0" applyNumberFormat="1" applyFont="1" applyBorder="1" applyAlignment="1">
      <alignment vertical="center"/>
    </xf>
    <xf numFmtId="4" fontId="16" fillId="0" borderId="1" xfId="0" applyNumberFormat="1" applyFont="1" applyFill="1" applyBorder="1" applyAlignment="1">
      <alignment vertical="center"/>
    </xf>
    <xf numFmtId="4" fontId="15" fillId="0" borderId="1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 applyBorder="1" applyAlignment="1">
      <alignment horizontal="center" vertical="top" wrapText="1"/>
    </xf>
    <xf numFmtId="0" fontId="13" fillId="0" borderId="0" xfId="0" applyFont="1" applyBorder="1"/>
    <xf numFmtId="0" fontId="13" fillId="0" borderId="0" xfId="0" applyFont="1"/>
    <xf numFmtId="0" fontId="20" fillId="0" borderId="2" xfId="0" applyFont="1" applyBorder="1" applyAlignment="1">
      <alignment horizontal="center" vertical="top" wrapText="1"/>
    </xf>
    <xf numFmtId="0" fontId="20" fillId="0" borderId="2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top"/>
    </xf>
    <xf numFmtId="0" fontId="22" fillId="3" borderId="1" xfId="0" applyFont="1" applyFill="1" applyBorder="1" applyAlignment="1">
      <alignment vertical="top"/>
    </xf>
    <xf numFmtId="0" fontId="19" fillId="0" borderId="1" xfId="0" applyFont="1" applyBorder="1"/>
    <xf numFmtId="0" fontId="19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/>
    </xf>
    <xf numFmtId="0" fontId="24" fillId="5" borderId="1" xfId="0" applyFont="1" applyFill="1" applyBorder="1" applyAlignment="1">
      <alignment vertical="top" wrapText="1"/>
    </xf>
    <xf numFmtId="0" fontId="24" fillId="5" borderId="1" xfId="0" applyFont="1" applyFill="1" applyBorder="1" applyAlignment="1">
      <alignment vertical="top"/>
    </xf>
    <xf numFmtId="0" fontId="0" fillId="0" borderId="0" xfId="0" applyFont="1"/>
    <xf numFmtId="0" fontId="25" fillId="0" borderId="0" xfId="0" applyFont="1"/>
    <xf numFmtId="0" fontId="26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9" fillId="0" borderId="0" xfId="0" applyFont="1"/>
    <xf numFmtId="0" fontId="19" fillId="0" borderId="0" xfId="0" applyFont="1" applyFill="1" applyBorder="1" applyAlignment="1">
      <alignment vertical="top" wrapText="1"/>
    </xf>
    <xf numFmtId="0" fontId="19" fillId="0" borderId="0" xfId="0" applyFont="1" applyFill="1" applyBorder="1" applyAlignment="1">
      <alignment vertical="top"/>
    </xf>
    <xf numFmtId="0" fontId="24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0" fontId="21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/>
    <xf numFmtId="0" fontId="0" fillId="0" borderId="0" xfId="0" applyFont="1" applyBorder="1"/>
    <xf numFmtId="0" fontId="21" fillId="0" borderId="26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shrinkToFit="1"/>
    </xf>
    <xf numFmtId="49" fontId="30" fillId="0" borderId="17" xfId="0" applyNumberFormat="1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vertical="top" wrapText="1"/>
    </xf>
    <xf numFmtId="4" fontId="30" fillId="0" borderId="18" xfId="0" applyNumberFormat="1" applyFont="1" applyFill="1" applyBorder="1" applyAlignment="1">
      <alignment vertical="top" wrapText="1"/>
    </xf>
    <xf numFmtId="4" fontId="29" fillId="0" borderId="30" xfId="0" applyNumberFormat="1" applyFont="1" applyFill="1" applyBorder="1" applyAlignment="1">
      <alignment vertical="top"/>
    </xf>
    <xf numFmtId="0" fontId="30" fillId="0" borderId="0" xfId="0" applyFont="1" applyFill="1" applyBorder="1" applyAlignment="1">
      <alignment vertical="top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/>
    <xf numFmtId="0" fontId="31" fillId="0" borderId="0" xfId="0" applyFont="1" applyBorder="1"/>
    <xf numFmtId="0" fontId="31" fillId="0" borderId="0" xfId="0" applyFont="1"/>
    <xf numFmtId="49" fontId="32" fillId="0" borderId="3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top" wrapText="1"/>
    </xf>
    <xf numFmtId="0" fontId="33" fillId="0" borderId="32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 vertical="top"/>
    </xf>
    <xf numFmtId="0" fontId="17" fillId="0" borderId="0" xfId="0" applyFont="1" applyBorder="1"/>
    <xf numFmtId="49" fontId="13" fillId="0" borderId="3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center" vertical="top"/>
    </xf>
    <xf numFmtId="4" fontId="33" fillId="0" borderId="32" xfId="0" applyNumberFormat="1" applyFont="1" applyFill="1" applyBorder="1" applyAlignment="1">
      <alignment horizontal="center" vertical="top"/>
    </xf>
    <xf numFmtId="4" fontId="34" fillId="0" borderId="0" xfId="0" applyNumberFormat="1" applyFont="1" applyFill="1" applyBorder="1" applyAlignment="1">
      <alignment horizontal="center" vertical="top"/>
    </xf>
    <xf numFmtId="0" fontId="13" fillId="5" borderId="1" xfId="0" applyFont="1" applyFill="1" applyBorder="1" applyAlignment="1">
      <alignment horizontal="left" vertical="center" wrapText="1"/>
    </xf>
    <xf numFmtId="4" fontId="1" fillId="5" borderId="1" xfId="0" applyNumberFormat="1" applyFont="1" applyFill="1" applyBorder="1" applyAlignment="1">
      <alignment vertical="top"/>
    </xf>
    <xf numFmtId="4" fontId="4" fillId="5" borderId="1" xfId="0" applyNumberFormat="1" applyFont="1" applyFill="1" applyBorder="1" applyAlignment="1">
      <alignment horizontal="right" vertical="top"/>
    </xf>
    <xf numFmtId="0" fontId="32" fillId="0" borderId="1" xfId="0" applyFont="1" applyFill="1" applyBorder="1" applyAlignment="1">
      <alignment horizontal="left" vertical="center" wrapText="1"/>
    </xf>
    <xf numFmtId="4" fontId="16" fillId="0" borderId="1" xfId="0" applyNumberFormat="1" applyFont="1" applyBorder="1" applyAlignment="1">
      <alignment vertical="top"/>
    </xf>
    <xf numFmtId="4" fontId="32" fillId="0" borderId="1" xfId="0" applyNumberFormat="1" applyFont="1" applyFill="1" applyBorder="1" applyAlignment="1">
      <alignment horizontal="right" vertical="top"/>
    </xf>
    <xf numFmtId="0" fontId="32" fillId="0" borderId="1" xfId="0" applyFont="1" applyFill="1" applyBorder="1" applyAlignment="1">
      <alignment horizontal="center" vertical="top"/>
    </xf>
    <xf numFmtId="0" fontId="32" fillId="0" borderId="32" xfId="0" applyFont="1" applyFill="1" applyBorder="1" applyAlignment="1">
      <alignment horizontal="center" vertical="top"/>
    </xf>
    <xf numFmtId="49" fontId="30" fillId="0" borderId="33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left" vertical="center" wrapText="1"/>
    </xf>
    <xf numFmtId="4" fontId="30" fillId="0" borderId="18" xfId="0" applyNumberFormat="1" applyFont="1" applyFill="1" applyBorder="1" applyAlignment="1">
      <alignment vertical="top"/>
    </xf>
    <xf numFmtId="4" fontId="35" fillId="0" borderId="30" xfId="0" applyNumberFormat="1" applyFont="1" applyFill="1" applyBorder="1" applyAlignment="1">
      <alignment vertical="top"/>
    </xf>
    <xf numFmtId="0" fontId="35" fillId="0" borderId="0" xfId="0" applyFont="1" applyFill="1" applyBorder="1" applyAlignment="1">
      <alignment vertical="top"/>
    </xf>
    <xf numFmtId="0" fontId="36" fillId="0" borderId="0" xfId="0" applyFont="1" applyFill="1" applyBorder="1"/>
    <xf numFmtId="0" fontId="36" fillId="0" borderId="0" xfId="0" applyFont="1" applyBorder="1"/>
    <xf numFmtId="0" fontId="36" fillId="0" borderId="0" xfId="0" applyFont="1"/>
    <xf numFmtId="0" fontId="13" fillId="0" borderId="32" xfId="0" applyFont="1" applyFill="1" applyBorder="1" applyAlignment="1">
      <alignment horizontal="center" vertical="top"/>
    </xf>
    <xf numFmtId="4" fontId="13" fillId="0" borderId="1" xfId="0" applyNumberFormat="1" applyFont="1" applyFill="1" applyBorder="1" applyAlignment="1">
      <alignment horizontal="right" vertical="top"/>
    </xf>
    <xf numFmtId="4" fontId="4" fillId="0" borderId="26" xfId="0" applyNumberFormat="1" applyFont="1" applyFill="1" applyBorder="1" applyAlignment="1">
      <alignment horizontal="right" vertical="top"/>
    </xf>
    <xf numFmtId="49" fontId="37" fillId="0" borderId="34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left" vertical="center" wrapText="1"/>
    </xf>
    <xf numFmtId="4" fontId="38" fillId="0" borderId="35" xfId="0" applyNumberFormat="1" applyFont="1" applyFill="1" applyBorder="1" applyAlignment="1">
      <alignment horizontal="right" vertical="top" wrapText="1"/>
    </xf>
    <xf numFmtId="4" fontId="38" fillId="0" borderId="36" xfId="0" applyNumberFormat="1" applyFont="1" applyFill="1" applyBorder="1" applyAlignment="1">
      <alignment horizontal="right" vertical="top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/>
    <xf numFmtId="0" fontId="39" fillId="0" borderId="0" xfId="0" applyFont="1" applyBorder="1"/>
    <xf numFmtId="0" fontId="39" fillId="0" borderId="0" xfId="0" applyFont="1"/>
    <xf numFmtId="49" fontId="13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horizontal="left" vertical="top" wrapText="1"/>
    </xf>
    <xf numFmtId="4" fontId="13" fillId="0" borderId="0" xfId="0" applyNumberFormat="1" applyFont="1" applyFill="1" applyBorder="1" applyAlignment="1">
      <alignment vertical="top"/>
    </xf>
    <xf numFmtId="0" fontId="40" fillId="0" borderId="0" xfId="0" applyFont="1" applyFill="1" applyBorder="1" applyAlignment="1">
      <alignment vertical="top" wrapText="1"/>
    </xf>
    <xf numFmtId="0" fontId="0" fillId="0" borderId="0" xfId="0" applyFont="1" applyFill="1" applyBorder="1"/>
    <xf numFmtId="0" fontId="41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top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2" fillId="0" borderId="0" xfId="0" applyFont="1" applyFill="1" applyBorder="1" applyAlignment="1">
      <alignment vertical="top" wrapText="1"/>
    </xf>
    <xf numFmtId="4" fontId="22" fillId="0" borderId="0" xfId="0" applyNumberFormat="1" applyFont="1" applyFill="1" applyBorder="1" applyAlignment="1">
      <alignment horizontal="right" vertical="top"/>
    </xf>
    <xf numFmtId="0" fontId="40" fillId="0" borderId="0" xfId="0" applyFont="1" applyFill="1" applyBorder="1" applyAlignment="1">
      <alignment horizontal="left" vertical="top" wrapText="1"/>
    </xf>
    <xf numFmtId="0" fontId="9" fillId="0" borderId="0" xfId="0" applyFont="1" applyAlignment="1">
      <alignment wrapText="1"/>
    </xf>
    <xf numFmtId="0" fontId="9" fillId="0" borderId="0" xfId="0" applyFont="1" applyAlignment="1">
      <alignment vertical="top"/>
    </xf>
    <xf numFmtId="0" fontId="42" fillId="0" borderId="0" xfId="0" applyFont="1"/>
    <xf numFmtId="0" fontId="21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vertical="top" wrapText="1"/>
    </xf>
    <xf numFmtId="4" fontId="21" fillId="0" borderId="0" xfId="0" applyNumberFormat="1" applyFont="1" applyFill="1" applyBorder="1" applyAlignment="1">
      <alignment vertical="top"/>
    </xf>
    <xf numFmtId="0" fontId="32" fillId="0" borderId="0" xfId="0" applyFont="1" applyFill="1" applyBorder="1" applyAlignment="1">
      <alignment vertical="top" wrapText="1"/>
    </xf>
    <xf numFmtId="4" fontId="19" fillId="0" borderId="0" xfId="0" applyNumberFormat="1" applyFont="1" applyFill="1" applyBorder="1" applyAlignment="1">
      <alignment vertical="top"/>
    </xf>
    <xf numFmtId="4" fontId="19" fillId="0" borderId="0" xfId="0" applyNumberFormat="1" applyFont="1" applyFill="1" applyBorder="1" applyAlignment="1"/>
    <xf numFmtId="0" fontId="19" fillId="0" borderId="0" xfId="0" applyFont="1" applyFill="1" applyBorder="1" applyAlignment="1">
      <alignment vertical="center" wrapText="1"/>
    </xf>
    <xf numFmtId="49" fontId="13" fillId="0" borderId="0" xfId="0" applyNumberFormat="1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vertical="top" wrapText="1"/>
    </xf>
    <xf numFmtId="4" fontId="40" fillId="0" borderId="0" xfId="0" applyNumberFormat="1" applyFont="1" applyFill="1" applyBorder="1" applyAlignment="1">
      <alignment horizontal="right" vertical="top"/>
    </xf>
    <xf numFmtId="4" fontId="13" fillId="0" borderId="0" xfId="0" applyNumberFormat="1" applyFont="1" applyFill="1" applyBorder="1" applyAlignment="1"/>
    <xf numFmtId="0" fontId="21" fillId="0" borderId="0" xfId="0" applyFont="1" applyFill="1" applyBorder="1" applyAlignment="1">
      <alignment horizontal="justify" vertical="top" wrapText="1"/>
    </xf>
    <xf numFmtId="0" fontId="4" fillId="0" borderId="0" xfId="0" applyFont="1" applyFill="1" applyBorder="1" applyAlignment="1">
      <alignment vertical="top" wrapText="1"/>
    </xf>
    <xf numFmtId="14" fontId="13" fillId="0" borderId="0" xfId="0" applyNumberFormat="1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wrapText="1"/>
    </xf>
    <xf numFmtId="0" fontId="40" fillId="0" borderId="0" xfId="0" applyFont="1" applyFill="1" applyBorder="1" applyAlignment="1">
      <alignment horizontal="center" vertical="top"/>
    </xf>
    <xf numFmtId="0" fontId="40" fillId="0" borderId="0" xfId="0" applyFont="1" applyFill="1" applyBorder="1" applyAlignment="1">
      <alignment horizontal="left" vertical="top"/>
    </xf>
    <xf numFmtId="0" fontId="13" fillId="0" borderId="0" xfId="1" applyNumberFormat="1" applyFont="1" applyFill="1" applyBorder="1" applyAlignment="1">
      <alignment vertical="top" wrapText="1"/>
    </xf>
    <xf numFmtId="2" fontId="13" fillId="0" borderId="0" xfId="0" applyNumberFormat="1" applyFont="1" applyFill="1" applyBorder="1" applyAlignment="1">
      <alignment horizontal="right" vertical="top" wrapText="1"/>
    </xf>
    <xf numFmtId="0" fontId="13" fillId="0" borderId="0" xfId="0" applyNumberFormat="1" applyFont="1" applyFill="1" applyBorder="1" applyAlignment="1">
      <alignment vertical="top" wrapText="1"/>
    </xf>
    <xf numFmtId="0" fontId="13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21" fillId="2" borderId="0" xfId="0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4" fontId="13" fillId="0" borderId="0" xfId="0" applyNumberFormat="1" applyFont="1" applyBorder="1" applyAlignment="1">
      <alignment vertical="top"/>
    </xf>
    <xf numFmtId="0" fontId="13" fillId="2" borderId="0" xfId="0" applyFont="1" applyFill="1" applyBorder="1" applyAlignment="1">
      <alignment vertical="top"/>
    </xf>
    <xf numFmtId="0" fontId="13" fillId="2" borderId="0" xfId="0" applyFont="1" applyFill="1" applyBorder="1" applyAlignment="1">
      <alignment horizontal="left" vertical="top" wrapText="1"/>
    </xf>
    <xf numFmtId="4" fontId="21" fillId="0" borderId="0" xfId="0" applyNumberFormat="1" applyFont="1" applyBorder="1" applyAlignment="1">
      <alignment vertical="top"/>
    </xf>
    <xf numFmtId="0" fontId="5" fillId="0" borderId="0" xfId="0" applyFont="1" applyBorder="1" applyAlignment="1">
      <alignment horizontal="center" vertical="top" wrapText="1"/>
    </xf>
    <xf numFmtId="0" fontId="40" fillId="0" borderId="0" xfId="0" applyFont="1" applyBorder="1" applyAlignment="1">
      <alignment vertical="top" wrapText="1"/>
    </xf>
    <xf numFmtId="4" fontId="34" fillId="0" borderId="32" xfId="0" applyNumberFormat="1" applyFont="1" applyFill="1" applyBorder="1" applyAlignment="1">
      <alignment horizontal="center" vertical="top"/>
    </xf>
    <xf numFmtId="4" fontId="21" fillId="0" borderId="0" xfId="0" applyNumberFormat="1" applyFont="1" applyFill="1" applyBorder="1" applyAlignment="1"/>
    <xf numFmtId="49" fontId="13" fillId="0" borderId="0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top"/>
    </xf>
    <xf numFmtId="0" fontId="13" fillId="0" borderId="0" xfId="0" applyFont="1" applyFill="1" applyBorder="1" applyAlignment="1">
      <alignment vertical="center" wrapText="1"/>
    </xf>
    <xf numFmtId="4" fontId="18" fillId="0" borderId="1" xfId="0" applyNumberFormat="1" applyFont="1" applyBorder="1" applyAlignment="1">
      <alignment vertical="top"/>
    </xf>
    <xf numFmtId="4" fontId="13" fillId="5" borderId="1" xfId="0" applyNumberFormat="1" applyFont="1" applyFill="1" applyBorder="1" applyAlignment="1">
      <alignment vertical="top"/>
    </xf>
    <xf numFmtId="4" fontId="13" fillId="0" borderId="1" xfId="0" applyNumberFormat="1" applyFont="1" applyBorder="1" applyAlignment="1">
      <alignment vertical="top"/>
    </xf>
    <xf numFmtId="4" fontId="32" fillId="0" borderId="1" xfId="0" applyNumberFormat="1" applyFont="1" applyBorder="1" applyAlignment="1">
      <alignment vertical="top"/>
    </xf>
    <xf numFmtId="0" fontId="6" fillId="0" borderId="0" xfId="0" applyFont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top" wrapText="1"/>
    </xf>
    <xf numFmtId="0" fontId="16" fillId="0" borderId="6" xfId="0" applyFont="1" applyFill="1" applyBorder="1" applyAlignment="1">
      <alignment vertical="top" wrapText="1"/>
    </xf>
    <xf numFmtId="0" fontId="17" fillId="0" borderId="13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top" wrapText="1"/>
    </xf>
    <xf numFmtId="0" fontId="16" fillId="0" borderId="13" xfId="0" applyFont="1" applyFill="1" applyBorder="1" applyAlignment="1">
      <alignment horizontal="center" wrapText="1"/>
    </xf>
    <xf numFmtId="0" fontId="16" fillId="0" borderId="15" xfId="0" applyFont="1" applyFill="1" applyBorder="1" applyAlignment="1">
      <alignment horizontal="center" wrapText="1"/>
    </xf>
    <xf numFmtId="4" fontId="15" fillId="0" borderId="4" xfId="0" applyNumberFormat="1" applyFont="1" applyBorder="1" applyAlignment="1">
      <alignment horizontal="center"/>
    </xf>
    <xf numFmtId="4" fontId="16" fillId="0" borderId="5" xfId="0" applyNumberFormat="1" applyFont="1" applyFill="1" applyBorder="1" applyAlignment="1">
      <alignment horizontal="right" vertical="top"/>
    </xf>
    <xf numFmtId="4" fontId="16" fillId="0" borderId="5" xfId="0" applyNumberFormat="1" applyFont="1" applyFill="1" applyBorder="1" applyAlignment="1">
      <alignment horizontal="right" vertical="top" wrapText="1"/>
    </xf>
    <xf numFmtId="2" fontId="16" fillId="0" borderId="5" xfId="0" applyNumberFormat="1" applyFont="1" applyFill="1" applyBorder="1" applyAlignment="1">
      <alignment horizontal="right" wrapText="1"/>
    </xf>
    <xf numFmtId="0" fontId="27" fillId="0" borderId="0" xfId="0" applyFont="1"/>
    <xf numFmtId="0" fontId="16" fillId="0" borderId="3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right" vertical="top" wrapText="1"/>
    </xf>
    <xf numFmtId="4" fontId="16" fillId="0" borderId="3" xfId="0" applyNumberFormat="1" applyFont="1" applyBorder="1" applyAlignment="1">
      <alignment vertical="top"/>
    </xf>
    <xf numFmtId="0" fontId="17" fillId="0" borderId="0" xfId="0" applyFont="1" applyAlignment="1">
      <alignment vertical="top"/>
    </xf>
    <xf numFmtId="0" fontId="17" fillId="0" borderId="0" xfId="0" applyFont="1" applyFill="1"/>
    <xf numFmtId="0" fontId="44" fillId="0" borderId="1" xfId="0" applyFont="1" applyFill="1" applyBorder="1" applyAlignment="1">
      <alignment horizontal="center" vertical="top"/>
    </xf>
    <xf numFmtId="4" fontId="16" fillId="0" borderId="3" xfId="0" applyNumberFormat="1" applyFont="1" applyFill="1" applyBorder="1" applyAlignment="1">
      <alignment vertical="top"/>
    </xf>
    <xf numFmtId="4" fontId="16" fillId="0" borderId="3" xfId="0" applyNumberFormat="1" applyFont="1" applyFill="1" applyBorder="1" applyAlignment="1">
      <alignment vertical="top" wrapText="1"/>
    </xf>
    <xf numFmtId="4" fontId="32" fillId="0" borderId="32" xfId="0" applyNumberFormat="1" applyFont="1" applyFill="1" applyBorder="1" applyAlignment="1">
      <alignment horizontal="center" vertical="top"/>
    </xf>
    <xf numFmtId="4" fontId="32" fillId="0" borderId="0" xfId="0" applyNumberFormat="1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right"/>
    </xf>
    <xf numFmtId="4" fontId="3" fillId="0" borderId="3" xfId="0" applyNumberFormat="1" applyFont="1" applyBorder="1" applyAlignment="1">
      <alignment horizontal="right" vertical="top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center" vertical="top" wrapText="1"/>
    </xf>
    <xf numFmtId="0" fontId="10" fillId="3" borderId="11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 vertical="top" wrapText="1"/>
    </xf>
    <xf numFmtId="4" fontId="3" fillId="0" borderId="3" xfId="0" applyNumberFormat="1" applyFont="1" applyFill="1" applyBorder="1" applyAlignment="1">
      <alignment horizontal="right"/>
    </xf>
    <xf numFmtId="4" fontId="3" fillId="5" borderId="5" xfId="0" applyNumberFormat="1" applyFont="1" applyFill="1" applyBorder="1" applyAlignment="1">
      <alignment horizontal="right" vertical="top"/>
    </xf>
    <xf numFmtId="0" fontId="7" fillId="0" borderId="0" xfId="0" applyFont="1" applyFill="1"/>
    <xf numFmtId="0" fontId="45" fillId="0" borderId="1" xfId="0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vertical="top"/>
    </xf>
    <xf numFmtId="0" fontId="9" fillId="0" borderId="0" xfId="0" applyFont="1" applyBorder="1" applyAlignment="1">
      <alignment horizontal="right" wrapText="1"/>
    </xf>
    <xf numFmtId="0" fontId="13" fillId="0" borderId="5" xfId="0" applyFont="1" applyBorder="1" applyAlignment="1">
      <alignment horizontal="center" vertical="top" wrapText="1"/>
    </xf>
    <xf numFmtId="4" fontId="13" fillId="4" borderId="1" xfId="0" applyNumberFormat="1" applyFont="1" applyFill="1" applyBorder="1" applyAlignment="1">
      <alignment wrapText="1"/>
    </xf>
    <xf numFmtId="4" fontId="13" fillId="0" borderId="1" xfId="0" applyNumberFormat="1" applyFont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4" fontId="1" fillId="0" borderId="1" xfId="0" applyNumberFormat="1" applyFont="1" applyFill="1" applyBorder="1" applyAlignment="1">
      <alignment vertical="top" wrapText="1"/>
    </xf>
    <xf numFmtId="4" fontId="1" fillId="0" borderId="1" xfId="0" applyNumberFormat="1" applyFont="1" applyBorder="1" applyAlignment="1">
      <alignment vertical="top" wrapText="1"/>
    </xf>
    <xf numFmtId="165" fontId="1" fillId="0" borderId="1" xfId="0" applyNumberFormat="1" applyFont="1" applyBorder="1" applyAlignment="1">
      <alignment vertical="top" wrapText="1"/>
    </xf>
    <xf numFmtId="4" fontId="16" fillId="0" borderId="1" xfId="0" applyNumberFormat="1" applyFont="1" applyFill="1" applyBorder="1" applyAlignment="1">
      <alignment horizontal="right" wrapText="1"/>
    </xf>
    <xf numFmtId="4" fontId="1" fillId="0" borderId="1" xfId="0" applyNumberFormat="1" applyFont="1" applyFill="1" applyBorder="1" applyAlignment="1">
      <alignment horizontal="right" wrapText="1"/>
    </xf>
    <xf numFmtId="4" fontId="1" fillId="0" borderId="5" xfId="0" applyNumberFormat="1" applyFont="1" applyFill="1" applyBorder="1" applyAlignment="1">
      <alignment horizontal="right" wrapText="1"/>
    </xf>
    <xf numFmtId="4" fontId="3" fillId="5" borderId="3" xfId="0" applyNumberFormat="1" applyFont="1" applyFill="1" applyBorder="1" applyAlignment="1">
      <alignment vertical="top" wrapText="1"/>
    </xf>
    <xf numFmtId="4" fontId="3" fillId="5" borderId="1" xfId="0" applyNumberFormat="1" applyFont="1" applyFill="1" applyBorder="1" applyAlignment="1">
      <alignment vertical="top" wrapText="1"/>
    </xf>
    <xf numFmtId="4" fontId="16" fillId="0" borderId="1" xfId="0" applyNumberFormat="1" applyFont="1" applyFill="1" applyBorder="1" applyAlignment="1">
      <alignment vertical="top" wrapText="1"/>
    </xf>
    <xf numFmtId="4" fontId="3" fillId="5" borderId="1" xfId="0" applyNumberFormat="1" applyFont="1" applyFill="1" applyBorder="1" applyAlignment="1">
      <alignment wrapText="1"/>
    </xf>
    <xf numFmtId="4" fontId="1" fillId="0" borderId="1" xfId="0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7" fillId="0" borderId="0" xfId="0" applyFont="1" applyAlignment="1">
      <alignment wrapText="1"/>
    </xf>
    <xf numFmtId="4" fontId="3" fillId="5" borderId="3" xfId="0" applyNumberFormat="1" applyFont="1" applyFill="1" applyBorder="1" applyAlignment="1">
      <alignment vertical="center" wrapText="1"/>
    </xf>
    <xf numFmtId="4" fontId="16" fillId="0" borderId="3" xfId="0" applyNumberFormat="1" applyFont="1" applyFill="1" applyBorder="1" applyAlignment="1">
      <alignment vertical="center" wrapText="1"/>
    </xf>
    <xf numFmtId="4" fontId="3" fillId="5" borderId="1" xfId="0" applyNumberFormat="1" applyFont="1" applyFill="1" applyBorder="1" applyAlignment="1">
      <alignment vertical="center" wrapText="1"/>
    </xf>
    <xf numFmtId="4" fontId="1" fillId="0" borderId="1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3" fillId="5" borderId="13" xfId="0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 vertical="top" wrapText="1"/>
    </xf>
    <xf numFmtId="0" fontId="1" fillId="5" borderId="7" xfId="0" applyFont="1" applyFill="1" applyBorder="1" applyAlignment="1">
      <alignment horizontal="center" vertical="top" wrapText="1"/>
    </xf>
    <xf numFmtId="4" fontId="3" fillId="0" borderId="3" xfId="0" applyNumberFormat="1" applyFont="1" applyFill="1" applyBorder="1" applyAlignment="1">
      <alignment vertical="top"/>
    </xf>
    <xf numFmtId="0" fontId="46" fillId="0" borderId="0" xfId="0" applyFont="1"/>
    <xf numFmtId="0" fontId="47" fillId="0" borderId="0" xfId="0" applyFont="1" applyBorder="1" applyAlignment="1">
      <alignment horizontal="center" vertical="top" wrapText="1"/>
    </xf>
    <xf numFmtId="0" fontId="14" fillId="4" borderId="3" xfId="0" applyFont="1" applyFill="1" applyBorder="1" applyAlignment="1">
      <alignment vertical="top"/>
    </xf>
    <xf numFmtId="14" fontId="44" fillId="0" borderId="4" xfId="0" applyNumberFormat="1" applyFont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top"/>
    </xf>
    <xf numFmtId="0" fontId="44" fillId="0" borderId="5" xfId="1" applyNumberFormat="1" applyFont="1" applyFill="1" applyBorder="1" applyAlignment="1">
      <alignment horizontal="center" vertical="top" wrapText="1"/>
    </xf>
    <xf numFmtId="4" fontId="1" fillId="5" borderId="1" xfId="0" applyNumberFormat="1" applyFont="1" applyFill="1" applyBorder="1" applyAlignment="1">
      <alignment vertical="top" wrapText="1"/>
    </xf>
    <xf numFmtId="0" fontId="3" fillId="5" borderId="7" xfId="0" applyFont="1" applyFill="1" applyBorder="1" applyAlignment="1">
      <alignment horizontal="center" vertical="top" wrapText="1"/>
    </xf>
    <xf numFmtId="0" fontId="46" fillId="0" borderId="0" xfId="0" applyFont="1" applyFill="1"/>
    <xf numFmtId="4" fontId="3" fillId="5" borderId="3" xfId="0" applyNumberFormat="1" applyFont="1" applyFill="1" applyBorder="1" applyAlignment="1">
      <alignment horizontal="right"/>
    </xf>
    <xf numFmtId="4" fontId="3" fillId="5" borderId="4" xfId="0" applyNumberFormat="1" applyFont="1" applyFill="1" applyBorder="1" applyAlignment="1">
      <alignment horizontal="center"/>
    </xf>
    <xf numFmtId="0" fontId="46" fillId="5" borderId="13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 wrapText="1"/>
    </xf>
    <xf numFmtId="0" fontId="3" fillId="5" borderId="15" xfId="0" applyFont="1" applyFill="1" applyBorder="1" applyAlignment="1">
      <alignment horizontal="center" wrapText="1"/>
    </xf>
    <xf numFmtId="2" fontId="3" fillId="5" borderId="5" xfId="0" applyNumberFormat="1" applyFont="1" applyFill="1" applyBorder="1" applyAlignment="1">
      <alignment horizontal="right" wrapText="1"/>
    </xf>
    <xf numFmtId="0" fontId="7" fillId="0" borderId="13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4" fontId="3" fillId="0" borderId="4" xfId="0" applyNumberFormat="1" applyFont="1" applyBorder="1" applyAlignment="1">
      <alignment horizontal="center"/>
    </xf>
    <xf numFmtId="0" fontId="9" fillId="0" borderId="4" xfId="1" applyNumberFormat="1" applyFont="1" applyFill="1" applyBorder="1" applyAlignment="1">
      <alignment horizontal="center" vertical="top" wrapText="1"/>
    </xf>
    <xf numFmtId="0" fontId="9" fillId="0" borderId="3" xfId="1" applyNumberFormat="1" applyFont="1" applyFill="1" applyBorder="1" applyAlignment="1">
      <alignment horizontal="center" vertical="top" wrapText="1"/>
    </xf>
    <xf numFmtId="4" fontId="1" fillId="0" borderId="8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2" fontId="1" fillId="0" borderId="3" xfId="0" applyNumberFormat="1" applyFont="1" applyFill="1" applyBorder="1" applyAlignment="1">
      <alignment horizontal="right" vertical="top" wrapText="1"/>
    </xf>
    <xf numFmtId="4" fontId="1" fillId="0" borderId="3" xfId="0" applyNumberFormat="1" applyFont="1" applyFill="1" applyBorder="1" applyAlignment="1">
      <alignment vertical="center" wrapText="1"/>
    </xf>
    <xf numFmtId="0" fontId="3" fillId="4" borderId="1" xfId="0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4" fontId="3" fillId="4" borderId="1" xfId="0" applyNumberFormat="1" applyFont="1" applyFill="1" applyBorder="1" applyAlignment="1">
      <alignment vertical="center"/>
    </xf>
    <xf numFmtId="4" fontId="3" fillId="4" borderId="1" xfId="0" applyNumberFormat="1" applyFont="1" applyFill="1" applyBorder="1" applyAlignment="1">
      <alignment vertical="top"/>
    </xf>
    <xf numFmtId="4" fontId="3" fillId="4" borderId="1" xfId="0" applyNumberFormat="1" applyFont="1" applyFill="1" applyBorder="1" applyAlignment="1">
      <alignment vertical="top" wrapText="1"/>
    </xf>
    <xf numFmtId="4" fontId="1" fillId="5" borderId="1" xfId="0" applyNumberFormat="1" applyFont="1" applyFill="1" applyBorder="1" applyAlignment="1">
      <alignment vertical="center" wrapText="1"/>
    </xf>
    <xf numFmtId="0" fontId="10" fillId="3" borderId="12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center" vertical="top"/>
    </xf>
    <xf numFmtId="4" fontId="3" fillId="4" borderId="1" xfId="0" applyNumberFormat="1" applyFont="1" applyFill="1" applyBorder="1" applyAlignment="1">
      <alignment horizontal="right" vertical="top"/>
    </xf>
    <xf numFmtId="4" fontId="3" fillId="4" borderId="1" xfId="0" applyNumberFormat="1" applyFont="1" applyFill="1" applyBorder="1" applyAlignment="1">
      <alignment horizontal="center" vertical="center" wrapText="1"/>
    </xf>
    <xf numFmtId="4" fontId="3" fillId="4" borderId="3" xfId="0" applyNumberFormat="1" applyFont="1" applyFill="1" applyBorder="1" applyAlignment="1">
      <alignment vertical="top"/>
    </xf>
    <xf numFmtId="4" fontId="3" fillId="4" borderId="1" xfId="0" applyNumberFormat="1" applyFont="1" applyFill="1" applyBorder="1" applyAlignment="1">
      <alignment horizontal="right" wrapText="1"/>
    </xf>
    <xf numFmtId="0" fontId="1" fillId="0" borderId="3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8" fillId="3" borderId="12" xfId="0" applyFont="1" applyFill="1" applyBorder="1" applyAlignment="1">
      <alignment horizontal="left" vertical="top"/>
    </xf>
    <xf numFmtId="0" fontId="16" fillId="0" borderId="4" xfId="0" applyFont="1" applyBorder="1" applyAlignment="1">
      <alignment horizontal="left" vertical="center" wrapText="1"/>
    </xf>
    <xf numFmtId="49" fontId="44" fillId="0" borderId="4" xfId="0" applyNumberFormat="1" applyFont="1" applyFill="1" applyBorder="1" applyAlignment="1">
      <alignment horizontal="center" vertical="top" wrapText="1"/>
    </xf>
    <xf numFmtId="0" fontId="16" fillId="0" borderId="13" xfId="0" applyFont="1" applyFill="1" applyBorder="1" applyAlignment="1">
      <alignment horizontal="center" vertical="top" wrapText="1"/>
    </xf>
    <xf numFmtId="0" fontId="16" fillId="0" borderId="7" xfId="0" applyFont="1" applyFill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44" fillId="0" borderId="4" xfId="1" applyNumberFormat="1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center" vertical="top" wrapText="1"/>
    </xf>
    <xf numFmtId="0" fontId="16" fillId="0" borderId="5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 wrapText="1"/>
    </xf>
    <xf numFmtId="0" fontId="16" fillId="0" borderId="4" xfId="0" applyFont="1" applyFill="1" applyBorder="1" applyAlignment="1">
      <alignment horizontal="left" vertical="top" wrapText="1"/>
    </xf>
    <xf numFmtId="4" fontId="15" fillId="0" borderId="4" xfId="0" applyNumberFormat="1" applyFont="1" applyFill="1" applyBorder="1" applyAlignment="1">
      <alignment horizontal="right" vertical="top"/>
    </xf>
    <xf numFmtId="4" fontId="15" fillId="0" borderId="3" xfId="0" applyNumberFormat="1" applyFont="1" applyFill="1" applyBorder="1" applyAlignment="1">
      <alignment vertical="top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4" fontId="1" fillId="0" borderId="3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center" vertical="top"/>
    </xf>
    <xf numFmtId="0" fontId="10" fillId="3" borderId="12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4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/>
    </xf>
    <xf numFmtId="4" fontId="11" fillId="0" borderId="1" xfId="0" applyNumberFormat="1" applyFont="1" applyFill="1" applyBorder="1" applyAlignment="1">
      <alignment horizontal="right" vertical="top"/>
    </xf>
    <xf numFmtId="4" fontId="49" fillId="0" borderId="1" xfId="0" applyNumberFormat="1" applyFont="1" applyFill="1" applyBorder="1" applyAlignment="1">
      <alignment horizontal="right" vertical="top"/>
    </xf>
    <xf numFmtId="0" fontId="45" fillId="0" borderId="0" xfId="0" applyFont="1"/>
    <xf numFmtId="0" fontId="9" fillId="0" borderId="0" xfId="0" applyFont="1" applyBorder="1" applyAlignment="1">
      <alignment horizontal="right"/>
    </xf>
    <xf numFmtId="4" fontId="13" fillId="0" borderId="0" xfId="0" applyNumberFormat="1" applyFont="1" applyFill="1" applyBorder="1" applyAlignment="1">
      <alignment horizontal="center" vertical="top"/>
    </xf>
    <xf numFmtId="4" fontId="50" fillId="0" borderId="0" xfId="0" applyNumberFormat="1" applyFont="1" applyFill="1" applyBorder="1" applyAlignment="1">
      <alignment vertical="top"/>
    </xf>
    <xf numFmtId="0" fontId="27" fillId="0" borderId="0" xfId="0" applyFont="1" applyBorder="1" applyAlignment="1">
      <alignment horizontal="right" vertical="top" wrapText="1"/>
    </xf>
    <xf numFmtId="0" fontId="28" fillId="0" borderId="0" xfId="0" applyFont="1" applyBorder="1" applyAlignment="1">
      <alignment vertical="top" wrapText="1"/>
    </xf>
    <xf numFmtId="0" fontId="32" fillId="0" borderId="0" xfId="0" applyFont="1"/>
    <xf numFmtId="4" fontId="41" fillId="4" borderId="1" xfId="0" applyNumberFormat="1" applyFont="1" applyFill="1" applyBorder="1" applyAlignment="1">
      <alignment wrapText="1"/>
    </xf>
    <xf numFmtId="4" fontId="41" fillId="0" borderId="1" xfId="0" applyNumberFormat="1" applyFont="1" applyBorder="1" applyAlignment="1">
      <alignment wrapText="1"/>
    </xf>
    <xf numFmtId="0" fontId="52" fillId="3" borderId="1" xfId="0" applyFont="1" applyFill="1" applyBorder="1" applyAlignment="1">
      <alignment vertical="top" wrapText="1"/>
    </xf>
    <xf numFmtId="4" fontId="51" fillId="0" borderId="1" xfId="0" applyNumberFormat="1" applyFont="1" applyFill="1" applyBorder="1" applyAlignment="1">
      <alignment vertical="top" wrapText="1"/>
    </xf>
    <xf numFmtId="4" fontId="51" fillId="0" borderId="1" xfId="0" applyNumberFormat="1" applyFont="1" applyBorder="1" applyAlignment="1">
      <alignment vertical="top" wrapText="1"/>
    </xf>
    <xf numFmtId="165" fontId="51" fillId="0" borderId="1" xfId="0" applyNumberFormat="1" applyFont="1" applyBorder="1" applyAlignment="1">
      <alignment vertical="top" wrapText="1"/>
    </xf>
    <xf numFmtId="4" fontId="51" fillId="5" borderId="3" xfId="0" applyNumberFormat="1" applyFont="1" applyFill="1" applyBorder="1" applyAlignment="1">
      <alignment vertical="top" wrapText="1"/>
    </xf>
    <xf numFmtId="4" fontId="51" fillId="0" borderId="5" xfId="0" applyNumberFormat="1" applyFont="1" applyFill="1" applyBorder="1" applyAlignment="1">
      <alignment horizontal="right" wrapText="1"/>
    </xf>
    <xf numFmtId="4" fontId="51" fillId="0" borderId="1" xfId="0" applyNumberFormat="1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horizontal="center" vertical="top" wrapText="1"/>
    </xf>
    <xf numFmtId="4" fontId="51" fillId="5" borderId="1" xfId="0" applyNumberFormat="1" applyFont="1" applyFill="1" applyBorder="1" applyAlignment="1">
      <alignment vertical="top" wrapText="1"/>
    </xf>
    <xf numFmtId="4" fontId="54" fillId="0" borderId="1" xfId="0" applyNumberFormat="1" applyFont="1" applyFill="1" applyBorder="1" applyAlignment="1">
      <alignment vertical="top" wrapText="1"/>
    </xf>
    <xf numFmtId="4" fontId="51" fillId="4" borderId="1" xfId="0" applyNumberFormat="1" applyFont="1" applyFill="1" applyBorder="1" applyAlignment="1">
      <alignment vertical="top" wrapText="1"/>
    </xf>
    <xf numFmtId="0" fontId="52" fillId="3" borderId="12" xfId="0" applyFont="1" applyFill="1" applyBorder="1" applyAlignment="1">
      <alignment horizontal="left" vertical="top" wrapText="1"/>
    </xf>
    <xf numFmtId="4" fontId="52" fillId="0" borderId="1" xfId="0" applyNumberFormat="1" applyFont="1" applyFill="1" applyBorder="1" applyAlignment="1">
      <alignment horizontal="right" vertical="top" wrapText="1"/>
    </xf>
    <xf numFmtId="2" fontId="51" fillId="0" borderId="5" xfId="0" applyNumberFormat="1" applyFont="1" applyFill="1" applyBorder="1" applyAlignment="1">
      <alignment horizontal="right" wrapText="1"/>
    </xf>
    <xf numFmtId="4" fontId="51" fillId="0" borderId="1" xfId="0" applyNumberFormat="1" applyFont="1" applyBorder="1" applyAlignment="1">
      <alignment wrapText="1"/>
    </xf>
    <xf numFmtId="2" fontId="54" fillId="0" borderId="5" xfId="0" applyNumberFormat="1" applyFont="1" applyFill="1" applyBorder="1" applyAlignment="1">
      <alignment horizontal="right" wrapText="1"/>
    </xf>
    <xf numFmtId="2" fontId="51" fillId="0" borderId="1" xfId="0" applyNumberFormat="1" applyFont="1" applyFill="1" applyBorder="1" applyAlignment="1">
      <alignment horizontal="right" vertical="top" wrapText="1"/>
    </xf>
    <xf numFmtId="2" fontId="54" fillId="0" borderId="1" xfId="0" applyNumberFormat="1" applyFont="1" applyFill="1" applyBorder="1" applyAlignment="1">
      <alignment horizontal="right" vertical="top" wrapText="1"/>
    </xf>
    <xf numFmtId="0" fontId="55" fillId="0" borderId="0" xfId="0" applyFont="1" applyAlignment="1">
      <alignment wrapText="1"/>
    </xf>
    <xf numFmtId="2" fontId="51" fillId="0" borderId="3" xfId="0" applyNumberFormat="1" applyFont="1" applyFill="1" applyBorder="1" applyAlignment="1">
      <alignment horizontal="right" vertical="top" wrapText="1"/>
    </xf>
    <xf numFmtId="4" fontId="51" fillId="5" borderId="3" xfId="0" applyNumberFormat="1" applyFont="1" applyFill="1" applyBorder="1" applyAlignment="1">
      <alignment vertical="center" wrapText="1"/>
    </xf>
    <xf numFmtId="4" fontId="51" fillId="0" borderId="3" xfId="0" applyNumberFormat="1" applyFont="1" applyFill="1" applyBorder="1" applyAlignment="1">
      <alignment vertical="center" wrapText="1"/>
    </xf>
    <xf numFmtId="4" fontId="54" fillId="0" borderId="3" xfId="0" applyNumberFormat="1" applyFont="1" applyFill="1" applyBorder="1" applyAlignment="1">
      <alignment vertical="center" wrapText="1"/>
    </xf>
    <xf numFmtId="4" fontId="51" fillId="0" borderId="1" xfId="0" applyNumberFormat="1" applyFont="1" applyFill="1" applyBorder="1" applyAlignment="1">
      <alignment vertical="center" wrapText="1"/>
    </xf>
    <xf numFmtId="4" fontId="51" fillId="5" borderId="1" xfId="0" applyNumberFormat="1" applyFont="1" applyFill="1" applyBorder="1" applyAlignment="1">
      <alignment vertical="center" wrapText="1"/>
    </xf>
    <xf numFmtId="4" fontId="54" fillId="0" borderId="1" xfId="0" applyNumberFormat="1" applyFont="1" applyFill="1" applyBorder="1" applyAlignment="1">
      <alignment vertical="center" wrapText="1"/>
    </xf>
    <xf numFmtId="0" fontId="51" fillId="0" borderId="0" xfId="0" applyFont="1" applyAlignment="1">
      <alignment wrapText="1"/>
    </xf>
    <xf numFmtId="4" fontId="51" fillId="5" borderId="1" xfId="0" applyNumberFormat="1" applyFont="1" applyFill="1" applyBorder="1" applyAlignment="1">
      <alignment horizontal="left" vertical="top" wrapText="1"/>
    </xf>
    <xf numFmtId="2" fontId="51" fillId="5" borderId="1" xfId="0" applyNumberFormat="1" applyFont="1" applyFill="1" applyBorder="1" applyAlignment="1">
      <alignment horizontal="left" vertical="top" wrapText="1"/>
    </xf>
    <xf numFmtId="2" fontId="51" fillId="5" borderId="5" xfId="0" applyNumberFormat="1" applyFont="1" applyFill="1" applyBorder="1" applyAlignment="1">
      <alignment horizontal="left" vertical="top" wrapText="1"/>
    </xf>
    <xf numFmtId="4" fontId="17" fillId="0" borderId="4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right" vertical="top" wrapText="1"/>
    </xf>
    <xf numFmtId="0" fontId="13" fillId="0" borderId="1" xfId="0" applyFont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left" vertical="top"/>
    </xf>
    <xf numFmtId="49" fontId="9" fillId="0" borderId="5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right"/>
    </xf>
    <xf numFmtId="0" fontId="3" fillId="0" borderId="4" xfId="0" applyFont="1" applyFill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/>
    </xf>
    <xf numFmtId="4" fontId="3" fillId="0" borderId="1" xfId="0" applyNumberFormat="1" applyFont="1" applyBorder="1" applyAlignment="1">
      <alignment horizontal="right"/>
    </xf>
    <xf numFmtId="0" fontId="1" fillId="0" borderId="3" xfId="0" applyFont="1" applyBorder="1" applyAlignment="1">
      <alignment horizontal="left" vertical="top" wrapText="1"/>
    </xf>
    <xf numFmtId="3" fontId="18" fillId="0" borderId="3" xfId="0" applyNumberFormat="1" applyFont="1" applyFill="1" applyBorder="1" applyAlignment="1">
      <alignment horizontal="center" vertical="top" wrapText="1"/>
    </xf>
    <xf numFmtId="4" fontId="15" fillId="0" borderId="3" xfId="0" applyNumberFormat="1" applyFont="1" applyBorder="1" applyAlignment="1">
      <alignment vertical="center"/>
    </xf>
    <xf numFmtId="4" fontId="16" fillId="0" borderId="3" xfId="0" applyNumberFormat="1" applyFont="1" applyFill="1" applyBorder="1" applyAlignment="1">
      <alignment vertical="center"/>
    </xf>
    <xf numFmtId="0" fontId="16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 shrinkToFit="1"/>
    </xf>
    <xf numFmtId="4" fontId="7" fillId="0" borderId="4" xfId="0" applyNumberFormat="1" applyFont="1" applyBorder="1" applyAlignment="1">
      <alignment horizontal="left" vertical="center"/>
    </xf>
    <xf numFmtId="4" fontId="1" fillId="0" borderId="1" xfId="0" applyNumberFormat="1" applyFont="1" applyFill="1" applyBorder="1" applyAlignment="1">
      <alignment horizontal="right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0" fillId="3" borderId="12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4" fontId="16" fillId="0" borderId="8" xfId="0" applyNumberFormat="1" applyFont="1" applyFill="1" applyBorder="1" applyAlignment="1">
      <alignment vertical="top"/>
    </xf>
    <xf numFmtId="0" fontId="16" fillId="0" borderId="0" xfId="0" applyFont="1" applyFill="1" applyBorder="1" applyAlignment="1">
      <alignment horizontal="center" vertical="top" wrapText="1"/>
    </xf>
    <xf numFmtId="0" fontId="16" fillId="0" borderId="15" xfId="0" applyFont="1" applyFill="1" applyBorder="1" applyAlignment="1">
      <alignment horizontal="center" vertical="top" wrapText="1"/>
    </xf>
    <xf numFmtId="2" fontId="16" fillId="0" borderId="3" xfId="0" applyNumberFormat="1" applyFont="1" applyFill="1" applyBorder="1" applyAlignment="1">
      <alignment horizontal="right" vertical="top" wrapText="1"/>
    </xf>
    <xf numFmtId="2" fontId="54" fillId="0" borderId="3" xfId="0" applyNumberFormat="1" applyFont="1" applyFill="1" applyBorder="1" applyAlignment="1">
      <alignment horizontal="right" vertical="top" wrapText="1"/>
    </xf>
    <xf numFmtId="0" fontId="10" fillId="3" borderId="12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0" fontId="13" fillId="0" borderId="1" xfId="0" applyFont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vertical="center"/>
    </xf>
    <xf numFmtId="4" fontId="3" fillId="0" borderId="5" xfId="0" applyNumberFormat="1" applyFont="1" applyFill="1" applyBorder="1" applyAlignment="1">
      <alignment horizontal="right" vertical="top"/>
    </xf>
    <xf numFmtId="4" fontId="3" fillId="0" borderId="3" xfId="0" applyNumberFormat="1" applyFont="1" applyBorder="1" applyAlignment="1">
      <alignment horizontal="right"/>
    </xf>
    <xf numFmtId="0" fontId="3" fillId="0" borderId="4" xfId="0" applyFont="1" applyFill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vertical="top" wrapText="1"/>
    </xf>
    <xf numFmtId="0" fontId="58" fillId="5" borderId="1" xfId="0" applyFont="1" applyFill="1" applyBorder="1" applyAlignment="1">
      <alignment vertical="top" wrapText="1"/>
    </xf>
    <xf numFmtId="0" fontId="58" fillId="5" borderId="1" xfId="0" applyFont="1" applyFill="1" applyBorder="1" applyAlignment="1">
      <alignment vertical="top"/>
    </xf>
    <xf numFmtId="4" fontId="4" fillId="0" borderId="0" xfId="0" applyNumberFormat="1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left" vertical="top" wrapText="1"/>
    </xf>
    <xf numFmtId="4" fontId="3" fillId="0" borderId="3" xfId="0" applyNumberFormat="1" applyFont="1" applyBorder="1" applyAlignment="1">
      <alignment horizontal="right"/>
    </xf>
    <xf numFmtId="0" fontId="1" fillId="0" borderId="1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1" fillId="0" borderId="4" xfId="0" applyFont="1" applyBorder="1" applyAlignment="1">
      <alignment horizontal="left" vertical="center" wrapText="1"/>
    </xf>
    <xf numFmtId="4" fontId="51" fillId="0" borderId="1" xfId="0" applyNumberFormat="1" applyFont="1" applyFill="1" applyBorder="1" applyAlignment="1">
      <alignment horizontal="right" wrapText="1"/>
    </xf>
    <xf numFmtId="4" fontId="1" fillId="0" borderId="5" xfId="0" applyNumberFormat="1" applyFont="1" applyBorder="1" applyAlignment="1">
      <alignment horizontal="right" vertical="top"/>
    </xf>
    <xf numFmtId="0" fontId="59" fillId="0" borderId="1" xfId="0" applyFont="1" applyFill="1" applyBorder="1" applyAlignment="1">
      <alignment vertical="top" wrapText="1"/>
    </xf>
    <xf numFmtId="0" fontId="44" fillId="0" borderId="0" xfId="0" applyFont="1"/>
    <xf numFmtId="0" fontId="10" fillId="3" borderId="12" xfId="0" applyFont="1" applyFill="1" applyBorder="1" applyAlignment="1">
      <alignment horizontal="left" vertical="top"/>
    </xf>
    <xf numFmtId="0" fontId="17" fillId="0" borderId="5" xfId="0" applyFont="1" applyBorder="1" applyAlignment="1">
      <alignment horizontal="center" vertical="top" wrapText="1"/>
    </xf>
    <xf numFmtId="0" fontId="60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/>
    </xf>
    <xf numFmtId="0" fontId="16" fillId="0" borderId="1" xfId="0" applyFont="1" applyFill="1" applyBorder="1" applyAlignment="1">
      <alignment horizontal="center" wrapText="1"/>
    </xf>
    <xf numFmtId="4" fontId="54" fillId="0" borderId="3" xfId="0" applyNumberFormat="1" applyFont="1" applyFill="1" applyBorder="1" applyAlignment="1">
      <alignment vertical="top" wrapText="1"/>
    </xf>
    <xf numFmtId="4" fontId="16" fillId="0" borderId="3" xfId="0" applyNumberFormat="1" applyFont="1" applyFill="1" applyBorder="1" applyAlignment="1">
      <alignment horizontal="right" vertical="top" wrapText="1"/>
    </xf>
    <xf numFmtId="0" fontId="44" fillId="0" borderId="3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/>
    </xf>
    <xf numFmtId="0" fontId="28" fillId="0" borderId="0" xfId="0" applyFont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4" fontId="3" fillId="0" borderId="3" xfId="0" applyNumberFormat="1" applyFont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0" fontId="6" fillId="0" borderId="0" xfId="0" applyFont="1" applyBorder="1" applyAlignment="1">
      <alignment horizontal="center" vertical="top" wrapText="1"/>
    </xf>
    <xf numFmtId="0" fontId="0" fillId="0" borderId="0" xfId="0" applyAlignment="1"/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0" fillId="3" borderId="10" xfId="0" applyFont="1" applyFill="1" applyBorder="1" applyAlignment="1">
      <alignment horizontal="left" vertical="top"/>
    </xf>
    <xf numFmtId="0" fontId="10" fillId="3" borderId="11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center" vertical="top"/>
    </xf>
    <xf numFmtId="0" fontId="9" fillId="0" borderId="3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right"/>
    </xf>
    <xf numFmtId="4" fontId="3" fillId="0" borderId="4" xfId="0" applyNumberFormat="1" applyFont="1" applyFill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0" fontId="9" fillId="0" borderId="3" xfId="1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4" fontId="3" fillId="0" borderId="3" xfId="0" applyNumberFormat="1" applyFont="1" applyBorder="1" applyAlignment="1">
      <alignment horizontal="right" vertical="top"/>
    </xf>
    <xf numFmtId="4" fontId="3" fillId="0" borderId="5" xfId="0" applyNumberFormat="1" applyFont="1" applyBorder="1" applyAlignment="1">
      <alignment horizontal="right" vertical="top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25" fillId="0" borderId="0" xfId="0" applyFont="1" applyAlignment="1">
      <alignment horizontal="right"/>
    </xf>
    <xf numFmtId="0" fontId="0" fillId="0" borderId="0" xfId="0" applyAlignment="1">
      <alignment wrapText="1"/>
    </xf>
    <xf numFmtId="0" fontId="9" fillId="4" borderId="3" xfId="0" applyFont="1" applyFill="1" applyBorder="1" applyAlignment="1">
      <alignment vertical="top"/>
    </xf>
    <xf numFmtId="0" fontId="3" fillId="4" borderId="3" xfId="0" applyFont="1" applyFill="1" applyBorder="1" applyAlignment="1">
      <alignment horizontal="center" vertical="top" wrapText="1"/>
    </xf>
    <xf numFmtId="0" fontId="57" fillId="4" borderId="1" xfId="0" applyFont="1" applyFill="1" applyBorder="1" applyAlignment="1">
      <alignment horizontal="left" vertical="top" wrapText="1"/>
    </xf>
    <xf numFmtId="4" fontId="16" fillId="0" borderId="3" xfId="0" applyNumberFormat="1" applyFont="1" applyFill="1" applyBorder="1" applyAlignment="1">
      <alignment horizontal="right"/>
    </xf>
    <xf numFmtId="4" fontId="16" fillId="0" borderId="4" xfId="0" applyNumberFormat="1" applyFont="1" applyFill="1" applyBorder="1" applyAlignment="1">
      <alignment horizontal="center"/>
    </xf>
    <xf numFmtId="4" fontId="32" fillId="0" borderId="4" xfId="0" applyNumberFormat="1" applyFont="1" applyBorder="1" applyAlignment="1">
      <alignment horizontal="left" vertical="center"/>
    </xf>
    <xf numFmtId="0" fontId="44" fillId="0" borderId="4" xfId="0" applyFont="1" applyBorder="1" applyAlignment="1">
      <alignment horizontal="center" vertical="top"/>
    </xf>
    <xf numFmtId="0" fontId="16" fillId="0" borderId="5" xfId="0" applyFont="1" applyFill="1" applyBorder="1" applyAlignment="1">
      <alignment vertical="top" wrapText="1"/>
    </xf>
    <xf numFmtId="0" fontId="48" fillId="0" borderId="5" xfId="0" applyFont="1" applyFill="1" applyBorder="1" applyAlignment="1">
      <alignment horizontal="center" vertical="top"/>
    </xf>
    <xf numFmtId="0" fontId="17" fillId="0" borderId="4" xfId="0" applyFont="1" applyFill="1" applyBorder="1" applyAlignment="1">
      <alignment horizontal="center" vertical="top" wrapText="1"/>
    </xf>
    <xf numFmtId="0" fontId="44" fillId="0" borderId="5" xfId="0" applyFont="1" applyFill="1" applyBorder="1" applyAlignment="1">
      <alignment horizontal="center" vertical="top"/>
    </xf>
    <xf numFmtId="0" fontId="16" fillId="0" borderId="4" xfId="0" applyFont="1" applyBorder="1" applyAlignment="1">
      <alignment horizontal="left" vertical="top" wrapText="1"/>
    </xf>
    <xf numFmtId="4" fontId="15" fillId="0" borderId="4" xfId="0" applyNumberFormat="1" applyFont="1" applyBorder="1" applyAlignment="1">
      <alignment horizontal="right"/>
    </xf>
    <xf numFmtId="4" fontId="16" fillId="0" borderId="4" xfId="0" applyNumberFormat="1" applyFont="1" applyFill="1" applyBorder="1" applyAlignment="1">
      <alignment horizontal="right" vertical="top" wrapText="1"/>
    </xf>
    <xf numFmtId="0" fontId="17" fillId="0" borderId="1" xfId="0" applyFont="1" applyFill="1" applyBorder="1"/>
    <xf numFmtId="4" fontId="54" fillId="0" borderId="1" xfId="0" applyNumberFormat="1" applyFont="1" applyBorder="1" applyAlignment="1">
      <alignment wrapText="1"/>
    </xf>
    <xf numFmtId="0" fontId="17" fillId="0" borderId="1" xfId="0" applyFont="1" applyBorder="1"/>
    <xf numFmtId="0" fontId="42" fillId="0" borderId="0" xfId="0" applyFont="1" applyAlignment="1"/>
    <xf numFmtId="0" fontId="28" fillId="0" borderId="0" xfId="0" applyFont="1" applyBorder="1" applyAlignment="1">
      <alignment horizontal="center" vertical="top" wrapText="1"/>
    </xf>
    <xf numFmtId="0" fontId="27" fillId="0" borderId="0" xfId="0" applyFont="1" applyAlignment="1">
      <alignment horizontal="right"/>
    </xf>
    <xf numFmtId="0" fontId="26" fillId="0" borderId="0" xfId="0" applyFont="1" applyAlignment="1"/>
    <xf numFmtId="0" fontId="7" fillId="0" borderId="14" xfId="0" applyFont="1" applyBorder="1"/>
    <xf numFmtId="0" fontId="7" fillId="0" borderId="15" xfId="0" applyFont="1" applyBorder="1"/>
    <xf numFmtId="0" fontId="17" fillId="0" borderId="14" xfId="0" applyFont="1" applyBorder="1"/>
    <xf numFmtId="0" fontId="17" fillId="0" borderId="15" xfId="0" applyFont="1" applyBorder="1"/>
    <xf numFmtId="0" fontId="13" fillId="0" borderId="0" xfId="0" applyFont="1" applyBorder="1" applyAlignment="1">
      <alignment horizontal="right" vertical="top" wrapText="1"/>
    </xf>
    <xf numFmtId="4" fontId="29" fillId="0" borderId="0" xfId="0" applyNumberFormat="1" applyFont="1" applyBorder="1" applyAlignment="1">
      <alignment vertical="top" wrapText="1"/>
    </xf>
    <xf numFmtId="4" fontId="4" fillId="5" borderId="1" xfId="0" applyNumberFormat="1" applyFont="1" applyFill="1" applyBorder="1" applyAlignment="1">
      <alignment vertical="top"/>
    </xf>
    <xf numFmtId="4" fontId="13" fillId="0" borderId="1" xfId="0" applyNumberFormat="1" applyFont="1" applyBorder="1" applyAlignment="1">
      <alignment horizontal="right" vertical="top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/>
    </xf>
    <xf numFmtId="0" fontId="24" fillId="0" borderId="0" xfId="0" applyFont="1" applyBorder="1" applyAlignment="1">
      <alignment horizontal="center" vertical="top" wrapText="1"/>
    </xf>
    <xf numFmtId="0" fontId="19" fillId="0" borderId="0" xfId="0" applyFont="1" applyAlignment="1">
      <alignment horizontal="right"/>
    </xf>
    <xf numFmtId="0" fontId="19" fillId="0" borderId="0" xfId="0" applyFont="1" applyBorder="1" applyAlignment="1">
      <alignment horizontal="right" vertical="top" wrapText="1"/>
    </xf>
    <xf numFmtId="49" fontId="41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left"/>
    </xf>
    <xf numFmtId="0" fontId="53" fillId="0" borderId="0" xfId="0" applyFont="1"/>
    <xf numFmtId="4" fontId="41" fillId="0" borderId="0" xfId="0" applyNumberFormat="1" applyFont="1" applyFill="1" applyBorder="1" applyAlignment="1">
      <alignment vertical="top"/>
    </xf>
    <xf numFmtId="0" fontId="63" fillId="0" borderId="0" xfId="0" applyFont="1" applyFill="1" applyBorder="1" applyAlignment="1">
      <alignment vertical="top" wrapText="1"/>
    </xf>
    <xf numFmtId="0" fontId="53" fillId="0" borderId="0" xfId="0" applyFont="1" applyFill="1" applyBorder="1"/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4" xfId="0" applyFont="1" applyFill="1" applyBorder="1" applyAlignment="1">
      <alignment vertical="top" wrapText="1"/>
    </xf>
    <xf numFmtId="0" fontId="32" fillId="0" borderId="1" xfId="0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/>
    </xf>
    <xf numFmtId="4" fontId="51" fillId="0" borderId="5" xfId="0" applyNumberFormat="1" applyFont="1" applyFill="1" applyBorder="1" applyAlignment="1">
      <alignment horizontal="center" vertical="center" wrapText="1"/>
    </xf>
    <xf numFmtId="3" fontId="16" fillId="0" borderId="1" xfId="0" applyNumberFormat="1" applyFont="1" applyFill="1" applyBorder="1" applyAlignment="1">
      <alignment horizontal="center" vertical="top" wrapText="1"/>
    </xf>
    <xf numFmtId="4" fontId="16" fillId="0" borderId="5" xfId="0" applyNumberFormat="1" applyFont="1" applyFill="1" applyBorder="1" applyAlignment="1">
      <alignment horizontal="center" vertical="top"/>
    </xf>
    <xf numFmtId="4" fontId="16" fillId="0" borderId="5" xfId="0" applyNumberFormat="1" applyFont="1" applyFill="1" applyBorder="1" applyAlignment="1">
      <alignment vertical="top"/>
    </xf>
    <xf numFmtId="4" fontId="54" fillId="0" borderId="5" xfId="0" applyNumberFormat="1" applyFont="1" applyFill="1" applyBorder="1" applyAlignment="1">
      <alignment horizontal="center" vertical="center" wrapText="1"/>
    </xf>
    <xf numFmtId="4" fontId="15" fillId="0" borderId="5" xfId="0" applyNumberFormat="1" applyFont="1" applyFill="1" applyBorder="1" applyAlignment="1">
      <alignment horizontal="right"/>
    </xf>
    <xf numFmtId="4" fontId="16" fillId="0" borderId="1" xfId="0" applyNumberFormat="1" applyFont="1" applyFill="1" applyBorder="1" applyAlignment="1">
      <alignment horizontal="right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vertical="top"/>
    </xf>
    <xf numFmtId="0" fontId="7" fillId="0" borderId="0" xfId="0" applyFont="1" applyFill="1" applyBorder="1"/>
    <xf numFmtId="0" fontId="4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/>
    <xf numFmtId="0" fontId="27" fillId="0" borderId="0" xfId="0" applyFont="1" applyFill="1" applyBorder="1" applyAlignment="1">
      <alignment horizontal="right" vertical="top" wrapText="1"/>
    </xf>
    <xf numFmtId="0" fontId="13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" fillId="0" borderId="1" xfId="0" applyNumberFormat="1" applyFont="1" applyFill="1" applyBorder="1" applyAlignment="1">
      <alignment vertical="top"/>
    </xf>
    <xf numFmtId="165" fontId="51" fillId="0" borderId="1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14" fontId="44" fillId="0" borderId="4" xfId="0" applyNumberFormat="1" applyFont="1" applyFill="1" applyBorder="1" applyAlignment="1">
      <alignment horizontal="center" vertical="top" wrapText="1"/>
    </xf>
    <xf numFmtId="4" fontId="16" fillId="0" borderId="3" xfId="0" applyNumberFormat="1" applyFont="1" applyFill="1" applyBorder="1" applyAlignment="1">
      <alignment horizontal="left" vertical="top" wrapText="1"/>
    </xf>
    <xf numFmtId="14" fontId="9" fillId="0" borderId="4" xfId="0" applyNumberFormat="1" applyFont="1" applyFill="1" applyBorder="1" applyAlignment="1">
      <alignment horizontal="center" vertical="top" wrapText="1"/>
    </xf>
    <xf numFmtId="4" fontId="51" fillId="0" borderId="1" xfId="0" applyNumberFormat="1" applyFont="1" applyFill="1" applyBorder="1" applyAlignment="1">
      <alignment horizontal="left" vertical="top" wrapText="1"/>
    </xf>
    <xf numFmtId="0" fontId="17" fillId="0" borderId="5" xfId="0" applyFont="1" applyFill="1" applyBorder="1" applyAlignment="1">
      <alignment horizontal="center" vertical="top" wrapText="1"/>
    </xf>
    <xf numFmtId="0" fontId="45" fillId="0" borderId="0" xfId="0" applyFont="1" applyFill="1"/>
    <xf numFmtId="0" fontId="44" fillId="0" borderId="4" xfId="0" applyFont="1" applyFill="1" applyBorder="1" applyAlignment="1">
      <alignment horizontal="center" vertical="top"/>
    </xf>
    <xf numFmtId="4" fontId="51" fillId="0" borderId="1" xfId="0" applyNumberFormat="1" applyFont="1" applyFill="1" applyBorder="1" applyAlignment="1">
      <alignment wrapText="1"/>
    </xf>
    <xf numFmtId="4" fontId="54" fillId="0" borderId="1" xfId="0" applyNumberFormat="1" applyFont="1" applyFill="1" applyBorder="1" applyAlignment="1">
      <alignment wrapText="1"/>
    </xf>
    <xf numFmtId="0" fontId="19" fillId="0" borderId="1" xfId="0" applyFont="1" applyFill="1" applyBorder="1"/>
    <xf numFmtId="0" fontId="7" fillId="0" borderId="14" xfId="0" applyFont="1" applyFill="1" applyBorder="1"/>
    <xf numFmtId="0" fontId="7" fillId="0" borderId="15" xfId="0" applyFont="1" applyFill="1" applyBorder="1"/>
    <xf numFmtId="0" fontId="17" fillId="0" borderId="15" xfId="0" applyFont="1" applyFill="1" applyBorder="1"/>
    <xf numFmtId="0" fontId="19" fillId="0" borderId="0" xfId="0" applyFont="1" applyFill="1"/>
    <xf numFmtId="0" fontId="9" fillId="0" borderId="0" xfId="0" applyFont="1" applyFill="1"/>
    <xf numFmtId="0" fontId="55" fillId="0" borderId="0" xfId="0" applyFont="1" applyFill="1" applyAlignment="1">
      <alignment wrapText="1"/>
    </xf>
    <xf numFmtId="0" fontId="4" fillId="0" borderId="0" xfId="0" applyFont="1" applyFill="1"/>
    <xf numFmtId="0" fontId="44" fillId="0" borderId="0" xfId="0" applyFont="1" applyFill="1"/>
    <xf numFmtId="0" fontId="9" fillId="0" borderId="0" xfId="0" applyFont="1" applyFill="1" applyAlignment="1">
      <alignment wrapText="1"/>
    </xf>
    <xf numFmtId="0" fontId="32" fillId="0" borderId="0" xfId="0" applyFont="1" applyFill="1"/>
    <xf numFmtId="0" fontId="51" fillId="0" borderId="0" xfId="0" applyFont="1" applyFill="1" applyAlignment="1">
      <alignment wrapText="1"/>
    </xf>
    <xf numFmtId="0" fontId="46" fillId="0" borderId="0" xfId="0" applyFont="1" applyFill="1" applyBorder="1"/>
    <xf numFmtId="4" fontId="64" fillId="0" borderId="1" xfId="0" applyNumberFormat="1" applyFont="1" applyFill="1" applyBorder="1" applyAlignment="1">
      <alignment wrapText="1"/>
    </xf>
    <xf numFmtId="4" fontId="56" fillId="0" borderId="1" xfId="0" applyNumberFormat="1" applyFont="1" applyFill="1" applyBorder="1" applyAlignment="1">
      <alignment vertical="top" wrapText="1"/>
    </xf>
    <xf numFmtId="4" fontId="1" fillId="0" borderId="1" xfId="0" applyNumberFormat="1" applyFont="1" applyFill="1" applyBorder="1" applyAlignment="1"/>
    <xf numFmtId="0" fontId="16" fillId="0" borderId="4" xfId="0" applyFont="1" applyFill="1" applyBorder="1" applyAlignment="1">
      <alignment horizontal="center" vertical="top"/>
    </xf>
    <xf numFmtId="4" fontId="16" fillId="0" borderId="1" xfId="0" applyNumberFormat="1" applyFont="1" applyFill="1" applyBorder="1" applyAlignment="1"/>
    <xf numFmtId="0" fontId="1" fillId="0" borderId="4" xfId="0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top"/>
    </xf>
    <xf numFmtId="0" fontId="66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right"/>
    </xf>
    <xf numFmtId="4" fontId="16" fillId="0" borderId="5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 vertical="top"/>
    </xf>
    <xf numFmtId="0" fontId="0" fillId="0" borderId="4" xfId="0" applyFont="1" applyFill="1" applyBorder="1" applyAlignment="1">
      <alignment horizontal="center" vertical="top" wrapText="1"/>
    </xf>
    <xf numFmtId="0" fontId="65" fillId="0" borderId="5" xfId="0" applyFont="1" applyFill="1" applyBorder="1" applyAlignment="1">
      <alignment horizontal="center" vertical="top"/>
    </xf>
    <xf numFmtId="4" fontId="16" fillId="0" borderId="4" xfId="0" applyNumberFormat="1" applyFont="1" applyFill="1" applyBorder="1" applyAlignment="1">
      <alignment horizontal="right"/>
    </xf>
    <xf numFmtId="4" fontId="1" fillId="0" borderId="4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right" vertical="top"/>
    </xf>
    <xf numFmtId="4" fontId="16" fillId="0" borderId="4" xfId="0" applyNumberFormat="1" applyFont="1" applyFill="1" applyBorder="1" applyAlignment="1">
      <alignment horizontal="right" vertical="top"/>
    </xf>
    <xf numFmtId="3" fontId="4" fillId="0" borderId="1" xfId="0" applyNumberFormat="1" applyFont="1" applyFill="1" applyBorder="1" applyAlignment="1">
      <alignment horizontal="center" vertical="top" wrapText="1"/>
    </xf>
    <xf numFmtId="3" fontId="32" fillId="0" borderId="3" xfId="0" applyNumberFormat="1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0" fillId="0" borderId="13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top"/>
    </xf>
    <xf numFmtId="4" fontId="1" fillId="0" borderId="1" xfId="0" applyNumberFormat="1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" fontId="51" fillId="0" borderId="3" xfId="0" applyNumberFormat="1" applyFont="1" applyFill="1" applyBorder="1" applyAlignment="1">
      <alignment vertical="top" wrapText="1"/>
    </xf>
    <xf numFmtId="4" fontId="1" fillId="0" borderId="5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32" fillId="0" borderId="0" xfId="0" applyFont="1" applyFill="1" applyBorder="1"/>
    <xf numFmtId="0" fontId="4" fillId="0" borderId="0" xfId="0" applyFont="1" applyFill="1" applyBorder="1"/>
    <xf numFmtId="0" fontId="32" fillId="0" borderId="13" xfId="0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1" fillId="0" borderId="3" xfId="0" applyFont="1" applyBorder="1" applyAlignment="1">
      <alignment horizontal="left" vertical="top" wrapText="1"/>
    </xf>
    <xf numFmtId="4" fontId="3" fillId="0" borderId="5" xfId="0" applyNumberFormat="1" applyFont="1" applyBorder="1" applyAlignment="1">
      <alignment horizontal="right" vertical="top"/>
    </xf>
    <xf numFmtId="0" fontId="1" fillId="0" borderId="3" xfId="0" applyFont="1" applyFill="1" applyBorder="1" applyAlignment="1">
      <alignment vertical="top" wrapText="1"/>
    </xf>
    <xf numFmtId="4" fontId="3" fillId="0" borderId="4" xfId="0" applyNumberFormat="1" applyFont="1" applyBorder="1" applyAlignment="1">
      <alignment horizontal="center" vertical="top"/>
    </xf>
    <xf numFmtId="0" fontId="12" fillId="0" borderId="0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right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3" xfId="0" applyNumberFormat="1" applyFont="1" applyBorder="1" applyAlignment="1">
      <alignment horizontal="right" vertical="top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4" fontId="1" fillId="0" borderId="5" xfId="0" applyNumberFormat="1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4" fontId="15" fillId="0" borderId="3" xfId="0" applyNumberFormat="1" applyFont="1" applyBorder="1" applyAlignment="1">
      <alignment vertical="top"/>
    </xf>
    <xf numFmtId="0" fontId="60" fillId="0" borderId="13" xfId="0" applyFont="1" applyFill="1" applyBorder="1" applyAlignment="1">
      <alignment horizontal="center" vertical="top" wrapText="1"/>
    </xf>
    <xf numFmtId="0" fontId="15" fillId="0" borderId="13" xfId="0" applyFont="1" applyFill="1" applyBorder="1" applyAlignment="1">
      <alignment horizontal="center" vertical="top"/>
    </xf>
    <xf numFmtId="0" fontId="16" fillId="0" borderId="7" xfId="0" applyFont="1" applyFill="1" applyBorder="1" applyAlignment="1">
      <alignment horizontal="center" wrapText="1"/>
    </xf>
    <xf numFmtId="0" fontId="17" fillId="0" borderId="4" xfId="0" applyFont="1" applyBorder="1" applyAlignment="1">
      <alignment vertical="top" wrapText="1"/>
    </xf>
    <xf numFmtId="4" fontId="15" fillId="0" borderId="5" xfId="0" applyNumberFormat="1" applyFont="1" applyBorder="1" applyAlignment="1">
      <alignment horizontal="right" vertical="top"/>
    </xf>
    <xf numFmtId="0" fontId="60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vertical="top"/>
    </xf>
    <xf numFmtId="0" fontId="16" fillId="0" borderId="4" xfId="0" applyFont="1" applyFill="1" applyBorder="1" applyAlignment="1">
      <alignment vertical="top" wrapText="1"/>
    </xf>
    <xf numFmtId="0" fontId="21" fillId="0" borderId="27" xfId="0" applyFont="1" applyFill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49" fontId="9" fillId="0" borderId="4" xfId="0" applyNumberFormat="1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5" xfId="0" applyNumberFormat="1" applyFont="1" applyFill="1" applyBorder="1" applyAlignment="1">
      <alignment horizontal="right"/>
    </xf>
    <xf numFmtId="4" fontId="1" fillId="0" borderId="4" xfId="0" applyNumberFormat="1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3" xfId="0" applyNumberFormat="1" applyFont="1" applyFill="1" applyBorder="1" applyAlignment="1">
      <alignment horizontal="right"/>
    </xf>
    <xf numFmtId="0" fontId="45" fillId="0" borderId="13" xfId="0" applyFont="1" applyFill="1" applyBorder="1" applyAlignment="1">
      <alignment horizontal="center" vertical="top" wrapText="1"/>
    </xf>
    <xf numFmtId="0" fontId="1" fillId="0" borderId="13" xfId="0" applyFont="1" applyFill="1" applyBorder="1" applyAlignment="1">
      <alignment horizontal="center" vertical="top"/>
    </xf>
    <xf numFmtId="0" fontId="1" fillId="0" borderId="7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vertical="top" wrapText="1"/>
    </xf>
    <xf numFmtId="14" fontId="57" fillId="0" borderId="4" xfId="0" applyNumberFormat="1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top" wrapText="1"/>
    </xf>
    <xf numFmtId="4" fontId="67" fillId="0" borderId="3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wrapText="1"/>
    </xf>
    <xf numFmtId="4" fontId="56" fillId="0" borderId="1" xfId="0" applyNumberFormat="1" applyFont="1" applyFill="1" applyBorder="1" applyAlignment="1">
      <alignment horizontal="left" vertical="top" wrapText="1"/>
    </xf>
    <xf numFmtId="4" fontId="56" fillId="0" borderId="3" xfId="0" applyNumberFormat="1" applyFont="1" applyFill="1" applyBorder="1" applyAlignment="1">
      <alignment vertical="top" wrapText="1"/>
    </xf>
    <xf numFmtId="0" fontId="12" fillId="0" borderId="13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/>
    </xf>
    <xf numFmtId="4" fontId="56" fillId="0" borderId="1" xfId="0" applyNumberFormat="1" applyFont="1" applyFill="1" applyBorder="1" applyAlignment="1">
      <alignment horizontal="center" vertical="center" wrapText="1"/>
    </xf>
    <xf numFmtId="49" fontId="57" fillId="0" borderId="1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57" fillId="0" borderId="4" xfId="0" applyFont="1" applyFill="1" applyBorder="1" applyAlignment="1">
      <alignment horizontal="center" vertical="top"/>
    </xf>
    <xf numFmtId="0" fontId="46" fillId="0" borderId="1" xfId="0" applyFont="1" applyFill="1" applyBorder="1" applyAlignment="1">
      <alignment horizontal="left" vertical="top" wrapText="1"/>
    </xf>
    <xf numFmtId="0" fontId="1" fillId="0" borderId="10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4" fontId="1" fillId="0" borderId="2" xfId="0" applyNumberFormat="1" applyFont="1" applyFill="1" applyBorder="1" applyAlignment="1">
      <alignment horizontal="right" vertical="top"/>
    </xf>
    <xf numFmtId="4" fontId="1" fillId="0" borderId="11" xfId="0" applyNumberFormat="1" applyFont="1" applyFill="1" applyBorder="1" applyAlignment="1">
      <alignment vertical="top"/>
    </xf>
    <xf numFmtId="4" fontId="1" fillId="0" borderId="12" xfId="0" applyNumberFormat="1" applyFont="1" applyFill="1" applyBorder="1" applyAlignment="1">
      <alignment vertical="top"/>
    </xf>
    <xf numFmtId="4" fontId="16" fillId="0" borderId="12" xfId="0" applyNumberFormat="1" applyFont="1" applyFill="1" applyBorder="1" applyAlignment="1">
      <alignment vertical="top"/>
    </xf>
    <xf numFmtId="4" fontId="51" fillId="0" borderId="12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left" vertical="center"/>
    </xf>
    <xf numFmtId="4" fontId="32" fillId="0" borderId="1" xfId="0" applyNumberFormat="1" applyFont="1" applyFill="1" applyBorder="1" applyAlignment="1">
      <alignment horizontal="left" vertical="center"/>
    </xf>
    <xf numFmtId="4" fontId="1" fillId="0" borderId="5" xfId="0" applyNumberFormat="1" applyFont="1" applyFill="1" applyBorder="1" applyAlignment="1">
      <alignment horizontal="right" vertical="top"/>
    </xf>
    <xf numFmtId="4" fontId="3" fillId="0" borderId="1" xfId="0" applyNumberFormat="1" applyFont="1" applyFill="1" applyBorder="1" applyAlignment="1">
      <alignment horizontal="right" vertical="top" wrapText="1"/>
    </xf>
    <xf numFmtId="4" fontId="15" fillId="0" borderId="1" xfId="0" applyNumberFormat="1" applyFont="1" applyFill="1" applyBorder="1" applyAlignment="1">
      <alignment horizontal="right" vertical="top" wrapText="1"/>
    </xf>
    <xf numFmtId="2" fontId="56" fillId="0" borderId="1" xfId="0" applyNumberFormat="1" applyFont="1" applyFill="1" applyBorder="1" applyAlignment="1">
      <alignment horizontal="left" vertical="top" wrapText="1"/>
    </xf>
    <xf numFmtId="0" fontId="46" fillId="0" borderId="1" xfId="0" applyFont="1" applyFill="1" applyBorder="1"/>
    <xf numFmtId="4" fontId="56" fillId="0" borderId="1" xfId="0" applyNumberFormat="1" applyFont="1" applyFill="1" applyBorder="1" applyAlignment="1">
      <alignment wrapText="1"/>
    </xf>
    <xf numFmtId="0" fontId="46" fillId="0" borderId="1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wrapText="1"/>
    </xf>
    <xf numFmtId="4" fontId="3" fillId="0" borderId="4" xfId="0" applyNumberFormat="1" applyFont="1" applyFill="1" applyBorder="1" applyAlignment="1">
      <alignment horizontal="center"/>
    </xf>
    <xf numFmtId="4" fontId="15" fillId="0" borderId="5" xfId="0" applyNumberFormat="1" applyFont="1" applyFill="1" applyBorder="1" applyAlignment="1">
      <alignment horizontal="right" vertical="top"/>
    </xf>
    <xf numFmtId="2" fontId="56" fillId="0" borderId="5" xfId="0" applyNumberFormat="1" applyFont="1" applyFill="1" applyBorder="1" applyAlignment="1">
      <alignment horizontal="left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left" vertical="top" wrapText="1"/>
    </xf>
    <xf numFmtId="4" fontId="3" fillId="0" borderId="5" xfId="0" applyNumberFormat="1" applyFont="1" applyFill="1" applyBorder="1" applyAlignment="1">
      <alignment horizontal="right" vertical="top" wrapText="1"/>
    </xf>
    <xf numFmtId="4" fontId="15" fillId="0" borderId="5" xfId="0" applyNumberFormat="1" applyFont="1" applyFill="1" applyBorder="1" applyAlignment="1">
      <alignment horizontal="right" vertical="top" wrapText="1"/>
    </xf>
    <xf numFmtId="2" fontId="56" fillId="0" borderId="5" xfId="0" applyNumberFormat="1" applyFont="1" applyFill="1" applyBorder="1" applyAlignment="1">
      <alignment horizontal="right" wrapText="1"/>
    </xf>
    <xf numFmtId="2" fontId="3" fillId="0" borderId="1" xfId="0" applyNumberFormat="1" applyFont="1" applyFill="1" applyBorder="1" applyAlignment="1">
      <alignment horizontal="right" vertical="top" wrapText="1"/>
    </xf>
    <xf numFmtId="2" fontId="15" fillId="0" borderId="1" xfId="0" applyNumberFormat="1" applyFont="1" applyFill="1" applyBorder="1" applyAlignment="1">
      <alignment horizontal="right" vertical="top" wrapText="1"/>
    </xf>
    <xf numFmtId="2" fontId="56" fillId="0" borderId="1" xfId="0" applyNumberFormat="1" applyFont="1" applyFill="1" applyBorder="1" applyAlignment="1">
      <alignment horizontal="right" vertical="top" wrapText="1"/>
    </xf>
    <xf numFmtId="0" fontId="68" fillId="0" borderId="4" xfId="1" applyNumberFormat="1" applyFont="1" applyFill="1" applyBorder="1" applyAlignment="1">
      <alignment horizontal="center" vertical="top" wrapText="1"/>
    </xf>
    <xf numFmtId="0" fontId="15" fillId="0" borderId="6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 vertical="top" wrapText="1"/>
    </xf>
    <xf numFmtId="0" fontId="15" fillId="0" borderId="4" xfId="0" applyFont="1" applyFill="1" applyBorder="1" applyAlignment="1">
      <alignment horizontal="left" vertical="top" wrapText="1"/>
    </xf>
    <xf numFmtId="2" fontId="67" fillId="0" borderId="1" xfId="0" applyNumberFormat="1" applyFont="1" applyFill="1" applyBorder="1" applyAlignment="1">
      <alignment horizontal="right" vertical="top" wrapText="1"/>
    </xf>
    <xf numFmtId="0" fontId="69" fillId="0" borderId="0" xfId="0" applyFont="1" applyFill="1"/>
    <xf numFmtId="0" fontId="57" fillId="0" borderId="3" xfId="1" applyNumberFormat="1" applyFont="1" applyFill="1" applyBorder="1" applyAlignment="1">
      <alignment horizontal="center" vertical="top" wrapText="1"/>
    </xf>
    <xf numFmtId="4" fontId="56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justify" vertical="top" wrapText="1"/>
    </xf>
    <xf numFmtId="0" fontId="4" fillId="0" borderId="0" xfId="0" applyNumberFormat="1" applyFont="1" applyFill="1" applyBorder="1" applyAlignment="1">
      <alignment horizontal="center" vertical="top" wrapText="1"/>
    </xf>
    <xf numFmtId="0" fontId="57" fillId="0" borderId="1" xfId="0" applyFont="1" applyFill="1" applyBorder="1" applyAlignment="1">
      <alignment horizontal="center" vertical="top"/>
    </xf>
    <xf numFmtId="4" fontId="56" fillId="0" borderId="3" xfId="0" applyNumberFormat="1" applyFont="1" applyFill="1" applyBorder="1" applyAlignment="1">
      <alignment vertical="center" wrapText="1"/>
    </xf>
    <xf numFmtId="4" fontId="56" fillId="0" borderId="1" xfId="0" applyNumberFormat="1" applyFont="1" applyFill="1" applyBorder="1" applyAlignment="1">
      <alignment vertical="center" wrapText="1"/>
    </xf>
    <xf numFmtId="4" fontId="46" fillId="0" borderId="0" xfId="0" applyNumberFormat="1" applyFont="1" applyFill="1"/>
    <xf numFmtId="0" fontId="16" fillId="0" borderId="3" xfId="0" applyFont="1" applyFill="1" applyBorder="1" applyAlignment="1">
      <alignment horizontal="center" vertical="center" wrapText="1"/>
    </xf>
    <xf numFmtId="4" fontId="51" fillId="0" borderId="3" xfId="0" applyNumberFormat="1" applyFont="1" applyFill="1" applyBorder="1" applyAlignment="1">
      <alignment vertical="top" wrapText="1"/>
    </xf>
    <xf numFmtId="0" fontId="25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4" fontId="51" fillId="5" borderId="1" xfId="0" applyNumberFormat="1" applyFont="1" applyFill="1" applyBorder="1" applyAlignment="1">
      <alignment horizontal="center" vertical="top" wrapText="1"/>
    </xf>
    <xf numFmtId="2" fontId="51" fillId="0" borderId="1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6" fillId="0" borderId="0" xfId="0" applyFont="1" applyBorder="1" applyAlignment="1">
      <alignment horizontal="center" vertical="top" wrapText="1"/>
    </xf>
    <xf numFmtId="0" fontId="10" fillId="3" borderId="12" xfId="0" applyFont="1" applyFill="1" applyBorder="1" applyAlignment="1">
      <alignment horizontal="left" vertical="top"/>
    </xf>
    <xf numFmtId="4" fontId="3" fillId="0" borderId="5" xfId="0" applyNumberFormat="1" applyFont="1" applyBorder="1" applyAlignment="1">
      <alignment horizontal="right" vertical="top"/>
    </xf>
    <xf numFmtId="0" fontId="1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3" xfId="0" applyNumberFormat="1" applyFont="1" applyBorder="1" applyAlignment="1">
      <alignment vertical="top"/>
    </xf>
    <xf numFmtId="0" fontId="9" fillId="0" borderId="4" xfId="1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left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center" vertical="top" wrapText="1"/>
    </xf>
    <xf numFmtId="4" fontId="15" fillId="0" borderId="4" xfId="0" applyNumberFormat="1" applyFont="1" applyBorder="1" applyAlignment="1">
      <alignment horizontal="center" vertical="top"/>
    </xf>
    <xf numFmtId="2" fontId="54" fillId="0" borderId="1" xfId="0" applyNumberFormat="1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4" fontId="51" fillId="0" borderId="3" xfId="0" applyNumberFormat="1" applyFont="1" applyFill="1" applyBorder="1" applyAlignment="1">
      <alignment vertical="top" wrapText="1"/>
    </xf>
    <xf numFmtId="4" fontId="1" fillId="0" borderId="5" xfId="0" applyNumberFormat="1" applyFont="1" applyFill="1" applyBorder="1" applyAlignment="1">
      <alignment horizontal="right" vertical="top"/>
    </xf>
    <xf numFmtId="0" fontId="9" fillId="0" borderId="4" xfId="1" applyNumberFormat="1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0" fontId="1" fillId="0" borderId="7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9" fillId="0" borderId="3" xfId="0" applyFont="1" applyFill="1" applyBorder="1" applyAlignment="1">
      <alignment horizontal="center" vertical="top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4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5" fillId="4" borderId="1" xfId="0" applyNumberFormat="1" applyFont="1" applyFill="1" applyBorder="1" applyAlignment="1">
      <alignment horizontal="right" vertical="top"/>
    </xf>
    <xf numFmtId="0" fontId="70" fillId="0" borderId="1" xfId="0" applyFont="1" applyFill="1" applyBorder="1" applyAlignment="1">
      <alignment vertical="top"/>
    </xf>
    <xf numFmtId="4" fontId="71" fillId="0" borderId="1" xfId="0" applyNumberFormat="1" applyFont="1" applyFill="1" applyBorder="1" applyAlignment="1">
      <alignment vertical="top"/>
    </xf>
    <xf numFmtId="4" fontId="72" fillId="0" borderId="1" xfId="0" applyNumberFormat="1" applyFont="1" applyFill="1" applyBorder="1" applyAlignment="1">
      <alignment vertical="top"/>
    </xf>
    <xf numFmtId="4" fontId="73" fillId="0" borderId="1" xfId="0" applyNumberFormat="1" applyFont="1" applyFill="1" applyBorder="1" applyAlignment="1">
      <alignment vertical="top" wrapText="1"/>
    </xf>
    <xf numFmtId="0" fontId="31" fillId="0" borderId="0" xfId="0" applyFont="1" applyFill="1"/>
    <xf numFmtId="0" fontId="70" fillId="0" borderId="10" xfId="0" applyFont="1" applyFill="1" applyBorder="1" applyAlignment="1">
      <alignment horizontal="left" vertical="top"/>
    </xf>
    <xf numFmtId="0" fontId="70" fillId="0" borderId="11" xfId="0" applyFont="1" applyFill="1" applyBorder="1" applyAlignment="1">
      <alignment horizontal="left" vertical="top"/>
    </xf>
    <xf numFmtId="0" fontId="70" fillId="0" borderId="12" xfId="0" applyFont="1" applyFill="1" applyBorder="1" applyAlignment="1">
      <alignment horizontal="left" vertical="top"/>
    </xf>
    <xf numFmtId="0" fontId="70" fillId="0" borderId="1" xfId="0" applyFont="1" applyFill="1" applyBorder="1" applyAlignment="1">
      <alignment horizontal="center" vertical="top"/>
    </xf>
    <xf numFmtId="0" fontId="74" fillId="0" borderId="12" xfId="0" applyFont="1" applyFill="1" applyBorder="1" applyAlignment="1">
      <alignment horizontal="left" vertical="top" wrapText="1"/>
    </xf>
    <xf numFmtId="0" fontId="72" fillId="0" borderId="1" xfId="0" applyFont="1" applyFill="1" applyBorder="1" applyAlignment="1">
      <alignment horizontal="left" vertical="top"/>
    </xf>
    <xf numFmtId="4" fontId="72" fillId="0" borderId="1" xfId="0" applyNumberFormat="1" applyFont="1" applyFill="1" applyBorder="1" applyAlignment="1">
      <alignment horizontal="right" vertical="top"/>
    </xf>
    <xf numFmtId="4" fontId="73" fillId="0" borderId="1" xfId="0" applyNumberFormat="1" applyFont="1" applyFill="1" applyBorder="1" applyAlignment="1">
      <alignment horizontal="right" vertical="top" wrapText="1"/>
    </xf>
    <xf numFmtId="0" fontId="75" fillId="0" borderId="0" xfId="0" applyFont="1" applyFill="1"/>
    <xf numFmtId="0" fontId="68" fillId="0" borderId="3" xfId="0" applyFont="1" applyFill="1" applyBorder="1" applyAlignment="1">
      <alignment vertical="top"/>
    </xf>
    <xf numFmtId="0" fontId="15" fillId="0" borderId="3" xfId="0" applyFont="1" applyFill="1" applyBorder="1" applyAlignment="1">
      <alignment horizontal="center" vertical="top" wrapText="1"/>
    </xf>
    <xf numFmtId="0" fontId="68" fillId="0" borderId="1" xfId="0" applyFont="1" applyFill="1" applyBorder="1" applyAlignment="1">
      <alignment horizontal="left" vertical="top" wrapText="1"/>
    </xf>
    <xf numFmtId="4" fontId="67" fillId="0" borderId="1" xfId="0" applyNumberFormat="1" applyFont="1" applyFill="1" applyBorder="1" applyAlignment="1">
      <alignment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14" fontId="9" fillId="0" borderId="4" xfId="0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/>
    </xf>
    <xf numFmtId="4" fontId="16" fillId="0" borderId="4" xfId="0" applyNumberFormat="1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9" fillId="0" borderId="3" xfId="0" applyFont="1" applyFill="1" applyBorder="1" applyAlignment="1">
      <alignment horizontal="center" vertical="top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3" fillId="0" borderId="1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4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14" fontId="9" fillId="0" borderId="4" xfId="0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9" fillId="0" borderId="3" xfId="0" applyFont="1" applyFill="1" applyBorder="1" applyAlignment="1">
      <alignment horizontal="center" vertical="top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4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13" fillId="0" borderId="6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14" fontId="9" fillId="0" borderId="4" xfId="0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/>
    </xf>
    <xf numFmtId="0" fontId="65" fillId="0" borderId="4" xfId="0" applyFont="1" applyFill="1" applyBorder="1" applyAlignment="1">
      <alignment horizontal="center" vertical="top"/>
    </xf>
    <xf numFmtId="0" fontId="16" fillId="0" borderId="3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9" fillId="0" borderId="5" xfId="1" applyNumberFormat="1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0" fontId="1" fillId="0" borderId="5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right" vertical="top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1" xfId="0" applyNumberFormat="1" applyFont="1" applyFill="1" applyBorder="1" applyAlignment="1">
      <alignment horizontal="right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14" fontId="9" fillId="0" borderId="4" xfId="0" applyNumberFormat="1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left" vertical="top" wrapText="1"/>
    </xf>
    <xf numFmtId="0" fontId="17" fillId="0" borderId="13" xfId="0" applyFont="1" applyFill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4" fontId="54" fillId="0" borderId="1" xfId="0" applyNumberFormat="1" applyFont="1" applyBorder="1" applyAlignment="1">
      <alignment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14" fillId="0" borderId="4" xfId="0" applyFont="1" applyFill="1" applyBorder="1" applyAlignment="1">
      <alignment horizontal="center" vertical="top"/>
    </xf>
    <xf numFmtId="0" fontId="9" fillId="0" borderId="4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4" fontId="3" fillId="0" borderId="5" xfId="0" applyNumberFormat="1" applyFont="1" applyFill="1" applyBorder="1" applyAlignment="1">
      <alignment horizontal="right" vertical="top"/>
    </xf>
    <xf numFmtId="0" fontId="4" fillId="0" borderId="3" xfId="0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horizontal="right" vertical="top"/>
    </xf>
    <xf numFmtId="0" fontId="9" fillId="0" borderId="3" xfId="0" applyFont="1" applyFill="1" applyBorder="1" applyAlignment="1">
      <alignment horizontal="center" vertical="top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3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center" vertical="top"/>
    </xf>
    <xf numFmtId="0" fontId="0" fillId="0" borderId="4" xfId="0" applyFont="1" applyFill="1" applyBorder="1" applyAlignment="1">
      <alignment horizontal="center" vertical="top" wrapText="1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4" fontId="1" fillId="0" borderId="1" xfId="0" applyNumberFormat="1" applyFont="1" applyFill="1" applyBorder="1" applyAlignment="1">
      <alignment horizontal="right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4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4" fontId="3" fillId="0" borderId="3" xfId="0" applyNumberFormat="1" applyFont="1" applyFill="1" applyBorder="1" applyAlignment="1">
      <alignment horizontal="right" vertical="center"/>
    </xf>
    <xf numFmtId="4" fontId="3" fillId="0" borderId="4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10" fillId="0" borderId="6" xfId="0" applyFont="1" applyFill="1" applyBorder="1" applyAlignment="1">
      <alignment horizontal="left" vertical="top" wrapText="1"/>
    </xf>
    <xf numFmtId="0" fontId="10" fillId="0" borderId="13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14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0" borderId="15" xfId="0" applyFont="1" applyFill="1" applyBorder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9" xfId="0" applyFont="1" applyFill="1" applyBorder="1" applyAlignment="1">
      <alignment horizontal="left" vertical="top" wrapText="1"/>
    </xf>
    <xf numFmtId="0" fontId="9" fillId="0" borderId="3" xfId="0" applyNumberFormat="1" applyFont="1" applyFill="1" applyBorder="1" applyAlignment="1">
      <alignment horizontal="center" vertical="top" wrapText="1"/>
    </xf>
    <xf numFmtId="0" fontId="9" fillId="0" borderId="4" xfId="0" applyNumberFormat="1" applyFont="1" applyFill="1" applyBorder="1" applyAlignment="1">
      <alignment horizontal="center" vertical="top" wrapText="1"/>
    </xf>
    <xf numFmtId="0" fontId="9" fillId="0" borderId="5" xfId="0" applyNumberFormat="1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15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wrapText="1"/>
    </xf>
    <xf numFmtId="3" fontId="3" fillId="0" borderId="4" xfId="0" applyNumberFormat="1" applyFont="1" applyFill="1" applyBorder="1" applyAlignment="1">
      <alignment horizontal="center" vertical="top" wrapText="1"/>
    </xf>
    <xf numFmtId="0" fontId="4" fillId="0" borderId="5" xfId="0" applyNumberFormat="1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0" fillId="0" borderId="4" xfId="0" applyBorder="1" applyAlignment="1"/>
    <xf numFmtId="0" fontId="9" fillId="0" borderId="5" xfId="0" applyFont="1" applyFill="1" applyBorder="1" applyAlignment="1">
      <alignment horizontal="center" vertical="top" wrapText="1"/>
    </xf>
    <xf numFmtId="3" fontId="5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4" fontId="51" fillId="0" borderId="3" xfId="0" applyNumberFormat="1" applyFont="1" applyFill="1" applyBorder="1" applyAlignment="1">
      <alignment vertical="top" wrapText="1"/>
    </xf>
    <xf numFmtId="0" fontId="53" fillId="0" borderId="4" xfId="0" applyFont="1" applyBorder="1" applyAlignment="1">
      <alignment wrapText="1"/>
    </xf>
    <xf numFmtId="0" fontId="53" fillId="0" borderId="5" xfId="0" applyFont="1" applyBorder="1" applyAlignment="1">
      <alignment wrapText="1"/>
    </xf>
    <xf numFmtId="4" fontId="51" fillId="0" borderId="3" xfId="0" applyNumberFormat="1" applyFont="1" applyFill="1" applyBorder="1" applyAlignment="1">
      <alignment horizontal="left" wrapText="1"/>
    </xf>
    <xf numFmtId="4" fontId="51" fillId="0" borderId="5" xfId="0" applyNumberFormat="1" applyFont="1" applyFill="1" applyBorder="1" applyAlignment="1">
      <alignment horizontal="left" wrapText="1"/>
    </xf>
    <xf numFmtId="17" fontId="9" fillId="0" borderId="3" xfId="0" applyNumberFormat="1" applyFont="1" applyFill="1" applyBorder="1" applyAlignment="1">
      <alignment horizontal="center" vertical="top" wrapText="1"/>
    </xf>
    <xf numFmtId="17" fontId="9" fillId="0" borderId="4" xfId="0" applyNumberFormat="1" applyFont="1" applyFill="1" applyBorder="1" applyAlignment="1">
      <alignment horizontal="center" vertical="top" wrapText="1"/>
    </xf>
    <xf numFmtId="17" fontId="9" fillId="0" borderId="5" xfId="0" applyNumberFormat="1" applyFont="1" applyFill="1" applyBorder="1" applyAlignment="1">
      <alignment horizontal="center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 vertical="top" wrapText="1"/>
    </xf>
    <xf numFmtId="14" fontId="9" fillId="0" borderId="4" xfId="0" applyNumberFormat="1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 vertical="top"/>
    </xf>
    <xf numFmtId="4" fontId="3" fillId="0" borderId="4" xfId="0" applyNumberFormat="1" applyFont="1" applyBorder="1" applyAlignment="1">
      <alignment horizontal="center" vertical="top"/>
    </xf>
    <xf numFmtId="4" fontId="3" fillId="0" borderId="5" xfId="0" applyNumberFormat="1" applyFont="1" applyBorder="1" applyAlignment="1">
      <alignment horizontal="center" vertical="top"/>
    </xf>
    <xf numFmtId="49" fontId="9" fillId="0" borderId="4" xfId="0" applyNumberFormat="1" applyFont="1" applyFill="1" applyBorder="1" applyAlignment="1">
      <alignment horizontal="center" vertical="top" wrapText="1"/>
    </xf>
    <xf numFmtId="49" fontId="9" fillId="0" borderId="5" xfId="0" applyNumberFormat="1" applyFont="1" applyFill="1" applyBorder="1" applyAlignment="1">
      <alignment horizontal="center" vertical="top" wrapText="1"/>
    </xf>
    <xf numFmtId="4" fontId="3" fillId="0" borderId="3" xfId="0" applyNumberFormat="1" applyFont="1" applyFill="1" applyBorder="1" applyAlignment="1">
      <alignment horizontal="right" vertical="top"/>
    </xf>
    <xf numFmtId="4" fontId="3" fillId="0" borderId="5" xfId="0" applyNumberFormat="1" applyFont="1" applyFill="1" applyBorder="1" applyAlignment="1">
      <alignment horizontal="right" vertical="top"/>
    </xf>
    <xf numFmtId="4" fontId="3" fillId="0" borderId="3" xfId="0" applyNumberFormat="1" applyFont="1" applyBorder="1" applyAlignment="1">
      <alignment horizontal="right"/>
    </xf>
    <xf numFmtId="4" fontId="3" fillId="0" borderId="5" xfId="0" applyNumberFormat="1" applyFont="1" applyBorder="1" applyAlignment="1">
      <alignment horizontal="right"/>
    </xf>
    <xf numFmtId="0" fontId="6" fillId="0" borderId="0" xfId="0" applyFont="1" applyBorder="1" applyAlignment="1">
      <alignment horizontal="center" vertical="top" wrapText="1"/>
    </xf>
    <xf numFmtId="0" fontId="0" fillId="0" borderId="0" xfId="0" applyAlignment="1"/>
    <xf numFmtId="0" fontId="4" fillId="0" borderId="3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14" fontId="9" fillId="0" borderId="3" xfId="1" applyNumberFormat="1" applyFont="1" applyFill="1" applyBorder="1" applyAlignment="1">
      <alignment horizontal="center" vertical="top" wrapText="1"/>
    </xf>
    <xf numFmtId="0" fontId="9" fillId="0" borderId="4" xfId="1" applyNumberFormat="1" applyFont="1" applyFill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/>
    </xf>
    <xf numFmtId="0" fontId="10" fillId="4" borderId="10" xfId="0" applyFont="1" applyFill="1" applyBorder="1" applyAlignment="1">
      <alignment horizontal="left" vertical="top" wrapText="1"/>
    </xf>
    <xf numFmtId="0" fontId="10" fillId="4" borderId="11" xfId="0" applyFont="1" applyFill="1" applyBorder="1" applyAlignment="1">
      <alignment horizontal="left" vertical="top" wrapText="1"/>
    </xf>
    <xf numFmtId="0" fontId="10" fillId="4" borderId="12" xfId="0" applyFont="1" applyFill="1" applyBorder="1" applyAlignment="1">
      <alignment horizontal="left" vertical="top" wrapText="1"/>
    </xf>
    <xf numFmtId="0" fontId="10" fillId="3" borderId="10" xfId="0" applyFont="1" applyFill="1" applyBorder="1" applyAlignment="1">
      <alignment horizontal="left" vertical="top"/>
    </xf>
    <xf numFmtId="0" fontId="10" fillId="3" borderId="11" xfId="0" applyFont="1" applyFill="1" applyBorder="1" applyAlignment="1">
      <alignment horizontal="left" vertical="top"/>
    </xf>
    <xf numFmtId="0" fontId="10" fillId="3" borderId="12" xfId="0" applyFont="1" applyFill="1" applyBorder="1" applyAlignment="1">
      <alignment horizontal="left" vertical="top"/>
    </xf>
    <xf numFmtId="4" fontId="3" fillId="0" borderId="4" xfId="0" applyNumberFormat="1" applyFont="1" applyBorder="1" applyAlignment="1">
      <alignment horizontal="right"/>
    </xf>
    <xf numFmtId="14" fontId="9" fillId="0" borderId="5" xfId="0" applyNumberFormat="1" applyFont="1" applyBorder="1" applyAlignment="1">
      <alignment horizontal="center" vertical="top" wrapText="1"/>
    </xf>
    <xf numFmtId="4" fontId="48" fillId="0" borderId="6" xfId="0" applyNumberFormat="1" applyFont="1" applyBorder="1" applyAlignment="1">
      <alignment horizontal="center" vertical="top"/>
    </xf>
    <xf numFmtId="0" fontId="48" fillId="0" borderId="13" xfId="0" applyFont="1" applyBorder="1" applyAlignment="1">
      <alignment horizontal="center" vertical="top"/>
    </xf>
    <xf numFmtId="0" fontId="48" fillId="0" borderId="7" xfId="0" applyFont="1" applyBorder="1" applyAlignment="1">
      <alignment horizontal="center" vertical="top"/>
    </xf>
    <xf numFmtId="0" fontId="48" fillId="0" borderId="14" xfId="0" applyFont="1" applyBorder="1" applyAlignment="1">
      <alignment horizontal="center" vertical="top"/>
    </xf>
    <xf numFmtId="0" fontId="48" fillId="0" borderId="0" xfId="0" applyFont="1" applyBorder="1" applyAlignment="1">
      <alignment horizontal="center" vertical="top"/>
    </xf>
    <xf numFmtId="0" fontId="48" fillId="0" borderId="15" xfId="0" applyFont="1" applyBorder="1" applyAlignment="1">
      <alignment horizontal="center" vertical="top"/>
    </xf>
    <xf numFmtId="0" fontId="48" fillId="0" borderId="8" xfId="0" applyFont="1" applyBorder="1" applyAlignment="1">
      <alignment horizontal="center" vertical="top"/>
    </xf>
    <xf numFmtId="0" fontId="48" fillId="0" borderId="2" xfId="0" applyFont="1" applyBorder="1" applyAlignment="1">
      <alignment horizontal="center" vertical="top"/>
    </xf>
    <xf numFmtId="0" fontId="48" fillId="0" borderId="9" xfId="0" applyFont="1" applyBorder="1" applyAlignment="1">
      <alignment horizontal="center" vertical="top"/>
    </xf>
    <xf numFmtId="4" fontId="48" fillId="0" borderId="6" xfId="0" applyNumberFormat="1" applyFont="1" applyFill="1" applyBorder="1" applyAlignment="1">
      <alignment horizontal="center" vertical="top"/>
    </xf>
    <xf numFmtId="4" fontId="48" fillId="0" borderId="13" xfId="0" applyNumberFormat="1" applyFont="1" applyFill="1" applyBorder="1" applyAlignment="1">
      <alignment horizontal="center" vertical="top"/>
    </xf>
    <xf numFmtId="4" fontId="48" fillId="0" borderId="7" xfId="0" applyNumberFormat="1" applyFont="1" applyFill="1" applyBorder="1" applyAlignment="1">
      <alignment horizontal="center" vertical="top"/>
    </xf>
    <xf numFmtId="4" fontId="48" fillId="0" borderId="14" xfId="0" applyNumberFormat="1" applyFont="1" applyFill="1" applyBorder="1" applyAlignment="1">
      <alignment horizontal="center" vertical="top"/>
    </xf>
    <xf numFmtId="4" fontId="48" fillId="0" borderId="0" xfId="0" applyNumberFormat="1" applyFont="1" applyFill="1" applyBorder="1" applyAlignment="1">
      <alignment horizontal="center" vertical="top"/>
    </xf>
    <xf numFmtId="4" fontId="48" fillId="0" borderId="15" xfId="0" applyNumberFormat="1" applyFont="1" applyFill="1" applyBorder="1" applyAlignment="1">
      <alignment horizontal="center" vertical="top"/>
    </xf>
    <xf numFmtId="4" fontId="48" fillId="0" borderId="8" xfId="0" applyNumberFormat="1" applyFont="1" applyFill="1" applyBorder="1" applyAlignment="1">
      <alignment horizontal="center" vertical="top"/>
    </xf>
    <xf numFmtId="4" fontId="48" fillId="0" borderId="2" xfId="0" applyNumberFormat="1" applyFont="1" applyFill="1" applyBorder="1" applyAlignment="1">
      <alignment horizontal="center" vertical="top"/>
    </xf>
    <xf numFmtId="4" fontId="48" fillId="0" borderId="9" xfId="0" applyNumberFormat="1" applyFont="1" applyFill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horizontal="center" vertical="top"/>
    </xf>
    <xf numFmtId="0" fontId="14" fillId="0" borderId="5" xfId="0" applyFont="1" applyBorder="1" applyAlignment="1">
      <alignment horizontal="center" vertical="top"/>
    </xf>
    <xf numFmtId="0" fontId="10" fillId="0" borderId="6" xfId="0" applyFont="1" applyBorder="1" applyAlignment="1">
      <alignment horizontal="left" vertical="top" wrapText="1"/>
    </xf>
    <xf numFmtId="0" fontId="10" fillId="0" borderId="13" xfId="0" applyFont="1" applyBorder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10" fillId="0" borderId="14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15" xfId="0" applyFont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 wrapText="1"/>
    </xf>
    <xf numFmtId="0" fontId="10" fillId="0" borderId="9" xfId="0" applyFont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4" fontId="3" fillId="0" borderId="3" xfId="0" applyNumberFormat="1" applyFont="1" applyBorder="1" applyAlignment="1">
      <alignment horizontal="right" vertical="top"/>
    </xf>
    <xf numFmtId="4" fontId="3" fillId="0" borderId="4" xfId="0" applyNumberFormat="1" applyFont="1" applyBorder="1" applyAlignment="1">
      <alignment horizontal="right" vertical="top"/>
    </xf>
    <xf numFmtId="4" fontId="3" fillId="0" borderId="5" xfId="0" applyNumberFormat="1" applyFont="1" applyBorder="1" applyAlignment="1">
      <alignment horizontal="right" vertical="top"/>
    </xf>
    <xf numFmtId="0" fontId="1" fillId="0" borderId="3" xfId="0" applyFont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9" fillId="0" borderId="3" xfId="1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10" fillId="0" borderId="3" xfId="0" applyFont="1" applyFill="1" applyBorder="1" applyAlignment="1">
      <alignment horizontal="center" vertical="top"/>
    </xf>
    <xf numFmtId="0" fontId="10" fillId="0" borderId="5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4" fontId="3" fillId="0" borderId="1" xfId="0" applyNumberFormat="1" applyFont="1" applyBorder="1" applyAlignment="1">
      <alignment horizontal="right"/>
    </xf>
    <xf numFmtId="4" fontId="3" fillId="0" borderId="4" xfId="0" applyNumberFormat="1" applyFont="1" applyFill="1" applyBorder="1" applyAlignment="1">
      <alignment horizontal="right" vertical="top"/>
    </xf>
    <xf numFmtId="0" fontId="1" fillId="0" borderId="3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/>
    </xf>
    <xf numFmtId="0" fontId="9" fillId="0" borderId="5" xfId="0" applyFont="1" applyFill="1" applyBorder="1" applyAlignment="1">
      <alignment horizontal="center" vertical="top"/>
    </xf>
    <xf numFmtId="4" fontId="11" fillId="0" borderId="6" xfId="0" applyNumberFormat="1" applyFont="1" applyFill="1" applyBorder="1" applyAlignment="1">
      <alignment horizontal="center" vertical="top"/>
    </xf>
    <xf numFmtId="0" fontId="11" fillId="0" borderId="13" xfId="0" applyFont="1" applyFill="1" applyBorder="1" applyAlignment="1">
      <alignment horizontal="center" vertical="top"/>
    </xf>
    <xf numFmtId="0" fontId="11" fillId="0" borderId="7" xfId="0" applyFont="1" applyFill="1" applyBorder="1" applyAlignment="1">
      <alignment horizontal="center" vertical="top"/>
    </xf>
    <xf numFmtId="0" fontId="11" fillId="0" borderId="14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11" fillId="0" borderId="15" xfId="0" applyFont="1" applyFill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top"/>
    </xf>
    <xf numFmtId="0" fontId="11" fillId="0" borderId="9" xfId="0" applyFont="1" applyFill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9" fillId="0" borderId="5" xfId="1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wrapText="1"/>
    </xf>
    <xf numFmtId="14" fontId="0" fillId="0" borderId="3" xfId="0" applyNumberFormat="1" applyBorder="1" applyAlignment="1">
      <alignment horizontal="center" vertical="top" wrapText="1"/>
    </xf>
    <xf numFmtId="0" fontId="0" fillId="0" borderId="5" xfId="0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0" borderId="5" xfId="0" applyFont="1" applyFill="1" applyBorder="1" applyAlignment="1">
      <alignment vertical="top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 wrapText="1"/>
    </xf>
    <xf numFmtId="0" fontId="4" fillId="0" borderId="13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top"/>
    </xf>
    <xf numFmtId="0" fontId="0" fillId="0" borderId="5" xfId="0" applyBorder="1" applyAlignment="1"/>
    <xf numFmtId="0" fontId="11" fillId="0" borderId="6" xfId="0" applyFont="1" applyFill="1" applyBorder="1" applyAlignment="1">
      <alignment horizontal="center" vertical="top"/>
    </xf>
    <xf numFmtId="0" fontId="13" fillId="0" borderId="1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vertical="top" wrapText="1"/>
    </xf>
    <xf numFmtId="0" fontId="0" fillId="0" borderId="4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57" fillId="4" borderId="10" xfId="0" applyFont="1" applyFill="1" applyBorder="1" applyAlignment="1">
      <alignment horizontal="left" vertical="top" wrapText="1"/>
    </xf>
    <xf numFmtId="0" fontId="57" fillId="4" borderId="11" xfId="0" applyFont="1" applyFill="1" applyBorder="1" applyAlignment="1">
      <alignment horizontal="left" vertical="top" wrapText="1"/>
    </xf>
    <xf numFmtId="0" fontId="57" fillId="4" borderId="12" xfId="0" applyFont="1" applyFill="1" applyBorder="1" applyAlignment="1">
      <alignment horizontal="left" vertical="top" wrapText="1"/>
    </xf>
    <xf numFmtId="0" fontId="42" fillId="0" borderId="0" xfId="0" applyFont="1" applyAlignment="1"/>
    <xf numFmtId="0" fontId="4" fillId="4" borderId="6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top" wrapText="1"/>
    </xf>
    <xf numFmtId="0" fontId="19" fillId="0" borderId="0" xfId="0" applyFont="1" applyAlignment="1">
      <alignment horizontal="right"/>
    </xf>
    <xf numFmtId="0" fontId="21" fillId="0" borderId="20" xfId="0" applyFont="1" applyFill="1" applyBorder="1" applyAlignment="1">
      <alignment horizontal="center" vertical="center" wrapText="1" shrinkToFit="1"/>
    </xf>
    <xf numFmtId="0" fontId="21" fillId="0" borderId="23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8" xfId="0" applyFont="1" applyFill="1" applyBorder="1" applyAlignment="1">
      <alignment horizontal="center" vertical="top" wrapText="1"/>
    </xf>
    <xf numFmtId="0" fontId="21" fillId="0" borderId="9" xfId="0" applyFont="1" applyFill="1" applyBorder="1" applyAlignment="1">
      <alignment horizontal="center" vertical="top" wrapText="1"/>
    </xf>
    <xf numFmtId="0" fontId="21" fillId="0" borderId="8" xfId="0" applyFont="1" applyFill="1" applyBorder="1" applyAlignment="1">
      <alignment horizontal="center" vertical="top" shrinkToFit="1"/>
    </xf>
    <xf numFmtId="0" fontId="21" fillId="0" borderId="2" xfId="0" applyFont="1" applyFill="1" applyBorder="1" applyAlignment="1">
      <alignment horizontal="center" vertical="top" shrinkToFi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top" wrapText="1"/>
    </xf>
    <xf numFmtId="0" fontId="21" fillId="0" borderId="19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62" fillId="0" borderId="0" xfId="0" applyFont="1" applyAlignment="1"/>
    <xf numFmtId="0" fontId="21" fillId="0" borderId="37" xfId="0" applyFont="1" applyBorder="1" applyAlignment="1">
      <alignment vertical="top" wrapText="1"/>
    </xf>
    <xf numFmtId="0" fontId="28" fillId="0" borderId="37" xfId="0" applyFont="1" applyBorder="1" applyAlignment="1">
      <alignment vertical="top" wrapText="1"/>
    </xf>
    <xf numFmtId="0" fontId="25" fillId="0" borderId="0" xfId="0" applyFont="1" applyAlignment="1">
      <alignment horizontal="right"/>
    </xf>
    <xf numFmtId="0" fontId="61" fillId="0" borderId="0" xfId="0" applyFont="1" applyAlignment="1"/>
    <xf numFmtId="0" fontId="27" fillId="0" borderId="0" xfId="0" applyFont="1" applyAlignment="1">
      <alignment horizontal="right"/>
    </xf>
    <xf numFmtId="0" fontId="26" fillId="0" borderId="0" xfId="0" applyFont="1" applyAlignment="1"/>
    <xf numFmtId="0" fontId="28" fillId="0" borderId="0" xfId="0" applyFont="1" applyBorder="1" applyAlignment="1">
      <alignment horizontal="center" vertical="top" wrapText="1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 wrapText="1"/>
    </xf>
    <xf numFmtId="0" fontId="46" fillId="0" borderId="0" xfId="0" applyFont="1" applyFill="1" applyAlignment="1"/>
    <xf numFmtId="0" fontId="68" fillId="0" borderId="10" xfId="0" applyFont="1" applyFill="1" applyBorder="1" applyAlignment="1">
      <alignment horizontal="right" vertical="top" wrapText="1"/>
    </xf>
    <xf numFmtId="0" fontId="68" fillId="0" borderId="11" xfId="0" applyFont="1" applyFill="1" applyBorder="1" applyAlignment="1">
      <alignment horizontal="right" vertical="top" wrapText="1"/>
    </xf>
    <xf numFmtId="0" fontId="68" fillId="0" borderId="12" xfId="0" applyFont="1" applyFill="1" applyBorder="1" applyAlignment="1">
      <alignment horizontal="right" vertical="top" wrapText="1"/>
    </xf>
    <xf numFmtId="0" fontId="48" fillId="0" borderId="13" xfId="0" applyFont="1" applyFill="1" applyBorder="1" applyAlignment="1">
      <alignment horizontal="center" vertical="top"/>
    </xf>
    <xf numFmtId="0" fontId="48" fillId="0" borderId="7" xfId="0" applyFont="1" applyFill="1" applyBorder="1" applyAlignment="1">
      <alignment horizontal="center" vertical="top"/>
    </xf>
    <xf numFmtId="0" fontId="48" fillId="0" borderId="14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8" fillId="0" borderId="15" xfId="0" applyFont="1" applyFill="1" applyBorder="1" applyAlignment="1">
      <alignment horizontal="center" vertical="top"/>
    </xf>
    <xf numFmtId="0" fontId="48" fillId="0" borderId="8" xfId="0" applyFont="1" applyFill="1" applyBorder="1" applyAlignment="1">
      <alignment horizontal="center" vertical="top"/>
    </xf>
    <xf numFmtId="0" fontId="48" fillId="0" borderId="2" xfId="0" applyFont="1" applyFill="1" applyBorder="1" applyAlignment="1">
      <alignment horizontal="center" vertical="top"/>
    </xf>
    <xf numFmtId="0" fontId="48" fillId="0" borderId="9" xfId="0" applyFont="1" applyFill="1" applyBorder="1" applyAlignment="1">
      <alignment horizontal="center" vertical="top"/>
    </xf>
    <xf numFmtId="4" fontId="76" fillId="0" borderId="6" xfId="0" applyNumberFormat="1" applyFont="1" applyFill="1" applyBorder="1" applyAlignment="1">
      <alignment horizontal="right" vertical="top"/>
    </xf>
    <xf numFmtId="4" fontId="76" fillId="0" borderId="13" xfId="0" applyNumberFormat="1" applyFont="1" applyFill="1" applyBorder="1" applyAlignment="1">
      <alignment horizontal="right" vertical="top"/>
    </xf>
    <xf numFmtId="4" fontId="76" fillId="0" borderId="7" xfId="0" applyNumberFormat="1" applyFont="1" applyFill="1" applyBorder="1" applyAlignment="1">
      <alignment horizontal="right" vertical="top"/>
    </xf>
    <xf numFmtId="4" fontId="76" fillId="0" borderId="14" xfId="0" applyNumberFormat="1" applyFont="1" applyFill="1" applyBorder="1" applyAlignment="1">
      <alignment horizontal="right" vertical="top"/>
    </xf>
    <xf numFmtId="4" fontId="76" fillId="0" borderId="0" xfId="0" applyNumberFormat="1" applyFont="1" applyFill="1" applyBorder="1" applyAlignment="1">
      <alignment horizontal="right" vertical="top"/>
    </xf>
    <xf numFmtId="4" fontId="76" fillId="0" borderId="15" xfId="0" applyNumberFormat="1" applyFont="1" applyFill="1" applyBorder="1" applyAlignment="1">
      <alignment horizontal="right" vertical="top"/>
    </xf>
    <xf numFmtId="4" fontId="76" fillId="0" borderId="8" xfId="0" applyNumberFormat="1" applyFont="1" applyFill="1" applyBorder="1" applyAlignment="1">
      <alignment horizontal="right" vertical="top"/>
    </xf>
    <xf numFmtId="4" fontId="76" fillId="0" borderId="2" xfId="0" applyNumberFormat="1" applyFont="1" applyFill="1" applyBorder="1" applyAlignment="1">
      <alignment horizontal="right" vertical="top"/>
    </xf>
    <xf numFmtId="4" fontId="76" fillId="0" borderId="9" xfId="0" applyNumberFormat="1" applyFont="1" applyFill="1" applyBorder="1" applyAlignment="1">
      <alignment horizontal="right" vertical="top"/>
    </xf>
    <xf numFmtId="0" fontId="14" fillId="0" borderId="6" xfId="0" applyFont="1" applyFill="1" applyBorder="1" applyAlignment="1">
      <alignment horizontal="left" vertical="top" wrapText="1"/>
    </xf>
    <xf numFmtId="0" fontId="14" fillId="0" borderId="13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4" fillId="0" borderId="14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15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top"/>
    </xf>
    <xf numFmtId="4" fontId="1" fillId="0" borderId="4" xfId="0" applyNumberFormat="1" applyFont="1" applyFill="1" applyBorder="1" applyAlignment="1">
      <alignment horizontal="right" vertical="top"/>
    </xf>
    <xf numFmtId="4" fontId="1" fillId="0" borderId="5" xfId="0" applyNumberFormat="1" applyFont="1" applyFill="1" applyBorder="1" applyAlignment="1">
      <alignment horizontal="right" vertical="top"/>
    </xf>
    <xf numFmtId="14" fontId="9" fillId="0" borderId="3" xfId="0" applyNumberFormat="1" applyFont="1" applyFill="1" applyBorder="1" applyAlignment="1">
      <alignment horizontal="center" vertical="top" wrapText="1"/>
    </xf>
    <xf numFmtId="14" fontId="9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right"/>
    </xf>
    <xf numFmtId="4" fontId="1" fillId="0" borderId="4" xfId="0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0" fontId="41" fillId="0" borderId="4" xfId="0" applyFont="1" applyFill="1" applyBorder="1" applyAlignment="1">
      <alignment wrapText="1"/>
    </xf>
    <xf numFmtId="0" fontId="41" fillId="0" borderId="5" xfId="0" applyFont="1" applyFill="1" applyBorder="1" applyAlignment="1">
      <alignment wrapText="1"/>
    </xf>
    <xf numFmtId="14" fontId="9" fillId="0" borderId="5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center" vertical="top"/>
    </xf>
    <xf numFmtId="0" fontId="45" fillId="0" borderId="3" xfId="0" applyFont="1" applyFill="1" applyBorder="1" applyAlignment="1">
      <alignment horizontal="center" vertical="top" wrapText="1"/>
    </xf>
    <xf numFmtId="0" fontId="45" fillId="0" borderId="4" xfId="0" applyFont="1" applyFill="1" applyBorder="1" applyAlignment="1">
      <alignment horizontal="center" vertical="top" wrapText="1"/>
    </xf>
    <xf numFmtId="0" fontId="45" fillId="0" borderId="5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center" vertical="top"/>
    </xf>
    <xf numFmtId="4" fontId="1" fillId="0" borderId="4" xfId="0" applyNumberFormat="1" applyFont="1" applyFill="1" applyBorder="1" applyAlignment="1">
      <alignment horizontal="center" vertical="top"/>
    </xf>
    <xf numFmtId="4" fontId="1" fillId="0" borderId="5" xfId="0" applyNumberFormat="1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3" fontId="1" fillId="0" borderId="3" xfId="0" applyNumberFormat="1" applyFont="1" applyFill="1" applyBorder="1" applyAlignment="1">
      <alignment horizontal="center" vertical="top" wrapText="1"/>
    </xf>
    <xf numFmtId="3" fontId="1" fillId="0" borderId="4" xfId="0" applyNumberFormat="1" applyFont="1" applyFill="1" applyBorder="1" applyAlignment="1">
      <alignment horizontal="center" vertical="top" wrapText="1"/>
    </xf>
    <xf numFmtId="4" fontId="1" fillId="0" borderId="3" xfId="0" applyNumberFormat="1" applyFont="1" applyFill="1" applyBorder="1" applyAlignment="1">
      <alignment horizontal="center"/>
    </xf>
    <xf numFmtId="4" fontId="1" fillId="0" borderId="5" xfId="0" applyNumberFormat="1" applyFont="1" applyFill="1" applyBorder="1" applyAlignment="1">
      <alignment horizontal="center"/>
    </xf>
    <xf numFmtId="4" fontId="1" fillId="0" borderId="1" xfId="0" applyNumberFormat="1" applyFont="1" applyFill="1" applyBorder="1" applyAlignment="1">
      <alignment horizontal="right"/>
    </xf>
    <xf numFmtId="0" fontId="57" fillId="0" borderId="3" xfId="1" applyNumberFormat="1" applyFont="1" applyFill="1" applyBorder="1" applyAlignment="1">
      <alignment horizontal="center" vertical="top" wrapText="1"/>
    </xf>
    <xf numFmtId="0" fontId="57" fillId="0" borderId="5" xfId="1" applyNumberFormat="1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4" fontId="1" fillId="0" borderId="3" xfId="0" applyNumberFormat="1" applyFont="1" applyFill="1" applyBorder="1" applyAlignment="1">
      <alignment horizontal="right" vertical="center"/>
    </xf>
    <xf numFmtId="4" fontId="1" fillId="0" borderId="4" xfId="0" applyNumberFormat="1" applyFont="1" applyFill="1" applyBorder="1" applyAlignment="1">
      <alignment horizontal="right" vertical="center"/>
    </xf>
    <xf numFmtId="4" fontId="1" fillId="0" borderId="5" xfId="0" applyNumberFormat="1" applyFont="1" applyFill="1" applyBorder="1" applyAlignment="1">
      <alignment horizontal="right" vertical="center"/>
    </xf>
    <xf numFmtId="0" fontId="0" fillId="0" borderId="4" xfId="0" applyFont="1" applyFill="1" applyBorder="1" applyAlignment="1">
      <alignment vertical="top"/>
    </xf>
    <xf numFmtId="0" fontId="0" fillId="0" borderId="5" xfId="0" applyFont="1" applyFill="1" applyBorder="1" applyAlignment="1">
      <alignment vertical="top"/>
    </xf>
    <xf numFmtId="0" fontId="1" fillId="0" borderId="7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center" vertical="top"/>
    </xf>
    <xf numFmtId="0" fontId="0" fillId="0" borderId="4" xfId="0" applyFont="1" applyFill="1" applyBorder="1" applyAlignment="1"/>
    <xf numFmtId="0" fontId="0" fillId="0" borderId="5" xfId="0" applyFont="1" applyFill="1" applyBorder="1" applyAlignment="1"/>
    <xf numFmtId="0" fontId="13" fillId="0" borderId="10" xfId="0" applyFont="1" applyFill="1" applyBorder="1" applyAlignment="1">
      <alignment horizontal="center" vertical="top" wrapText="1"/>
    </xf>
    <xf numFmtId="0" fontId="13" fillId="0" borderId="11" xfId="0" applyFont="1" applyFill="1" applyBorder="1" applyAlignment="1">
      <alignment horizontal="center" vertical="top" wrapText="1"/>
    </xf>
    <xf numFmtId="0" fontId="13" fillId="0" borderId="12" xfId="0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Финансовый" xfId="1" builtinId="3"/>
  </cellStyles>
  <dxfs count="0"/>
  <tableStyles count="0" defaultTableStyle="TableStyleMedium2" defaultPivotStyle="PivotStyleMedium9"/>
  <colors>
    <mruColors>
      <color rgb="FFFFFFCC"/>
      <color rgb="FF00EE6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3"/>
  <sheetViews>
    <sheetView topLeftCell="B1" zoomScale="170" zoomScaleNormal="170" zoomScaleSheetLayoutView="140" workbookViewId="0">
      <pane xSplit="14" ySplit="9" topLeftCell="P64" activePane="bottomRight" state="frozen"/>
      <selection activeCell="B1" sqref="B1"/>
      <selection pane="topRight" activeCell="P1" sqref="P1"/>
      <selection pane="bottomLeft" activeCell="B10" sqref="B10"/>
      <selection pane="bottomRight" activeCell="B294" sqref="A294:XFD297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456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048" t="s">
        <v>3</v>
      </c>
      <c r="B3" s="1048" t="s">
        <v>4</v>
      </c>
      <c r="C3" s="1009" t="s">
        <v>6</v>
      </c>
      <c r="D3" s="1009" t="s">
        <v>14</v>
      </c>
      <c r="E3" s="1530" t="s">
        <v>5</v>
      </c>
      <c r="F3" s="1532"/>
      <c r="G3" s="1009" t="s">
        <v>1</v>
      </c>
      <c r="H3" s="1009" t="s">
        <v>2</v>
      </c>
      <c r="I3" s="1009" t="s">
        <v>0</v>
      </c>
      <c r="J3" s="1009" t="s">
        <v>51</v>
      </c>
      <c r="K3" s="1009" t="s">
        <v>52</v>
      </c>
      <c r="L3" s="1009" t="s">
        <v>275</v>
      </c>
      <c r="M3" s="1530" t="s">
        <v>8</v>
      </c>
      <c r="N3" s="1531"/>
      <c r="O3" s="1532"/>
      <c r="P3" s="1022" t="s">
        <v>437</v>
      </c>
      <c r="Q3" s="1022" t="s">
        <v>457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458</v>
      </c>
      <c r="AB3" s="1022"/>
      <c r="AC3" s="1022"/>
      <c r="AD3" s="1022"/>
      <c r="AE3" s="1022"/>
      <c r="AF3" s="1508" t="s">
        <v>307</v>
      </c>
      <c r="AG3" s="1515"/>
      <c r="AH3" s="1515"/>
      <c r="AI3" s="1515"/>
      <c r="AJ3" s="1516"/>
      <c r="AK3" s="1023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024">
        <v>3</v>
      </c>
      <c r="Q4" s="606">
        <v>4</v>
      </c>
      <c r="R4" s="1024">
        <v>7</v>
      </c>
      <c r="S4" s="1024">
        <v>8</v>
      </c>
      <c r="T4" s="606">
        <v>9</v>
      </c>
      <c r="U4" s="606">
        <v>10</v>
      </c>
      <c r="V4" s="606">
        <v>11</v>
      </c>
      <c r="W4" s="606">
        <v>12</v>
      </c>
      <c r="X4" s="1024">
        <v>13</v>
      </c>
      <c r="Y4" s="1024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E9" si="1">P10+P155</f>
        <v>519486.85400000005</v>
      </c>
      <c r="Q5" s="679">
        <f t="shared" si="1"/>
        <v>56173.623089999994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63601.315559999995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317720.54000000004</v>
      </c>
      <c r="AL5" s="679">
        <f t="shared" si="2"/>
        <v>317720.54000000004</v>
      </c>
      <c r="AM5" s="679">
        <f>ROUND((Q5*100%/P5*100),2)</f>
        <v>10.81</v>
      </c>
      <c r="AN5" s="679">
        <f t="shared" si="2"/>
        <v>0</v>
      </c>
      <c r="AO5" s="679">
        <f t="shared" si="2"/>
        <v>0</v>
      </c>
      <c r="AP5" s="938"/>
      <c r="AQ5" s="679">
        <f>AQ10+AQ155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J11+J156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si="1"/>
        <v>264162.01</v>
      </c>
      <c r="Q6" s="3">
        <f t="shared" si="1"/>
        <v>0</v>
      </c>
      <c r="R6" s="3">
        <f t="shared" si="1"/>
        <v>1128.182</v>
      </c>
      <c r="S6" s="3">
        <f t="shared" si="1"/>
        <v>4128.1819999999998</v>
      </c>
      <c r="T6" s="3">
        <f t="shared" si="1"/>
        <v>31.5</v>
      </c>
      <c r="U6" s="3">
        <f t="shared" si="1"/>
        <v>2236.8380000000002</v>
      </c>
      <c r="V6" s="3">
        <f t="shared" si="1"/>
        <v>0</v>
      </c>
      <c r="W6" s="3">
        <f t="shared" si="1"/>
        <v>0</v>
      </c>
      <c r="X6" s="3">
        <f t="shared" si="1"/>
        <v>0</v>
      </c>
      <c r="Y6" s="3">
        <f t="shared" si="1"/>
        <v>0</v>
      </c>
      <c r="Z6" s="95">
        <f t="shared" si="1"/>
        <v>0</v>
      </c>
      <c r="AA6" s="3">
        <f t="shared" si="1"/>
        <v>0</v>
      </c>
      <c r="AB6" s="3">
        <f t="shared" si="1"/>
        <v>3015.1369999999997</v>
      </c>
      <c r="AC6" s="3">
        <f t="shared" si="1"/>
        <v>0</v>
      </c>
      <c r="AD6" s="3">
        <f t="shared" si="1"/>
        <v>31.5</v>
      </c>
      <c r="AE6" s="3">
        <f t="shared" si="1"/>
        <v>0</v>
      </c>
      <c r="AF6" s="3">
        <f t="shared" ref="AF6:AL9" si="4">AF11+AF156</f>
        <v>0</v>
      </c>
      <c r="AG6" s="3">
        <f t="shared" si="4"/>
        <v>0</v>
      </c>
      <c r="AH6" s="3">
        <f t="shared" si="4"/>
        <v>0</v>
      </c>
      <c r="AI6" s="3">
        <f t="shared" si="4"/>
        <v>0</v>
      </c>
      <c r="AJ6" s="3">
        <f t="shared" si="4"/>
        <v>0</v>
      </c>
      <c r="AK6" s="3">
        <f t="shared" si="4"/>
        <v>192946.75</v>
      </c>
      <c r="AL6" s="3">
        <f t="shared" si="4"/>
        <v>192946.75</v>
      </c>
      <c r="AM6" s="385">
        <f>ROUND((Q6*100%/P6*100),2)</f>
        <v>0</v>
      </c>
      <c r="AN6" s="3">
        <f t="shared" ref="AN6:AO9" si="5">AN11+AN156</f>
        <v>0</v>
      </c>
      <c r="AO6" s="3">
        <f t="shared" si="5"/>
        <v>0</v>
      </c>
      <c r="AP6" s="632"/>
      <c r="AQ6" s="95">
        <f>AQ11+AQ156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si="1"/>
        <v>175498.53000000003</v>
      </c>
      <c r="Q7" s="3">
        <f t="shared" si="1"/>
        <v>1978.65</v>
      </c>
      <c r="R7" s="3">
        <f t="shared" si="1"/>
        <v>12156.708000000001</v>
      </c>
      <c r="S7" s="3">
        <f t="shared" si="1"/>
        <v>12573.374</v>
      </c>
      <c r="T7" s="3">
        <f t="shared" si="1"/>
        <v>22089.049000000003</v>
      </c>
      <c r="U7" s="3">
        <f t="shared" si="1"/>
        <v>21847.228999999999</v>
      </c>
      <c r="V7" s="3">
        <f t="shared" si="1"/>
        <v>6338.5969999999998</v>
      </c>
      <c r="W7" s="3">
        <f t="shared" si="1"/>
        <v>7317.3669999999993</v>
      </c>
      <c r="X7" s="3">
        <f t="shared" si="1"/>
        <v>0</v>
      </c>
      <c r="Y7" s="3">
        <f t="shared" si="1"/>
        <v>0</v>
      </c>
      <c r="Z7" s="95">
        <f t="shared" si="1"/>
        <v>0</v>
      </c>
      <c r="AA7" s="3">
        <f t="shared" si="1"/>
        <v>2020</v>
      </c>
      <c r="AB7" s="3">
        <f t="shared" si="1"/>
        <v>40.5</v>
      </c>
      <c r="AC7" s="3">
        <f t="shared" si="1"/>
        <v>4148.6930000000002</v>
      </c>
      <c r="AD7" s="3">
        <f t="shared" si="1"/>
        <v>72764.314890000009</v>
      </c>
      <c r="AE7" s="3">
        <f t="shared" si="1"/>
        <v>0</v>
      </c>
      <c r="AF7" s="3">
        <f t="shared" si="4"/>
        <v>0</v>
      </c>
      <c r="AG7" s="3">
        <f t="shared" si="4"/>
        <v>0</v>
      </c>
      <c r="AH7" s="3">
        <f t="shared" si="4"/>
        <v>0</v>
      </c>
      <c r="AI7" s="3">
        <f t="shared" si="4"/>
        <v>0</v>
      </c>
      <c r="AJ7" s="3">
        <f t="shared" si="4"/>
        <v>0</v>
      </c>
      <c r="AK7" s="3">
        <f t="shared" si="4"/>
        <v>124773.79000000001</v>
      </c>
      <c r="AL7" s="3">
        <f t="shared" si="4"/>
        <v>124773.79000000001</v>
      </c>
      <c r="AM7" s="385">
        <f>ROUND((Q7*100%/P7*100),2)</f>
        <v>1.1299999999999999</v>
      </c>
      <c r="AN7" s="3">
        <f t="shared" si="5"/>
        <v>0</v>
      </c>
      <c r="AO7" s="3">
        <f t="shared" si="5"/>
        <v>0</v>
      </c>
      <c r="AP7" s="632"/>
      <c r="AQ7" s="95">
        <f>AQ12+AQ157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si="1"/>
        <v>0</v>
      </c>
      <c r="Q8" s="3">
        <f t="shared" si="1"/>
        <v>54159.300939999994</v>
      </c>
      <c r="R8" s="3">
        <f t="shared" si="1"/>
        <v>21705.95</v>
      </c>
      <c r="S8" s="3">
        <f t="shared" si="1"/>
        <v>21705.95</v>
      </c>
      <c r="T8" s="3">
        <f t="shared" si="1"/>
        <v>67610.615609999993</v>
      </c>
      <c r="U8" s="3">
        <f t="shared" si="1"/>
        <v>67610.615609999993</v>
      </c>
      <c r="V8" s="3">
        <f t="shared" si="1"/>
        <v>50383.255000000005</v>
      </c>
      <c r="W8" s="3">
        <f t="shared" si="1"/>
        <v>50383.255000000005</v>
      </c>
      <c r="X8" s="3">
        <f t="shared" si="1"/>
        <v>21705.95</v>
      </c>
      <c r="Y8" s="3">
        <f t="shared" si="1"/>
        <v>21705.95</v>
      </c>
      <c r="Z8" s="95">
        <f t="shared" si="1"/>
        <v>0</v>
      </c>
      <c r="AA8" s="3">
        <f t="shared" si="1"/>
        <v>61545.643409999997</v>
      </c>
      <c r="AB8" s="3">
        <f t="shared" si="1"/>
        <v>17522.268</v>
      </c>
      <c r="AC8" s="3">
        <f t="shared" si="1"/>
        <v>32106.996000000003</v>
      </c>
      <c r="AD8" s="3">
        <f t="shared" si="1"/>
        <v>0</v>
      </c>
      <c r="AE8" s="3">
        <f t="shared" si="1"/>
        <v>0</v>
      </c>
      <c r="AF8" s="3">
        <f t="shared" si="4"/>
        <v>0</v>
      </c>
      <c r="AG8" s="3">
        <f t="shared" si="4"/>
        <v>0</v>
      </c>
      <c r="AH8" s="3">
        <f t="shared" si="4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85">
        <v>0</v>
      </c>
      <c r="AN8" s="3">
        <f t="shared" si="5"/>
        <v>0</v>
      </c>
      <c r="AO8" s="3">
        <f t="shared" si="5"/>
        <v>0</v>
      </c>
      <c r="AP8" s="632"/>
      <c r="AQ8" s="95">
        <f>AQ13+AQ158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si="1"/>
        <v>0</v>
      </c>
      <c r="Q9" s="3">
        <f t="shared" si="1"/>
        <v>0</v>
      </c>
      <c r="R9" s="3">
        <f t="shared" si="1"/>
        <v>37814.324000000001</v>
      </c>
      <c r="S9" s="3">
        <f t="shared" si="1"/>
        <v>37814.324000000001</v>
      </c>
      <c r="T9" s="3">
        <f t="shared" si="1"/>
        <v>0</v>
      </c>
      <c r="U9" s="3">
        <f t="shared" si="1"/>
        <v>0</v>
      </c>
      <c r="V9" s="3">
        <f t="shared" si="1"/>
        <v>0</v>
      </c>
      <c r="W9" s="3">
        <f t="shared" si="1"/>
        <v>0</v>
      </c>
      <c r="X9" s="3">
        <f t="shared" si="1"/>
        <v>0</v>
      </c>
      <c r="Y9" s="3">
        <f t="shared" si="1"/>
        <v>0</v>
      </c>
      <c r="Z9" s="95">
        <f t="shared" si="1"/>
        <v>0</v>
      </c>
      <c r="AA9" s="3">
        <f t="shared" si="1"/>
        <v>0</v>
      </c>
      <c r="AB9" s="3">
        <f t="shared" si="1"/>
        <v>0</v>
      </c>
      <c r="AC9" s="3">
        <f t="shared" si="1"/>
        <v>0</v>
      </c>
      <c r="AD9" s="3">
        <f t="shared" si="1"/>
        <v>0</v>
      </c>
      <c r="AE9" s="3">
        <f t="shared" si="1"/>
        <v>0</v>
      </c>
      <c r="AF9" s="3">
        <f t="shared" si="4"/>
        <v>0</v>
      </c>
      <c r="AG9" s="3">
        <f t="shared" si="4"/>
        <v>0</v>
      </c>
      <c r="AH9" s="3">
        <f t="shared" si="4"/>
        <v>0</v>
      </c>
      <c r="AI9" s="3">
        <f t="shared" si="4"/>
        <v>0</v>
      </c>
      <c r="AJ9" s="3">
        <f t="shared" si="4"/>
        <v>0</v>
      </c>
      <c r="AK9" s="3">
        <f t="shared" si="4"/>
        <v>0</v>
      </c>
      <c r="AL9" s="3">
        <f t="shared" si="4"/>
        <v>0</v>
      </c>
      <c r="AM9" s="385">
        <v>0</v>
      </c>
      <c r="AN9" s="3">
        <f t="shared" si="5"/>
        <v>0</v>
      </c>
      <c r="AO9" s="3">
        <f t="shared" si="5"/>
        <v>0</v>
      </c>
      <c r="AP9" s="632"/>
      <c r="AQ9" s="95">
        <f>AQ14+AQ159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6">J11+J12+J13+J14</f>
        <v>1940430.69</v>
      </c>
      <c r="K10" s="922">
        <f t="shared" si="6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6"/>
        <v>363282.47</v>
      </c>
      <c r="O10" s="922">
        <f t="shared" si="6"/>
        <v>116582.55</v>
      </c>
      <c r="P10" s="923">
        <f>P19+P33+P36+P47+P58+P68+P82+P86+P93+P96+P99+P102+P108+P113+P116+P120+P125+P138+P40+P62+P132+P135+P72+P76+P143+P148</f>
        <v>226744.65400000001</v>
      </c>
      <c r="Q10" s="923">
        <f t="shared" ref="Q10:Z10" si="7">Q19+Q33+Q36+Q47+Q58+Q68+Q82+Q86+Q93+Q96+Q99+Q102+Q108+Q113+Q116+Q120+Q125+Q138+Q40+Q62+Q132+Q135+Q72+Q76+Q143+Q148</f>
        <v>110.67214999999999</v>
      </c>
      <c r="R10" s="923">
        <f t="shared" si="7"/>
        <v>49571.563999999998</v>
      </c>
      <c r="S10" s="923">
        <f t="shared" si="7"/>
        <v>49988.229999999996</v>
      </c>
      <c r="T10" s="923">
        <f t="shared" si="7"/>
        <v>65950.61860999999</v>
      </c>
      <c r="U10" s="923">
        <f t="shared" si="7"/>
        <v>65705.398609999989</v>
      </c>
      <c r="V10" s="923">
        <f t="shared" si="7"/>
        <v>2007.1869999999999</v>
      </c>
      <c r="W10" s="923">
        <f t="shared" si="7"/>
        <v>2047.0429999999999</v>
      </c>
      <c r="X10" s="923">
        <f t="shared" si="7"/>
        <v>0</v>
      </c>
      <c r="Y10" s="923">
        <f t="shared" si="7"/>
        <v>0</v>
      </c>
      <c r="Z10" s="923">
        <f t="shared" si="7"/>
        <v>0</v>
      </c>
      <c r="AA10" s="923">
        <f>AA19+AA33+AA36+AA47+AA58+AA68+AA82+AA86+AA93+AA96+AA99+AA102+AA108+AA113+AA116+AA120+AA125+AA138+AA40+AA62+AA132+AA135+AA72+AA76+AA143+AA148</f>
        <v>110.67214999999999</v>
      </c>
      <c r="AB10" s="923">
        <f t="shared" ref="AB10:AO10" si="8">AB11+AB12+AB13+AB14</f>
        <v>106.83</v>
      </c>
      <c r="AC10" s="923">
        <f t="shared" si="8"/>
        <v>914.28300000000002</v>
      </c>
      <c r="AD10" s="923">
        <f t="shared" si="8"/>
        <v>3005.3339999999998</v>
      </c>
      <c r="AE10" s="923">
        <f t="shared" si="8"/>
        <v>0</v>
      </c>
      <c r="AF10" s="923">
        <f t="shared" si="8"/>
        <v>0</v>
      </c>
      <c r="AG10" s="923">
        <f t="shared" si="8"/>
        <v>0</v>
      </c>
      <c r="AH10" s="923">
        <f t="shared" si="8"/>
        <v>0</v>
      </c>
      <c r="AI10" s="923">
        <f t="shared" si="8"/>
        <v>0</v>
      </c>
      <c r="AJ10" s="923">
        <f t="shared" si="8"/>
        <v>0</v>
      </c>
      <c r="AK10" s="923">
        <f t="shared" si="8"/>
        <v>170072.3</v>
      </c>
      <c r="AL10" s="923">
        <f t="shared" si="8"/>
        <v>170072.3</v>
      </c>
      <c r="AM10" s="923" t="e">
        <f t="shared" si="8"/>
        <v>#DIV/0!</v>
      </c>
      <c r="AN10" s="923">
        <f t="shared" si="8"/>
        <v>0</v>
      </c>
      <c r="AO10" s="923">
        <f t="shared" si="8"/>
        <v>0</v>
      </c>
      <c r="AP10" s="924"/>
      <c r="AQ10" s="923">
        <f>AQ19+AQ33+AQ36+AQ47+AQ58+AQ68+AQ82+AQ86+AQ93+AQ96+AQ99+AQ102+AQ108+AQ113+AQ116+AQ120+AQ125+AQ138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9">J15+J128</f>
        <v>977955.46</v>
      </c>
      <c r="K11" s="47">
        <f t="shared" si="9"/>
        <v>251829.19999999995</v>
      </c>
      <c r="L11" s="47">
        <f t="shared" si="9"/>
        <v>750480.15999999992</v>
      </c>
      <c r="M11" s="47">
        <f t="shared" si="9"/>
        <v>96658.23</v>
      </c>
      <c r="N11" s="47">
        <f t="shared" si="9"/>
        <v>83716.939999999988</v>
      </c>
      <c r="O11" s="47">
        <f t="shared" si="9"/>
        <v>78886.680000000008</v>
      </c>
      <c r="P11" s="47">
        <f t="shared" si="9"/>
        <v>164000</v>
      </c>
      <c r="Q11" s="47">
        <f t="shared" si="9"/>
        <v>0</v>
      </c>
      <c r="R11" s="47">
        <f t="shared" si="9"/>
        <v>384.71</v>
      </c>
      <c r="S11" s="47">
        <f t="shared" si="9"/>
        <v>384.71</v>
      </c>
      <c r="T11" s="47">
        <f t="shared" si="9"/>
        <v>0</v>
      </c>
      <c r="U11" s="47">
        <f t="shared" si="9"/>
        <v>0</v>
      </c>
      <c r="V11" s="47">
        <f t="shared" si="9"/>
        <v>0</v>
      </c>
      <c r="W11" s="47">
        <f t="shared" si="9"/>
        <v>0</v>
      </c>
      <c r="X11" s="47">
        <f t="shared" si="9"/>
        <v>0</v>
      </c>
      <c r="Y11" s="47">
        <f t="shared" si="9"/>
        <v>0</v>
      </c>
      <c r="Z11" s="96"/>
      <c r="AA11" s="47">
        <f t="shared" ref="AA11:AO11" si="10">AA15+AA128</f>
        <v>0</v>
      </c>
      <c r="AB11" s="47">
        <f t="shared" si="10"/>
        <v>66.33</v>
      </c>
      <c r="AC11" s="47">
        <f t="shared" si="10"/>
        <v>0</v>
      </c>
      <c r="AD11" s="47">
        <f t="shared" si="10"/>
        <v>0</v>
      </c>
      <c r="AE11" s="47">
        <f t="shared" si="10"/>
        <v>0</v>
      </c>
      <c r="AF11" s="47">
        <f t="shared" si="10"/>
        <v>0</v>
      </c>
      <c r="AG11" s="47">
        <f t="shared" si="10"/>
        <v>0</v>
      </c>
      <c r="AH11" s="47">
        <f t="shared" si="10"/>
        <v>0</v>
      </c>
      <c r="AI11" s="47">
        <f t="shared" si="10"/>
        <v>0</v>
      </c>
      <c r="AJ11" s="47">
        <f t="shared" si="10"/>
        <v>0</v>
      </c>
      <c r="AK11" s="47">
        <f t="shared" si="10"/>
        <v>164000</v>
      </c>
      <c r="AL11" s="47">
        <f t="shared" si="10"/>
        <v>164000</v>
      </c>
      <c r="AM11" s="47">
        <f t="shared" si="10"/>
        <v>0</v>
      </c>
      <c r="AN11" s="47">
        <f t="shared" si="10"/>
        <v>0</v>
      </c>
      <c r="AO11" s="47">
        <f t="shared" si="10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J16+J44+J52+J65+J79+J129</f>
        <v>236854.15</v>
      </c>
      <c r="K12" s="47">
        <f>K16+K65+K129</f>
        <v>0</v>
      </c>
      <c r="L12" s="47">
        <f t="shared" ref="L12:Y12" si="11">L16+L44+L52+L65+L79+L129</f>
        <v>230331.37</v>
      </c>
      <c r="M12" s="47">
        <f t="shared" si="11"/>
        <v>24568.73</v>
      </c>
      <c r="N12" s="47">
        <f t="shared" si="11"/>
        <v>46592.61</v>
      </c>
      <c r="O12" s="47">
        <f t="shared" si="11"/>
        <v>37695.869999999995</v>
      </c>
      <c r="P12" s="47">
        <f t="shared" si="11"/>
        <v>43488.07</v>
      </c>
      <c r="Q12" s="47">
        <f t="shared" si="11"/>
        <v>75</v>
      </c>
      <c r="R12" s="47">
        <f t="shared" si="11"/>
        <v>11372.53</v>
      </c>
      <c r="S12" s="47">
        <f t="shared" si="11"/>
        <v>11789.196</v>
      </c>
      <c r="T12" s="47">
        <f t="shared" si="11"/>
        <v>18085.953000000001</v>
      </c>
      <c r="U12" s="47">
        <f t="shared" si="11"/>
        <v>17840.733</v>
      </c>
      <c r="V12" s="47">
        <f t="shared" si="11"/>
        <v>2007.1869999999999</v>
      </c>
      <c r="W12" s="47">
        <f t="shared" si="11"/>
        <v>2047.0429999999999</v>
      </c>
      <c r="X12" s="47">
        <f t="shared" si="11"/>
        <v>0</v>
      </c>
      <c r="Y12" s="47">
        <f t="shared" si="11"/>
        <v>0</v>
      </c>
      <c r="Z12" s="96"/>
      <c r="AA12" s="47">
        <f t="shared" ref="AA12:AO12" si="12">AA16+AA44+AA52+AA65+AA79+AA129</f>
        <v>75</v>
      </c>
      <c r="AB12" s="47">
        <f t="shared" si="12"/>
        <v>40.5</v>
      </c>
      <c r="AC12" s="47">
        <f t="shared" si="12"/>
        <v>907.08299999999997</v>
      </c>
      <c r="AD12" s="47">
        <f t="shared" si="12"/>
        <v>3005.3339999999998</v>
      </c>
      <c r="AE12" s="47">
        <f t="shared" si="12"/>
        <v>0</v>
      </c>
      <c r="AF12" s="47">
        <f t="shared" si="12"/>
        <v>0</v>
      </c>
      <c r="AG12" s="47">
        <f t="shared" si="12"/>
        <v>0</v>
      </c>
      <c r="AH12" s="47">
        <f t="shared" si="12"/>
        <v>0</v>
      </c>
      <c r="AI12" s="47">
        <f t="shared" si="12"/>
        <v>0</v>
      </c>
      <c r="AJ12" s="47">
        <f t="shared" si="12"/>
        <v>0</v>
      </c>
      <c r="AK12" s="47">
        <f t="shared" si="12"/>
        <v>6072.3000000000011</v>
      </c>
      <c r="AL12" s="47">
        <f t="shared" si="12"/>
        <v>6072.3000000000011</v>
      </c>
      <c r="AM12" s="47" t="e">
        <f t="shared" si="12"/>
        <v>#DIV/0!</v>
      </c>
      <c r="AN12" s="47">
        <f t="shared" si="12"/>
        <v>0</v>
      </c>
      <c r="AO12" s="47">
        <f t="shared" si="12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13">J17+J66+J130+J45</f>
        <v>23417.360000000001</v>
      </c>
      <c r="K13" s="47">
        <f t="shared" si="13"/>
        <v>0</v>
      </c>
      <c r="L13" s="47">
        <f t="shared" si="13"/>
        <v>172003.82</v>
      </c>
      <c r="M13" s="47">
        <f t="shared" si="13"/>
        <v>135504.01</v>
      </c>
      <c r="N13" s="47">
        <f t="shared" si="13"/>
        <v>36499.81</v>
      </c>
      <c r="O13" s="47">
        <f t="shared" si="13"/>
        <v>0</v>
      </c>
      <c r="P13" s="47">
        <f t="shared" si="13"/>
        <v>0</v>
      </c>
      <c r="Q13" s="47">
        <f t="shared" si="13"/>
        <v>0</v>
      </c>
      <c r="R13" s="47">
        <f t="shared" si="13"/>
        <v>0</v>
      </c>
      <c r="S13" s="47">
        <f t="shared" si="13"/>
        <v>0</v>
      </c>
      <c r="T13" s="47">
        <f t="shared" si="13"/>
        <v>45904.665609999996</v>
      </c>
      <c r="U13" s="47">
        <f t="shared" si="13"/>
        <v>45904.665609999996</v>
      </c>
      <c r="V13" s="47">
        <f t="shared" si="13"/>
        <v>0</v>
      </c>
      <c r="W13" s="47">
        <f t="shared" si="13"/>
        <v>0</v>
      </c>
      <c r="X13" s="47">
        <f t="shared" si="13"/>
        <v>0</v>
      </c>
      <c r="Y13" s="47">
        <f t="shared" si="13"/>
        <v>0</v>
      </c>
      <c r="Z13" s="96"/>
      <c r="AA13" s="47">
        <f t="shared" ref="AA13:AO13" si="14">AA17+AA66+AA130+AA45</f>
        <v>0</v>
      </c>
      <c r="AB13" s="47">
        <f t="shared" si="14"/>
        <v>0</v>
      </c>
      <c r="AC13" s="47">
        <f t="shared" si="14"/>
        <v>7.2</v>
      </c>
      <c r="AD13" s="47">
        <f t="shared" si="14"/>
        <v>0</v>
      </c>
      <c r="AE13" s="47">
        <f t="shared" si="14"/>
        <v>0</v>
      </c>
      <c r="AF13" s="47">
        <f t="shared" si="14"/>
        <v>0</v>
      </c>
      <c r="AG13" s="47">
        <f t="shared" si="14"/>
        <v>0</v>
      </c>
      <c r="AH13" s="47">
        <f t="shared" si="14"/>
        <v>0</v>
      </c>
      <c r="AI13" s="47">
        <f t="shared" si="14"/>
        <v>0</v>
      </c>
      <c r="AJ13" s="47">
        <f t="shared" si="14"/>
        <v>0</v>
      </c>
      <c r="AK13" s="47">
        <f t="shared" si="14"/>
        <v>0</v>
      </c>
      <c r="AL13" s="47">
        <f t="shared" si="14"/>
        <v>0</v>
      </c>
      <c r="AM13" s="47">
        <f t="shared" si="14"/>
        <v>0</v>
      </c>
      <c r="AN13" s="47">
        <f t="shared" si="14"/>
        <v>0</v>
      </c>
      <c r="AO13" s="47">
        <f t="shared" si="14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15">J18+J67+J131</f>
        <v>702203.72</v>
      </c>
      <c r="K14" s="607">
        <f t="shared" si="15"/>
        <v>702203.72</v>
      </c>
      <c r="L14" s="607">
        <f t="shared" si="15"/>
        <v>789617.84</v>
      </c>
      <c r="M14" s="607">
        <f t="shared" si="15"/>
        <v>348941.19</v>
      </c>
      <c r="N14" s="607">
        <f t="shared" si="15"/>
        <v>196473.11</v>
      </c>
      <c r="O14" s="607">
        <f t="shared" si="15"/>
        <v>0</v>
      </c>
      <c r="P14" s="607">
        <f t="shared" si="15"/>
        <v>0</v>
      </c>
      <c r="Q14" s="607">
        <f t="shared" si="15"/>
        <v>0</v>
      </c>
      <c r="R14" s="607">
        <f t="shared" si="15"/>
        <v>37814.324000000001</v>
      </c>
      <c r="S14" s="607">
        <f t="shared" si="15"/>
        <v>37814.324000000001</v>
      </c>
      <c r="T14" s="607">
        <f t="shared" si="15"/>
        <v>0</v>
      </c>
      <c r="U14" s="607">
        <f t="shared" si="15"/>
        <v>0</v>
      </c>
      <c r="V14" s="607">
        <f t="shared" si="15"/>
        <v>0</v>
      </c>
      <c r="W14" s="607">
        <f t="shared" si="15"/>
        <v>0</v>
      </c>
      <c r="X14" s="607">
        <f t="shared" si="15"/>
        <v>0</v>
      </c>
      <c r="Y14" s="607">
        <f t="shared" si="15"/>
        <v>0</v>
      </c>
      <c r="Z14" s="674"/>
      <c r="AA14" s="607">
        <f t="shared" ref="AA14:AO14" si="16">AA18+AA67+AA131</f>
        <v>0</v>
      </c>
      <c r="AB14" s="607">
        <f t="shared" si="16"/>
        <v>0</v>
      </c>
      <c r="AC14" s="607">
        <f t="shared" si="16"/>
        <v>0</v>
      </c>
      <c r="AD14" s="607">
        <f t="shared" si="16"/>
        <v>0</v>
      </c>
      <c r="AE14" s="607">
        <f t="shared" si="16"/>
        <v>0</v>
      </c>
      <c r="AF14" s="607">
        <f t="shared" si="16"/>
        <v>0</v>
      </c>
      <c r="AG14" s="607">
        <f t="shared" si="16"/>
        <v>0</v>
      </c>
      <c r="AH14" s="607">
        <f t="shared" si="16"/>
        <v>0</v>
      </c>
      <c r="AI14" s="607">
        <f t="shared" si="16"/>
        <v>0</v>
      </c>
      <c r="AJ14" s="607">
        <f t="shared" si="16"/>
        <v>0</v>
      </c>
      <c r="AK14" s="607">
        <f t="shared" si="16"/>
        <v>0</v>
      </c>
      <c r="AL14" s="607">
        <f t="shared" si="16"/>
        <v>0</v>
      </c>
      <c r="AM14" s="607">
        <f t="shared" si="16"/>
        <v>0</v>
      </c>
      <c r="AN14" s="607">
        <f t="shared" si="16"/>
        <v>0</v>
      </c>
      <c r="AO14" s="607">
        <f t="shared" si="16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17">J20+J33+J36</f>
        <v>977955.46</v>
      </c>
      <c r="K15" s="47">
        <f t="shared" si="17"/>
        <v>251829.19999999995</v>
      </c>
      <c r="L15" s="47">
        <f t="shared" si="17"/>
        <v>750480.15999999992</v>
      </c>
      <c r="M15" s="47">
        <f t="shared" si="17"/>
        <v>96658.23</v>
      </c>
      <c r="N15" s="47">
        <f t="shared" si="17"/>
        <v>83716.939999999988</v>
      </c>
      <c r="O15" s="47">
        <f t="shared" si="17"/>
        <v>78886.680000000008</v>
      </c>
      <c r="P15" s="47">
        <f t="shared" si="17"/>
        <v>164000</v>
      </c>
      <c r="Q15" s="47">
        <f t="shared" si="17"/>
        <v>0</v>
      </c>
      <c r="R15" s="47">
        <f t="shared" si="17"/>
        <v>384.71</v>
      </c>
      <c r="S15" s="47">
        <f t="shared" si="17"/>
        <v>384.71</v>
      </c>
      <c r="T15" s="47">
        <f t="shared" si="17"/>
        <v>0</v>
      </c>
      <c r="U15" s="47">
        <f t="shared" si="17"/>
        <v>0</v>
      </c>
      <c r="V15" s="47">
        <f t="shared" si="17"/>
        <v>0</v>
      </c>
      <c r="W15" s="47">
        <f t="shared" si="17"/>
        <v>0</v>
      </c>
      <c r="X15" s="47">
        <f t="shared" si="17"/>
        <v>0</v>
      </c>
      <c r="Y15" s="47">
        <f t="shared" si="17"/>
        <v>0</v>
      </c>
      <c r="Z15" s="96"/>
      <c r="AA15" s="47">
        <f t="shared" ref="AA15:AO15" si="18">AA20+AA33+AA36</f>
        <v>0</v>
      </c>
      <c r="AB15" s="47">
        <f t="shared" si="18"/>
        <v>66.33</v>
      </c>
      <c r="AC15" s="47">
        <f t="shared" si="18"/>
        <v>0</v>
      </c>
      <c r="AD15" s="47">
        <f t="shared" si="18"/>
        <v>0</v>
      </c>
      <c r="AE15" s="47">
        <f t="shared" si="18"/>
        <v>0</v>
      </c>
      <c r="AF15" s="47">
        <f t="shared" si="18"/>
        <v>0</v>
      </c>
      <c r="AG15" s="47">
        <f t="shared" si="18"/>
        <v>0</v>
      </c>
      <c r="AH15" s="47">
        <f t="shared" si="18"/>
        <v>0</v>
      </c>
      <c r="AI15" s="47">
        <f t="shared" si="18"/>
        <v>0</v>
      </c>
      <c r="AJ15" s="47">
        <f t="shared" si="18"/>
        <v>0</v>
      </c>
      <c r="AK15" s="47">
        <f t="shared" si="18"/>
        <v>164000</v>
      </c>
      <c r="AL15" s="47">
        <f t="shared" si="18"/>
        <v>164000</v>
      </c>
      <c r="AM15" s="47">
        <f t="shared" si="18"/>
        <v>0</v>
      </c>
      <c r="AN15" s="47">
        <f t="shared" si="18"/>
        <v>0</v>
      </c>
      <c r="AO15" s="47">
        <f t="shared" si="18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19">R30</f>
        <v>0</v>
      </c>
      <c r="S17" s="47">
        <f t="shared" si="19"/>
        <v>0</v>
      </c>
      <c r="T17" s="47">
        <f t="shared" si="19"/>
        <v>45904.665609999996</v>
      </c>
      <c r="U17" s="47">
        <f>U30</f>
        <v>45904.665609999996</v>
      </c>
      <c r="V17" s="47">
        <f t="shared" si="19"/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  <c r="Z17" s="96"/>
      <c r="AA17" s="47">
        <f t="shared" si="19"/>
        <v>0</v>
      </c>
      <c r="AB17" s="47">
        <f t="shared" si="19"/>
        <v>0</v>
      </c>
      <c r="AC17" s="47">
        <f t="shared" si="19"/>
        <v>0</v>
      </c>
      <c r="AD17" s="47">
        <f t="shared" si="19"/>
        <v>0</v>
      </c>
      <c r="AE17" s="47">
        <f t="shared" si="19"/>
        <v>0</v>
      </c>
      <c r="AF17" s="47">
        <f t="shared" si="19"/>
        <v>0</v>
      </c>
      <c r="AG17" s="47">
        <f t="shared" si="19"/>
        <v>0</v>
      </c>
      <c r="AH17" s="47">
        <f t="shared" si="19"/>
        <v>0</v>
      </c>
      <c r="AI17" s="47">
        <f t="shared" si="19"/>
        <v>0</v>
      </c>
      <c r="AJ17" s="47">
        <f t="shared" si="19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0">J28</f>
        <v>702203.72</v>
      </c>
      <c r="K18" s="47">
        <f t="shared" si="20"/>
        <v>702203.72</v>
      </c>
      <c r="L18" s="47">
        <f t="shared" si="20"/>
        <v>789617.84</v>
      </c>
      <c r="M18" s="47">
        <f t="shared" si="20"/>
        <v>348941.19</v>
      </c>
      <c r="N18" s="47">
        <f t="shared" si="20"/>
        <v>196473.11</v>
      </c>
      <c r="O18" s="47">
        <f t="shared" si="20"/>
        <v>0</v>
      </c>
      <c r="P18" s="47">
        <f t="shared" si="20"/>
        <v>0</v>
      </c>
      <c r="Q18" s="47">
        <f t="shared" si="20"/>
        <v>0</v>
      </c>
      <c r="R18" s="47">
        <f t="shared" si="20"/>
        <v>37814.324000000001</v>
      </c>
      <c r="S18" s="47">
        <f t="shared" si="20"/>
        <v>37814.324000000001</v>
      </c>
      <c r="T18" s="47">
        <f t="shared" si="20"/>
        <v>0</v>
      </c>
      <c r="U18" s="47">
        <f t="shared" si="20"/>
        <v>0</v>
      </c>
      <c r="V18" s="47">
        <f t="shared" si="20"/>
        <v>0</v>
      </c>
      <c r="W18" s="47">
        <f t="shared" si="20"/>
        <v>0</v>
      </c>
      <c r="X18" s="47">
        <f t="shared" si="20"/>
        <v>0</v>
      </c>
      <c r="Y18" s="47">
        <f t="shared" si="20"/>
        <v>0</v>
      </c>
      <c r="Z18" s="96"/>
      <c r="AA18" s="47">
        <f t="shared" si="20"/>
        <v>0</v>
      </c>
      <c r="AB18" s="47">
        <f t="shared" si="20"/>
        <v>0</v>
      </c>
      <c r="AC18" s="47">
        <f t="shared" si="20"/>
        <v>0</v>
      </c>
      <c r="AD18" s="47">
        <f t="shared" si="20"/>
        <v>0</v>
      </c>
      <c r="AE18" s="47">
        <f t="shared" si="20"/>
        <v>0</v>
      </c>
      <c r="AF18" s="47">
        <f t="shared" si="20"/>
        <v>0</v>
      </c>
      <c r="AG18" s="47">
        <f t="shared" si="20"/>
        <v>0</v>
      </c>
      <c r="AH18" s="47">
        <f t="shared" si="20"/>
        <v>0</v>
      </c>
      <c r="AI18" s="47">
        <f t="shared" si="20"/>
        <v>0</v>
      </c>
      <c r="AJ18" s="47">
        <f t="shared" si="20"/>
        <v>0</v>
      </c>
      <c r="AK18" s="47">
        <f t="shared" si="20"/>
        <v>0</v>
      </c>
      <c r="AL18" s="47">
        <f t="shared" si="20"/>
        <v>0</v>
      </c>
      <c r="AM18" s="47">
        <f t="shared" si="20"/>
        <v>0</v>
      </c>
      <c r="AN18" s="47">
        <f t="shared" si="20"/>
        <v>0</v>
      </c>
      <c r="AO18" s="47">
        <f t="shared" si="20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1">L20+L28+L30</f>
        <v>1083165.3899999999</v>
      </c>
      <c r="M19" s="318">
        <f t="shared" si="21"/>
        <v>560860.31000000006</v>
      </c>
      <c r="N19" s="318">
        <f t="shared" si="21"/>
        <v>232972.91999999998</v>
      </c>
      <c r="O19" s="318">
        <f t="shared" si="21"/>
        <v>0</v>
      </c>
      <c r="P19" s="318">
        <f t="shared" si="21"/>
        <v>0</v>
      </c>
      <c r="Q19" s="318">
        <f>Q20+Q28+Q30</f>
        <v>0</v>
      </c>
      <c r="R19" s="318">
        <f t="shared" ref="R19:X19" si="22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2"/>
        <v>0</v>
      </c>
      <c r="W19" s="318">
        <f t="shared" si="22"/>
        <v>0</v>
      </c>
      <c r="X19" s="318">
        <f t="shared" si="22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23">AB20+AB28</f>
        <v>66.33</v>
      </c>
      <c r="AC19" s="318">
        <f t="shared" si="23"/>
        <v>0</v>
      </c>
      <c r="AD19" s="318">
        <f t="shared" si="23"/>
        <v>0</v>
      </c>
      <c r="AE19" s="318">
        <f t="shared" si="23"/>
        <v>0</v>
      </c>
      <c r="AF19" s="318">
        <f t="shared" si="23"/>
        <v>0</v>
      </c>
      <c r="AG19" s="318">
        <f t="shared" si="23"/>
        <v>0</v>
      </c>
      <c r="AH19" s="318">
        <f t="shared" si="23"/>
        <v>0</v>
      </c>
      <c r="AI19" s="318">
        <f t="shared" si="23"/>
        <v>0</v>
      </c>
      <c r="AJ19" s="318">
        <f t="shared" si="23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019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24">SUM(R21:R27)</f>
        <v>384.71</v>
      </c>
      <c r="S20" s="47">
        <f t="shared" si="24"/>
        <v>384.71</v>
      </c>
      <c r="T20" s="47">
        <f t="shared" si="24"/>
        <v>0</v>
      </c>
      <c r="U20" s="47">
        <f t="shared" si="24"/>
        <v>0</v>
      </c>
      <c r="V20" s="47">
        <f t="shared" si="24"/>
        <v>0</v>
      </c>
      <c r="W20" s="47">
        <f>SUM(W21:W27)</f>
        <v>0</v>
      </c>
      <c r="X20" s="47">
        <f t="shared" si="24"/>
        <v>0</v>
      </c>
      <c r="Y20" s="47">
        <f t="shared" si="24"/>
        <v>0</v>
      </c>
      <c r="Z20" s="96"/>
      <c r="AA20" s="47">
        <f t="shared" ref="AA20:AJ20" si="25">SUM(AA21:AA27)</f>
        <v>0</v>
      </c>
      <c r="AB20" s="47">
        <f t="shared" si="25"/>
        <v>66.33</v>
      </c>
      <c r="AC20" s="47">
        <f t="shared" si="25"/>
        <v>0</v>
      </c>
      <c r="AD20" s="47">
        <f t="shared" si="25"/>
        <v>0</v>
      </c>
      <c r="AE20" s="47">
        <f t="shared" si="25"/>
        <v>0</v>
      </c>
      <c r="AF20" s="47">
        <f t="shared" si="25"/>
        <v>0</v>
      </c>
      <c r="AG20" s="47">
        <f t="shared" si="25"/>
        <v>0</v>
      </c>
      <c r="AH20" s="47">
        <f t="shared" si="25"/>
        <v>0</v>
      </c>
      <c r="AI20" s="47">
        <f t="shared" si="25"/>
        <v>0</v>
      </c>
      <c r="AJ20" s="47">
        <f t="shared" si="25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26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26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26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27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26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27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26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27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26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27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26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995"/>
      <c r="D28" s="995"/>
      <c r="E28" s="995"/>
      <c r="F28" s="1035"/>
      <c r="G28" s="995"/>
      <c r="H28" s="995"/>
      <c r="I28" s="23" t="s">
        <v>9</v>
      </c>
      <c r="J28" s="1039">
        <f>K28</f>
        <v>702203.72</v>
      </c>
      <c r="K28" s="1039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28">SUM(T29:T29)</f>
        <v>0</v>
      </c>
      <c r="U28" s="71">
        <f t="shared" si="28"/>
        <v>0</v>
      </c>
      <c r="V28" s="71">
        <f t="shared" si="28"/>
        <v>0</v>
      </c>
      <c r="W28" s="71">
        <f t="shared" si="28"/>
        <v>0</v>
      </c>
      <c r="X28" s="71">
        <v>0</v>
      </c>
      <c r="Y28" s="71">
        <f t="shared" si="28"/>
        <v>0</v>
      </c>
      <c r="Z28" s="100"/>
      <c r="AA28" s="71">
        <f t="shared" si="28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28"/>
        <v>0</v>
      </c>
      <c r="AG28" s="71">
        <f t="shared" si="28"/>
        <v>0</v>
      </c>
      <c r="AH28" s="71">
        <f t="shared" si="28"/>
        <v>0</v>
      </c>
      <c r="AI28" s="71">
        <f t="shared" si="28"/>
        <v>0</v>
      </c>
      <c r="AJ28" s="71">
        <f t="shared" si="28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032"/>
      <c r="B30" s="801"/>
      <c r="C30" s="995"/>
      <c r="D30" s="995"/>
      <c r="E30" s="995"/>
      <c r="F30" s="1035"/>
      <c r="G30" s="995"/>
      <c r="H30" s="995"/>
      <c r="I30" s="1011" t="s">
        <v>10</v>
      </c>
      <c r="J30" s="1033"/>
      <c r="K30" s="1033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29">SUM(R31:R32)</f>
        <v>0</v>
      </c>
      <c r="S30" s="47">
        <f t="shared" si="29"/>
        <v>0</v>
      </c>
      <c r="T30" s="47">
        <f t="shared" si="29"/>
        <v>45904.665609999996</v>
      </c>
      <c r="U30" s="47">
        <f t="shared" si="29"/>
        <v>45904.665609999996</v>
      </c>
      <c r="V30" s="47">
        <f t="shared" si="29"/>
        <v>0</v>
      </c>
      <c r="W30" s="47">
        <f t="shared" si="29"/>
        <v>0</v>
      </c>
      <c r="X30" s="47">
        <v>0</v>
      </c>
      <c r="Y30" s="47">
        <f t="shared" si="29"/>
        <v>0</v>
      </c>
      <c r="Z30" s="96"/>
      <c r="AA30" s="47">
        <f t="shared" si="29"/>
        <v>0</v>
      </c>
      <c r="AB30" s="47">
        <f t="shared" si="29"/>
        <v>0</v>
      </c>
      <c r="AC30" s="47">
        <f t="shared" si="29"/>
        <v>0</v>
      </c>
      <c r="AD30" s="47">
        <f t="shared" si="29"/>
        <v>0</v>
      </c>
      <c r="AE30" s="47">
        <f t="shared" si="29"/>
        <v>0</v>
      </c>
      <c r="AF30" s="47">
        <f t="shared" si="29"/>
        <v>0</v>
      </c>
      <c r="AG30" s="47">
        <f t="shared" si="29"/>
        <v>0</v>
      </c>
      <c r="AH30" s="47">
        <f t="shared" si="29"/>
        <v>0</v>
      </c>
      <c r="AI30" s="47">
        <f t="shared" si="29"/>
        <v>0</v>
      </c>
      <c r="AJ30" s="47">
        <f t="shared" si="29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032"/>
      <c r="B31" s="37" t="s">
        <v>219</v>
      </c>
      <c r="C31" s="995"/>
      <c r="D31" s="995"/>
      <c r="E31" s="995"/>
      <c r="F31" s="1035"/>
      <c r="G31" s="995"/>
      <c r="H31" s="995"/>
      <c r="I31" s="1011"/>
      <c r="J31" s="1033"/>
      <c r="K31" s="1033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032"/>
      <c r="B32" s="37" t="s">
        <v>220</v>
      </c>
      <c r="C32" s="995"/>
      <c r="D32" s="995"/>
      <c r="E32" s="995"/>
      <c r="F32" s="1035"/>
      <c r="G32" s="995"/>
      <c r="H32" s="995"/>
      <c r="I32" s="1011"/>
      <c r="J32" s="1033"/>
      <c r="K32" s="1033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0">Q35</f>
        <v>0</v>
      </c>
      <c r="R33" s="70">
        <f t="shared" si="30"/>
        <v>0</v>
      </c>
      <c r="S33" s="70">
        <f t="shared" si="30"/>
        <v>0</v>
      </c>
      <c r="T33" s="70">
        <f t="shared" si="30"/>
        <v>0</v>
      </c>
      <c r="U33" s="70">
        <f t="shared" si="30"/>
        <v>0</v>
      </c>
      <c r="V33" s="70">
        <f t="shared" si="30"/>
        <v>0</v>
      </c>
      <c r="W33" s="70">
        <f t="shared" si="30"/>
        <v>0</v>
      </c>
      <c r="X33" s="70">
        <f t="shared" si="30"/>
        <v>0</v>
      </c>
      <c r="Y33" s="70">
        <f t="shared" si="30"/>
        <v>0</v>
      </c>
      <c r="Z33" s="679">
        <v>0</v>
      </c>
      <c r="AA33" s="70">
        <f t="shared" si="30"/>
        <v>0</v>
      </c>
      <c r="AB33" s="70">
        <f t="shared" si="30"/>
        <v>0</v>
      </c>
      <c r="AC33" s="70">
        <f t="shared" si="30"/>
        <v>0</v>
      </c>
      <c r="AD33" s="70">
        <f t="shared" si="30"/>
        <v>0</v>
      </c>
      <c r="AE33" s="70">
        <f t="shared" si="30"/>
        <v>0</v>
      </c>
      <c r="AF33" s="70">
        <f t="shared" si="30"/>
        <v>0</v>
      </c>
      <c r="AG33" s="70">
        <f t="shared" si="30"/>
        <v>0</v>
      </c>
      <c r="AH33" s="70">
        <f t="shared" si="30"/>
        <v>0</v>
      </c>
      <c r="AI33" s="70">
        <f t="shared" si="30"/>
        <v>0</v>
      </c>
      <c r="AJ33" s="70">
        <f t="shared" si="30"/>
        <v>0</v>
      </c>
      <c r="AK33" s="3">
        <f>P33-Q33</f>
        <v>74000</v>
      </c>
      <c r="AL33" s="3">
        <f>AK33</f>
        <v>74000</v>
      </c>
      <c r="AM33" s="70">
        <f t="shared" si="30"/>
        <v>0</v>
      </c>
      <c r="AN33" s="70">
        <f t="shared" si="30"/>
        <v>0</v>
      </c>
      <c r="AO33" s="70">
        <f t="shared" si="30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017"/>
      <c r="H34" s="1017"/>
      <c r="I34" s="1327"/>
      <c r="J34" s="1628"/>
      <c r="K34" s="1628"/>
      <c r="L34" s="1031">
        <v>10164.5</v>
      </c>
      <c r="M34" s="1031">
        <v>0</v>
      </c>
      <c r="N34" s="1031">
        <v>4946.26</v>
      </c>
      <c r="O34" s="1031">
        <v>0</v>
      </c>
      <c r="P34" s="1031">
        <v>0</v>
      </c>
      <c r="Q34" s="1031">
        <v>0</v>
      </c>
      <c r="R34" s="1031">
        <v>0</v>
      </c>
      <c r="S34" s="1031">
        <v>0</v>
      </c>
      <c r="T34" s="1031">
        <v>0</v>
      </c>
      <c r="U34" s="1031">
        <v>0</v>
      </c>
      <c r="V34" s="1031">
        <v>0</v>
      </c>
      <c r="W34" s="1031">
        <v>0</v>
      </c>
      <c r="X34" s="1031">
        <v>0</v>
      </c>
      <c r="Y34" s="1031">
        <v>0</v>
      </c>
      <c r="Z34" s="258"/>
      <c r="AA34" s="1031">
        <v>0</v>
      </c>
      <c r="AB34" s="1031">
        <v>0</v>
      </c>
      <c r="AC34" s="1031">
        <v>0</v>
      </c>
      <c r="AD34" s="1031">
        <v>0</v>
      </c>
      <c r="AE34" s="1031">
        <v>0</v>
      </c>
      <c r="AF34" s="1031">
        <v>0</v>
      </c>
      <c r="AG34" s="1031">
        <v>0</v>
      </c>
      <c r="AH34" s="1031">
        <v>0</v>
      </c>
      <c r="AI34" s="1031">
        <v>0</v>
      </c>
      <c r="AJ34" s="1031">
        <v>0</v>
      </c>
      <c r="AK34" s="288">
        <v>0</v>
      </c>
      <c r="AL34" s="288">
        <v>0</v>
      </c>
      <c r="AM34" s="1031">
        <v>0</v>
      </c>
      <c r="AN34" s="1031">
        <v>0</v>
      </c>
      <c r="AO34" s="1031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017">
        <v>2020</v>
      </c>
      <c r="H35" s="1017">
        <v>2021</v>
      </c>
      <c r="I35" s="1328"/>
      <c r="J35" s="1629"/>
      <c r="K35" s="1629"/>
      <c r="L35" s="1031">
        <v>250336.75</v>
      </c>
      <c r="M35" s="1031">
        <v>0</v>
      </c>
      <c r="N35" s="1031">
        <v>64997.45</v>
      </c>
      <c r="O35" s="1031">
        <v>69943.710000000006</v>
      </c>
      <c r="P35" s="1031">
        <v>74000</v>
      </c>
      <c r="Q35" s="1031">
        <v>0</v>
      </c>
      <c r="R35" s="1031">
        <v>0</v>
      </c>
      <c r="S35" s="1031">
        <v>0</v>
      </c>
      <c r="T35" s="1031">
        <v>0</v>
      </c>
      <c r="U35" s="1031">
        <v>0</v>
      </c>
      <c r="V35" s="1031">
        <v>0</v>
      </c>
      <c r="W35" s="1031">
        <v>0</v>
      </c>
      <c r="X35" s="1031">
        <v>0</v>
      </c>
      <c r="Y35" s="1031">
        <v>0</v>
      </c>
      <c r="Z35" s="258"/>
      <c r="AA35" s="1031">
        <v>0</v>
      </c>
      <c r="AB35" s="1031">
        <v>0</v>
      </c>
      <c r="AC35" s="1031">
        <v>0</v>
      </c>
      <c r="AD35" s="1031">
        <v>0</v>
      </c>
      <c r="AE35" s="1031">
        <v>0</v>
      </c>
      <c r="AF35" s="1031">
        <v>0</v>
      </c>
      <c r="AG35" s="1031">
        <v>0</v>
      </c>
      <c r="AH35" s="1031">
        <v>0</v>
      </c>
      <c r="AI35" s="1031">
        <v>0</v>
      </c>
      <c r="AJ35" s="1031">
        <v>0</v>
      </c>
      <c r="AK35" s="1031">
        <v>0</v>
      </c>
      <c r="AL35" s="1031">
        <v>0</v>
      </c>
      <c r="AM35" s="1031">
        <v>0</v>
      </c>
      <c r="AN35" s="1031">
        <v>0</v>
      </c>
      <c r="AO35" s="1031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1">M37+M39</f>
        <v>20243.12</v>
      </c>
      <c r="N36" s="318">
        <f t="shared" si="31"/>
        <v>13773.23</v>
      </c>
      <c r="O36" s="318">
        <f t="shared" si="31"/>
        <v>8942.9699999999993</v>
      </c>
      <c r="P36" s="318">
        <f t="shared" si="31"/>
        <v>90000</v>
      </c>
      <c r="Q36" s="318">
        <f t="shared" si="31"/>
        <v>0</v>
      </c>
      <c r="R36" s="318">
        <f t="shared" si="31"/>
        <v>0</v>
      </c>
      <c r="S36" s="318">
        <f t="shared" si="31"/>
        <v>0</v>
      </c>
      <c r="T36" s="318">
        <f t="shared" si="31"/>
        <v>0</v>
      </c>
      <c r="U36" s="318">
        <f t="shared" si="31"/>
        <v>0</v>
      </c>
      <c r="V36" s="318">
        <f t="shared" si="31"/>
        <v>0</v>
      </c>
      <c r="W36" s="318">
        <f t="shared" si="31"/>
        <v>0</v>
      </c>
      <c r="X36" s="318">
        <f t="shared" si="31"/>
        <v>0</v>
      </c>
      <c r="Y36" s="318">
        <f t="shared" si="31"/>
        <v>0</v>
      </c>
      <c r="Z36" s="372">
        <v>0</v>
      </c>
      <c r="AA36" s="318">
        <f t="shared" si="31"/>
        <v>0</v>
      </c>
      <c r="AB36" s="318">
        <f t="shared" si="31"/>
        <v>0</v>
      </c>
      <c r="AC36" s="318">
        <f t="shared" si="31"/>
        <v>0</v>
      </c>
      <c r="AD36" s="318">
        <f t="shared" si="31"/>
        <v>0</v>
      </c>
      <c r="AE36" s="318">
        <f t="shared" si="31"/>
        <v>0</v>
      </c>
      <c r="AF36" s="318">
        <f t="shared" si="31"/>
        <v>0</v>
      </c>
      <c r="AG36" s="318">
        <f t="shared" si="31"/>
        <v>0</v>
      </c>
      <c r="AH36" s="318">
        <f t="shared" si="31"/>
        <v>0</v>
      </c>
      <c r="AI36" s="318">
        <f t="shared" si="31"/>
        <v>0</v>
      </c>
      <c r="AJ36" s="318">
        <f t="shared" si="31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1"/>
        <v>0</v>
      </c>
      <c r="AO36" s="318">
        <f t="shared" si="31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017">
        <v>2019</v>
      </c>
      <c r="H37" s="1017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004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017">
        <v>2020</v>
      </c>
      <c r="H39" s="1017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001"/>
      <c r="J40" s="3"/>
      <c r="K40" s="1008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2">SUM(R41:R42)</f>
        <v>0</v>
      </c>
      <c r="S40" s="318">
        <f t="shared" si="32"/>
        <v>0</v>
      </c>
      <c r="T40" s="318">
        <f t="shared" si="32"/>
        <v>0</v>
      </c>
      <c r="U40" s="318">
        <f t="shared" si="32"/>
        <v>0</v>
      </c>
      <c r="V40" s="318">
        <f t="shared" si="32"/>
        <v>0</v>
      </c>
      <c r="W40" s="318">
        <f t="shared" si="32"/>
        <v>0</v>
      </c>
      <c r="X40" s="318">
        <f t="shared" si="32"/>
        <v>0</v>
      </c>
      <c r="Y40" s="318">
        <f t="shared" si="32"/>
        <v>0</v>
      </c>
      <c r="Z40" s="318">
        <f t="shared" si="32"/>
        <v>0</v>
      </c>
      <c r="AA40" s="318">
        <f t="shared" si="32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032"/>
      <c r="B41" s="42" t="s">
        <v>15</v>
      </c>
      <c r="C41" s="768"/>
      <c r="D41" s="768"/>
      <c r="E41" s="768"/>
      <c r="F41" s="769"/>
      <c r="G41" s="335"/>
      <c r="H41" s="770"/>
      <c r="I41" s="996"/>
      <c r="J41" s="47"/>
      <c r="K41" s="1031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004"/>
      <c r="AQ41" s="268"/>
    </row>
    <row r="42" spans="1:43" ht="15" customHeight="1" x14ac:dyDescent="0.25">
      <c r="A42" s="1032"/>
      <c r="B42" s="42" t="s">
        <v>16</v>
      </c>
      <c r="C42" s="768"/>
      <c r="D42" s="768"/>
      <c r="E42" s="768"/>
      <c r="F42" s="769"/>
      <c r="G42" s="335"/>
      <c r="H42" s="770"/>
      <c r="I42" s="996"/>
      <c r="J42" s="47"/>
      <c r="K42" s="1031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004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004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33">M47</f>
        <v>0</v>
      </c>
      <c r="N44" s="47">
        <f t="shared" si="33"/>
        <v>0</v>
      </c>
      <c r="O44" s="47">
        <f t="shared" si="33"/>
        <v>0</v>
      </c>
      <c r="P44" s="47">
        <f t="shared" si="33"/>
        <v>0</v>
      </c>
      <c r="Q44" s="47">
        <f t="shared" si="33"/>
        <v>0</v>
      </c>
      <c r="R44" s="47">
        <f t="shared" si="33"/>
        <v>0</v>
      </c>
      <c r="S44" s="47">
        <f t="shared" si="33"/>
        <v>0</v>
      </c>
      <c r="T44" s="47">
        <f t="shared" si="33"/>
        <v>0</v>
      </c>
      <c r="U44" s="47">
        <f t="shared" si="33"/>
        <v>7.2</v>
      </c>
      <c r="V44" s="47">
        <f t="shared" si="33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004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34">J47</f>
        <v>23417.360000000001</v>
      </c>
      <c r="K45" s="47">
        <f t="shared" si="34"/>
        <v>0</v>
      </c>
      <c r="L45" s="47">
        <v>0</v>
      </c>
      <c r="M45" s="4">
        <f t="shared" si="34"/>
        <v>0</v>
      </c>
      <c r="N45" s="4">
        <f t="shared" si="34"/>
        <v>0</v>
      </c>
      <c r="O45" s="4">
        <f t="shared" si="34"/>
        <v>0</v>
      </c>
      <c r="P45" s="4">
        <v>0</v>
      </c>
      <c r="Q45" s="4">
        <v>0</v>
      </c>
      <c r="R45" s="4">
        <f t="shared" si="34"/>
        <v>0</v>
      </c>
      <c r="S45" s="4">
        <f t="shared" si="34"/>
        <v>0</v>
      </c>
      <c r="T45" s="4">
        <f t="shared" si="34"/>
        <v>0</v>
      </c>
      <c r="U45" s="4">
        <v>0</v>
      </c>
      <c r="V45" s="4">
        <f t="shared" si="34"/>
        <v>0</v>
      </c>
      <c r="W45" s="4">
        <f t="shared" si="34"/>
        <v>0</v>
      </c>
      <c r="X45" s="4">
        <f t="shared" si="34"/>
        <v>0</v>
      </c>
      <c r="Y45" s="4">
        <f t="shared" si="34"/>
        <v>0</v>
      </c>
      <c r="Z45" s="268"/>
      <c r="AA45" s="4">
        <f t="shared" si="34"/>
        <v>0</v>
      </c>
      <c r="AB45" s="4">
        <f t="shared" si="34"/>
        <v>0</v>
      </c>
      <c r="AC45" s="4">
        <f t="shared" si="34"/>
        <v>7.2</v>
      </c>
      <c r="AD45" s="4">
        <f t="shared" si="34"/>
        <v>0</v>
      </c>
      <c r="AE45" s="4">
        <f t="shared" si="34"/>
        <v>0</v>
      </c>
      <c r="AF45" s="4">
        <f t="shared" si="34"/>
        <v>0</v>
      </c>
      <c r="AG45" s="4">
        <f t="shared" si="34"/>
        <v>0</v>
      </c>
      <c r="AH45" s="4">
        <f t="shared" si="34"/>
        <v>0</v>
      </c>
      <c r="AI45" s="4">
        <f t="shared" si="34"/>
        <v>0</v>
      </c>
      <c r="AJ45" s="4">
        <f t="shared" si="34"/>
        <v>0</v>
      </c>
      <c r="AK45" s="4">
        <f t="shared" si="34"/>
        <v>0</v>
      </c>
      <c r="AL45" s="4">
        <f t="shared" si="34"/>
        <v>0</v>
      </c>
      <c r="AM45" s="4">
        <f t="shared" si="34"/>
        <v>0</v>
      </c>
      <c r="AN45" s="4">
        <f t="shared" si="34"/>
        <v>0</v>
      </c>
      <c r="AO45" s="4">
        <f t="shared" si="34"/>
        <v>0</v>
      </c>
      <c r="AP45" s="1004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004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018">
        <v>900</v>
      </c>
      <c r="D47" s="35">
        <v>28000</v>
      </c>
      <c r="E47" s="1018"/>
      <c r="F47" s="1003"/>
      <c r="G47" s="1000"/>
      <c r="H47" s="1000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35">R48+R51</f>
        <v>0</v>
      </c>
      <c r="S47" s="70">
        <f t="shared" si="35"/>
        <v>0</v>
      </c>
      <c r="T47" s="70">
        <f t="shared" si="35"/>
        <v>0</v>
      </c>
      <c r="U47" s="70">
        <f t="shared" si="35"/>
        <v>7.2</v>
      </c>
      <c r="V47" s="70">
        <f t="shared" si="35"/>
        <v>0</v>
      </c>
      <c r="W47" s="70">
        <f t="shared" si="35"/>
        <v>0</v>
      </c>
      <c r="X47" s="70">
        <f t="shared" si="35"/>
        <v>0</v>
      </c>
      <c r="Y47" s="70">
        <f t="shared" si="35"/>
        <v>0</v>
      </c>
      <c r="Z47" s="679">
        <v>0</v>
      </c>
      <c r="AA47" s="70">
        <v>0</v>
      </c>
      <c r="AB47" s="70">
        <f t="shared" si="35"/>
        <v>0</v>
      </c>
      <c r="AC47" s="70">
        <f t="shared" si="35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019" t="s">
        <v>15</v>
      </c>
      <c r="C48" s="1013"/>
      <c r="D48" s="577"/>
      <c r="E48" s="1013"/>
      <c r="F48" s="1048"/>
      <c r="G48" s="994"/>
      <c r="H48" s="994"/>
      <c r="I48" s="1448"/>
      <c r="J48" s="1628"/>
      <c r="K48" s="1628"/>
      <c r="L48" s="1031">
        <v>521.89</v>
      </c>
      <c r="M48" s="1031"/>
      <c r="N48" s="1031">
        <v>0</v>
      </c>
      <c r="O48" s="1038"/>
      <c r="P48" s="1031">
        <v>0</v>
      </c>
      <c r="Q48" s="1031">
        <v>0</v>
      </c>
      <c r="R48" s="1031">
        <f t="shared" ref="R48:Z48" si="36">R49+R50</f>
        <v>0</v>
      </c>
      <c r="S48" s="1031">
        <f t="shared" si="36"/>
        <v>0</v>
      </c>
      <c r="T48" s="1031">
        <f t="shared" si="36"/>
        <v>0</v>
      </c>
      <c r="U48" s="1031">
        <f t="shared" si="36"/>
        <v>7.2</v>
      </c>
      <c r="V48" s="1031">
        <f t="shared" si="36"/>
        <v>0</v>
      </c>
      <c r="W48" s="1031">
        <f t="shared" si="36"/>
        <v>0</v>
      </c>
      <c r="X48" s="1031">
        <f t="shared" si="36"/>
        <v>0</v>
      </c>
      <c r="Y48" s="1031">
        <f t="shared" si="36"/>
        <v>0</v>
      </c>
      <c r="Z48" s="1031">
        <f t="shared" si="36"/>
        <v>0</v>
      </c>
      <c r="AA48" s="1031">
        <v>0</v>
      </c>
      <c r="AB48" s="1031">
        <f t="shared" ref="AB48:AC48" si="37">AB49</f>
        <v>0</v>
      </c>
      <c r="AC48" s="1031">
        <f t="shared" si="37"/>
        <v>7.2</v>
      </c>
      <c r="AD48" s="1031"/>
      <c r="AE48" s="1031"/>
      <c r="AF48" s="1031"/>
      <c r="AG48" s="1031"/>
      <c r="AH48" s="1031"/>
      <c r="AI48" s="1031"/>
      <c r="AJ48" s="1031"/>
      <c r="AK48" s="288"/>
      <c r="AL48" s="288"/>
      <c r="AM48" s="1031"/>
      <c r="AN48" s="1031"/>
      <c r="AO48" s="1031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019" t="s">
        <v>16</v>
      </c>
      <c r="C51" s="1013"/>
      <c r="D51" s="1013"/>
      <c r="E51" s="1013"/>
      <c r="F51" s="1048"/>
      <c r="G51" s="994">
        <v>2020</v>
      </c>
      <c r="H51" s="994">
        <v>2020</v>
      </c>
      <c r="I51" s="1449"/>
      <c r="J51" s="1629"/>
      <c r="K51" s="1629"/>
      <c r="L51" s="1031">
        <v>4152.18</v>
      </c>
      <c r="M51" s="1031">
        <v>0</v>
      </c>
      <c r="N51" s="1031">
        <v>0</v>
      </c>
      <c r="O51" s="1031">
        <v>0</v>
      </c>
      <c r="P51" s="1031">
        <v>0</v>
      </c>
      <c r="Q51" s="1031">
        <v>0</v>
      </c>
      <c r="R51" s="1031">
        <v>0</v>
      </c>
      <c r="S51" s="1031">
        <v>0</v>
      </c>
      <c r="T51" s="1031">
        <v>0</v>
      </c>
      <c r="U51" s="1031">
        <v>0</v>
      </c>
      <c r="V51" s="1031">
        <v>0</v>
      </c>
      <c r="W51" s="1031">
        <v>0</v>
      </c>
      <c r="X51" s="1031">
        <v>0</v>
      </c>
      <c r="Y51" s="1031">
        <v>0</v>
      </c>
      <c r="Z51" s="258"/>
      <c r="AA51" s="1031">
        <v>0</v>
      </c>
      <c r="AB51" s="1031">
        <v>0</v>
      </c>
      <c r="AC51" s="1031">
        <v>0</v>
      </c>
      <c r="AD51" s="1031">
        <v>0</v>
      </c>
      <c r="AE51" s="1031">
        <v>0</v>
      </c>
      <c r="AF51" s="1031">
        <v>0</v>
      </c>
      <c r="AG51" s="1031">
        <f t="shared" ref="AG51:AJ52" si="38">AG54+AG57</f>
        <v>0</v>
      </c>
      <c r="AH51" s="1031">
        <f t="shared" si="38"/>
        <v>0</v>
      </c>
      <c r="AI51" s="1031">
        <f t="shared" si="38"/>
        <v>0</v>
      </c>
      <c r="AJ51" s="1031">
        <f t="shared" si="38"/>
        <v>0</v>
      </c>
      <c r="AK51" s="1031">
        <v>0</v>
      </c>
      <c r="AL51" s="1031">
        <v>0</v>
      </c>
      <c r="AM51" s="1031">
        <v>0</v>
      </c>
      <c r="AN51" s="1031">
        <v>0</v>
      </c>
      <c r="AO51" s="1031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034">
        <f>L52</f>
        <v>924.64</v>
      </c>
      <c r="K52" s="1034">
        <v>0</v>
      </c>
      <c r="L52" s="1031">
        <f>L58</f>
        <v>924.64</v>
      </c>
      <c r="M52" s="1031">
        <f t="shared" ref="M52:AO52" si="39">M55+M58</f>
        <v>0</v>
      </c>
      <c r="N52" s="1031">
        <f t="shared" si="39"/>
        <v>0</v>
      </c>
      <c r="O52" s="1031">
        <f t="shared" si="39"/>
        <v>0</v>
      </c>
      <c r="P52" s="1031">
        <f t="shared" si="39"/>
        <v>725.37</v>
      </c>
      <c r="Q52" s="1031">
        <f t="shared" si="39"/>
        <v>0</v>
      </c>
      <c r="R52" s="1031">
        <f t="shared" si="39"/>
        <v>0</v>
      </c>
      <c r="S52" s="1031">
        <f t="shared" si="39"/>
        <v>0</v>
      </c>
      <c r="T52" s="1031">
        <f t="shared" si="39"/>
        <v>0</v>
      </c>
      <c r="U52" s="1031">
        <f t="shared" si="39"/>
        <v>0</v>
      </c>
      <c r="V52" s="1031">
        <f t="shared" si="39"/>
        <v>131</v>
      </c>
      <c r="W52" s="1031">
        <f t="shared" si="39"/>
        <v>131</v>
      </c>
      <c r="X52" s="1031">
        <f t="shared" si="39"/>
        <v>0</v>
      </c>
      <c r="Y52" s="1031">
        <f t="shared" si="39"/>
        <v>0</v>
      </c>
      <c r="Z52" s="258"/>
      <c r="AA52" s="1031">
        <f t="shared" si="39"/>
        <v>0</v>
      </c>
      <c r="AB52" s="1031">
        <f t="shared" si="39"/>
        <v>0</v>
      </c>
      <c r="AC52" s="1031">
        <f t="shared" si="39"/>
        <v>0</v>
      </c>
      <c r="AD52" s="1031">
        <f t="shared" si="39"/>
        <v>200</v>
      </c>
      <c r="AE52" s="1031">
        <f t="shared" si="39"/>
        <v>0</v>
      </c>
      <c r="AF52" s="1031">
        <f t="shared" si="39"/>
        <v>0</v>
      </c>
      <c r="AG52" s="1031">
        <f t="shared" si="38"/>
        <v>0</v>
      </c>
      <c r="AH52" s="1031">
        <f t="shared" si="38"/>
        <v>0</v>
      </c>
      <c r="AI52" s="1031">
        <f t="shared" si="38"/>
        <v>0</v>
      </c>
      <c r="AJ52" s="1031">
        <f t="shared" si="38"/>
        <v>0</v>
      </c>
      <c r="AK52" s="1031">
        <f t="shared" si="39"/>
        <v>725.37</v>
      </c>
      <c r="AL52" s="1031">
        <f t="shared" si="39"/>
        <v>725.37</v>
      </c>
      <c r="AM52" s="1031">
        <f t="shared" si="39"/>
        <v>0</v>
      </c>
      <c r="AN52" s="1031">
        <f t="shared" si="39"/>
        <v>0</v>
      </c>
      <c r="AO52" s="1031">
        <f t="shared" si="3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034">
        <f>L53</f>
        <v>0</v>
      </c>
      <c r="K53" s="1034">
        <v>0</v>
      </c>
      <c r="L53" s="1031">
        <v>0</v>
      </c>
      <c r="M53" s="1031">
        <v>0</v>
      </c>
      <c r="N53" s="1031">
        <v>0</v>
      </c>
      <c r="O53" s="1038">
        <v>0</v>
      </c>
      <c r="P53" s="1031">
        <v>0</v>
      </c>
      <c r="Q53" s="1031">
        <v>0</v>
      </c>
      <c r="R53" s="1031">
        <v>0</v>
      </c>
      <c r="S53" s="1031">
        <v>0</v>
      </c>
      <c r="T53" s="1031">
        <v>0</v>
      </c>
      <c r="U53" s="1031">
        <v>0</v>
      </c>
      <c r="V53" s="1031">
        <v>0</v>
      </c>
      <c r="W53" s="1031">
        <v>0</v>
      </c>
      <c r="X53" s="1031">
        <v>0</v>
      </c>
      <c r="Y53" s="1031">
        <v>0</v>
      </c>
      <c r="Z53" s="258"/>
      <c r="AA53" s="1031">
        <v>0</v>
      </c>
      <c r="AB53" s="1031">
        <v>0</v>
      </c>
      <c r="AC53" s="1031">
        <v>0</v>
      </c>
      <c r="AD53" s="1031">
        <v>0</v>
      </c>
      <c r="AE53" s="1031">
        <v>0</v>
      </c>
      <c r="AF53" s="1031">
        <v>0</v>
      </c>
      <c r="AG53" s="1031">
        <v>0</v>
      </c>
      <c r="AH53" s="1031">
        <v>0</v>
      </c>
      <c r="AI53" s="1031">
        <v>0</v>
      </c>
      <c r="AJ53" s="1031">
        <v>0</v>
      </c>
      <c r="AK53" s="1031">
        <v>0</v>
      </c>
      <c r="AL53" s="1031">
        <v>0</v>
      </c>
      <c r="AM53" s="1031">
        <v>0</v>
      </c>
      <c r="AN53" s="1031">
        <v>0</v>
      </c>
      <c r="AO53" s="1031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034">
        <f>L54</f>
        <v>0</v>
      </c>
      <c r="K54" s="1034">
        <v>0</v>
      </c>
      <c r="L54" s="1031">
        <v>0</v>
      </c>
      <c r="M54" s="1031">
        <v>0</v>
      </c>
      <c r="N54" s="1031">
        <v>0</v>
      </c>
      <c r="O54" s="1038">
        <v>0</v>
      </c>
      <c r="P54" s="1031">
        <v>0</v>
      </c>
      <c r="Q54" s="1031">
        <v>0</v>
      </c>
      <c r="R54" s="1031">
        <v>0</v>
      </c>
      <c r="S54" s="1031">
        <v>0</v>
      </c>
      <c r="T54" s="1031">
        <v>0</v>
      </c>
      <c r="U54" s="1031">
        <v>0</v>
      </c>
      <c r="V54" s="1031">
        <v>0</v>
      </c>
      <c r="W54" s="1031">
        <v>0</v>
      </c>
      <c r="X54" s="1031">
        <v>0</v>
      </c>
      <c r="Y54" s="1031">
        <v>0</v>
      </c>
      <c r="Z54" s="258"/>
      <c r="AA54" s="1031">
        <v>0</v>
      </c>
      <c r="AB54" s="1031">
        <v>0</v>
      </c>
      <c r="AC54" s="1031">
        <v>0</v>
      </c>
      <c r="AD54" s="1031">
        <v>0</v>
      </c>
      <c r="AE54" s="1031">
        <v>0</v>
      </c>
      <c r="AF54" s="1031">
        <v>0</v>
      </c>
      <c r="AG54" s="1031">
        <v>0</v>
      </c>
      <c r="AH54" s="1031">
        <v>0</v>
      </c>
      <c r="AI54" s="1031">
        <v>0</v>
      </c>
      <c r="AJ54" s="1031">
        <v>0</v>
      </c>
      <c r="AK54" s="1031">
        <v>0</v>
      </c>
      <c r="AL54" s="1031">
        <v>0</v>
      </c>
      <c r="AM54" s="1031">
        <v>0</v>
      </c>
      <c r="AN54" s="1031">
        <v>0</v>
      </c>
      <c r="AO54" s="1031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013"/>
      <c r="H55" s="1013"/>
      <c r="I55" s="1374" t="s">
        <v>20</v>
      </c>
      <c r="J55" s="1034">
        <f>L55</f>
        <v>0</v>
      </c>
      <c r="K55" s="1034"/>
      <c r="L55" s="1031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0">R56+R57</f>
        <v>0</v>
      </c>
      <c r="S55" s="71">
        <f t="shared" si="40"/>
        <v>0</v>
      </c>
      <c r="T55" s="71">
        <f t="shared" si="40"/>
        <v>0</v>
      </c>
      <c r="U55" s="71">
        <f t="shared" si="40"/>
        <v>0</v>
      </c>
      <c r="V55" s="71">
        <f t="shared" si="40"/>
        <v>0</v>
      </c>
      <c r="W55" s="71">
        <f t="shared" si="40"/>
        <v>0</v>
      </c>
      <c r="X55" s="71">
        <f t="shared" si="40"/>
        <v>0</v>
      </c>
      <c r="Y55" s="71">
        <f t="shared" si="40"/>
        <v>0</v>
      </c>
      <c r="Z55" s="100"/>
      <c r="AA55" s="71">
        <f t="shared" si="40"/>
        <v>0</v>
      </c>
      <c r="AB55" s="71">
        <f t="shared" si="40"/>
        <v>0</v>
      </c>
      <c r="AC55" s="71">
        <f t="shared" si="40"/>
        <v>0</v>
      </c>
      <c r="AD55" s="71">
        <f t="shared" si="40"/>
        <v>0</v>
      </c>
      <c r="AE55" s="71">
        <f t="shared" si="40"/>
        <v>0</v>
      </c>
      <c r="AF55" s="71">
        <f t="shared" si="40"/>
        <v>0</v>
      </c>
      <c r="AG55" s="71">
        <f t="shared" si="40"/>
        <v>0</v>
      </c>
      <c r="AH55" s="71">
        <f t="shared" si="40"/>
        <v>0</v>
      </c>
      <c r="AI55" s="71">
        <f t="shared" si="4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0"/>
        <v>0</v>
      </c>
      <c r="AO55" s="71">
        <f t="shared" si="4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013">
        <v>2019</v>
      </c>
      <c r="H56" s="1013">
        <v>2019</v>
      </c>
      <c r="I56" s="1391"/>
      <c r="J56" s="1034">
        <f t="shared" ref="J56:J61" si="41">L56</f>
        <v>0</v>
      </c>
      <c r="K56" s="1034"/>
      <c r="L56" s="1031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017">
        <v>2019</v>
      </c>
      <c r="H57" s="1017">
        <v>2019</v>
      </c>
      <c r="I57" s="1375"/>
      <c r="J57" s="1034">
        <f t="shared" si="41"/>
        <v>0</v>
      </c>
      <c r="K57" s="996"/>
      <c r="L57" s="1031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017"/>
      <c r="H58" s="1017"/>
      <c r="I58" s="1374" t="s">
        <v>20</v>
      </c>
      <c r="J58" s="1034">
        <f t="shared" si="41"/>
        <v>924.64</v>
      </c>
      <c r="K58" s="996"/>
      <c r="L58" s="1031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2">R59+R61</f>
        <v>0</v>
      </c>
      <c r="S58" s="318">
        <f t="shared" si="42"/>
        <v>0</v>
      </c>
      <c r="T58" s="318">
        <f t="shared" si="42"/>
        <v>0</v>
      </c>
      <c r="U58" s="318">
        <f t="shared" si="42"/>
        <v>0</v>
      </c>
      <c r="V58" s="318">
        <f t="shared" si="42"/>
        <v>131</v>
      </c>
      <c r="W58" s="318">
        <f t="shared" si="42"/>
        <v>131</v>
      </c>
      <c r="X58" s="318">
        <f t="shared" si="42"/>
        <v>0</v>
      </c>
      <c r="Y58" s="318">
        <f t="shared" si="42"/>
        <v>0</v>
      </c>
      <c r="Z58" s="372">
        <v>0</v>
      </c>
      <c r="AA58" s="318">
        <v>0</v>
      </c>
      <c r="AB58" s="4">
        <f t="shared" si="42"/>
        <v>0</v>
      </c>
      <c r="AC58" s="4">
        <f t="shared" si="42"/>
        <v>0</v>
      </c>
      <c r="AD58" s="4">
        <f t="shared" si="42"/>
        <v>200</v>
      </c>
      <c r="AE58" s="4">
        <f t="shared" si="42"/>
        <v>0</v>
      </c>
      <c r="AF58" s="4">
        <f t="shared" si="42"/>
        <v>0</v>
      </c>
      <c r="AG58" s="4">
        <f t="shared" si="42"/>
        <v>0</v>
      </c>
      <c r="AH58" s="4">
        <f t="shared" si="42"/>
        <v>0</v>
      </c>
      <c r="AI58" s="4">
        <f t="shared" si="42"/>
        <v>0</v>
      </c>
      <c r="AJ58" s="4">
        <f t="shared" si="4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2"/>
        <v>0</v>
      </c>
      <c r="AO58" s="4">
        <f t="shared" si="4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017">
        <v>2019</v>
      </c>
      <c r="H59" s="1017">
        <v>2019</v>
      </c>
      <c r="I59" s="1391"/>
      <c r="J59" s="1034">
        <f t="shared" si="41"/>
        <v>250</v>
      </c>
      <c r="K59" s="996"/>
      <c r="L59" s="1031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43">R60</f>
        <v>0</v>
      </c>
      <c r="S59" s="4">
        <f t="shared" si="43"/>
        <v>0</v>
      </c>
      <c r="T59" s="4">
        <f t="shared" si="43"/>
        <v>0</v>
      </c>
      <c r="U59" s="4">
        <f t="shared" si="43"/>
        <v>0</v>
      </c>
      <c r="V59" s="4">
        <f t="shared" si="43"/>
        <v>131</v>
      </c>
      <c r="W59" s="4">
        <f t="shared" si="43"/>
        <v>131</v>
      </c>
      <c r="X59" s="4">
        <f t="shared" si="43"/>
        <v>0</v>
      </c>
      <c r="Y59" s="4">
        <f t="shared" si="43"/>
        <v>0</v>
      </c>
      <c r="Z59" s="268"/>
      <c r="AA59" s="4">
        <v>0</v>
      </c>
      <c r="AB59" s="4">
        <f t="shared" si="43"/>
        <v>0</v>
      </c>
      <c r="AC59" s="4">
        <f t="shared" si="43"/>
        <v>0</v>
      </c>
      <c r="AD59" s="4">
        <f t="shared" si="4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004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017">
        <v>2019</v>
      </c>
      <c r="H61" s="1017">
        <v>2019</v>
      </c>
      <c r="I61" s="1375"/>
      <c r="J61" s="1034">
        <f t="shared" si="41"/>
        <v>674.64</v>
      </c>
      <c r="K61" s="996"/>
      <c r="L61" s="1031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001"/>
      <c r="L62" s="1008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44">SUM(R63:R64)</f>
        <v>0</v>
      </c>
      <c r="S62" s="318">
        <f t="shared" si="44"/>
        <v>0</v>
      </c>
      <c r="T62" s="318">
        <f t="shared" si="44"/>
        <v>0</v>
      </c>
      <c r="U62" s="318">
        <f t="shared" si="44"/>
        <v>0</v>
      </c>
      <c r="V62" s="318">
        <f t="shared" si="44"/>
        <v>0</v>
      </c>
      <c r="W62" s="318">
        <f t="shared" si="44"/>
        <v>0</v>
      </c>
      <c r="X62" s="318">
        <f t="shared" si="44"/>
        <v>0</v>
      </c>
      <c r="Y62" s="318">
        <f t="shared" si="44"/>
        <v>0</v>
      </c>
      <c r="Z62" s="318">
        <f t="shared" si="44"/>
        <v>0</v>
      </c>
      <c r="AA62" s="318">
        <f t="shared" si="4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032"/>
      <c r="B63" s="42" t="s">
        <v>15</v>
      </c>
      <c r="C63" s="341"/>
      <c r="D63" s="341"/>
      <c r="E63" s="771"/>
      <c r="F63" s="691"/>
      <c r="G63" s="335"/>
      <c r="H63" s="770"/>
      <c r="I63" s="1005"/>
      <c r="J63" s="1034"/>
      <c r="K63" s="996"/>
      <c r="L63" s="1031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032"/>
      <c r="B64" s="42" t="s">
        <v>32</v>
      </c>
      <c r="C64" s="341"/>
      <c r="D64" s="341"/>
      <c r="E64" s="771"/>
      <c r="F64" s="691"/>
      <c r="G64" s="335"/>
      <c r="H64" s="770"/>
      <c r="I64" s="1005"/>
      <c r="J64" s="1034"/>
      <c r="K64" s="996"/>
      <c r="L64" s="1031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45">J68</f>
        <v>18824.2</v>
      </c>
      <c r="K65" s="47">
        <f t="shared" si="45"/>
        <v>0</v>
      </c>
      <c r="L65" s="47">
        <f t="shared" si="45"/>
        <v>5710.74</v>
      </c>
      <c r="M65" s="47">
        <f t="shared" si="45"/>
        <v>893.45</v>
      </c>
      <c r="N65" s="47">
        <f t="shared" si="45"/>
        <v>1051.49</v>
      </c>
      <c r="O65" s="47">
        <f t="shared" si="45"/>
        <v>11206.2</v>
      </c>
      <c r="P65" s="47">
        <f t="shared" si="45"/>
        <v>192.06</v>
      </c>
      <c r="Q65" s="47">
        <f t="shared" si="45"/>
        <v>75</v>
      </c>
      <c r="R65" s="47">
        <f t="shared" si="45"/>
        <v>0</v>
      </c>
      <c r="S65" s="47">
        <f t="shared" si="45"/>
        <v>0</v>
      </c>
      <c r="T65" s="47">
        <f t="shared" si="45"/>
        <v>0</v>
      </c>
      <c r="U65" s="47">
        <f t="shared" si="45"/>
        <v>0</v>
      </c>
      <c r="V65" s="47">
        <f t="shared" si="45"/>
        <v>0</v>
      </c>
      <c r="W65" s="47">
        <f t="shared" si="45"/>
        <v>0</v>
      </c>
      <c r="X65" s="47">
        <f t="shared" si="45"/>
        <v>0</v>
      </c>
      <c r="Y65" s="47">
        <f t="shared" si="45"/>
        <v>0</v>
      </c>
      <c r="Z65" s="96"/>
      <c r="AA65" s="47">
        <f t="shared" si="45"/>
        <v>75</v>
      </c>
      <c r="AB65" s="47">
        <f t="shared" si="45"/>
        <v>0</v>
      </c>
      <c r="AC65" s="47">
        <f t="shared" si="45"/>
        <v>0</v>
      </c>
      <c r="AD65" s="47">
        <f t="shared" si="45"/>
        <v>0</v>
      </c>
      <c r="AE65" s="47">
        <f t="shared" si="45"/>
        <v>0</v>
      </c>
      <c r="AF65" s="47">
        <f t="shared" si="45"/>
        <v>0</v>
      </c>
      <c r="AG65" s="47">
        <f t="shared" si="45"/>
        <v>0</v>
      </c>
      <c r="AH65" s="47">
        <f t="shared" si="45"/>
        <v>0</v>
      </c>
      <c r="AI65" s="47">
        <f t="shared" si="45"/>
        <v>0</v>
      </c>
      <c r="AJ65" s="47">
        <f t="shared" si="45"/>
        <v>0</v>
      </c>
      <c r="AK65" s="47">
        <f t="shared" si="45"/>
        <v>117.06</v>
      </c>
      <c r="AL65" s="47">
        <f t="shared" si="45"/>
        <v>117.06</v>
      </c>
      <c r="AM65" s="47">
        <f t="shared" si="45"/>
        <v>39.049999999999997</v>
      </c>
      <c r="AN65" s="47">
        <f t="shared" si="45"/>
        <v>0</v>
      </c>
      <c r="AO65" s="47">
        <f t="shared" si="45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000"/>
      <c r="H68" s="1000"/>
      <c r="I68" s="1326" t="s">
        <v>20</v>
      </c>
      <c r="J68" s="1640">
        <v>18824.2</v>
      </c>
      <c r="K68" s="3">
        <v>0</v>
      </c>
      <c r="L68" s="3">
        <f t="shared" ref="L68:P68" si="46">L69+L71</f>
        <v>5710.74</v>
      </c>
      <c r="M68" s="3">
        <f t="shared" si="46"/>
        <v>893.45</v>
      </c>
      <c r="N68" s="3">
        <f t="shared" si="46"/>
        <v>1051.49</v>
      </c>
      <c r="O68" s="3">
        <f t="shared" si="46"/>
        <v>11206.2</v>
      </c>
      <c r="P68" s="3">
        <f t="shared" si="46"/>
        <v>192.06</v>
      </c>
      <c r="Q68" s="3">
        <f>SUM(Q69:Q71)</f>
        <v>75</v>
      </c>
      <c r="R68" s="3">
        <f t="shared" ref="R68:AA68" si="47">SUM(R69:R71)</f>
        <v>0</v>
      </c>
      <c r="S68" s="3">
        <f t="shared" si="47"/>
        <v>0</v>
      </c>
      <c r="T68" s="3">
        <f t="shared" si="47"/>
        <v>0</v>
      </c>
      <c r="U68" s="3">
        <f t="shared" si="47"/>
        <v>0</v>
      </c>
      <c r="V68" s="3">
        <f t="shared" si="47"/>
        <v>0</v>
      </c>
      <c r="W68" s="3">
        <f t="shared" si="47"/>
        <v>0</v>
      </c>
      <c r="X68" s="3">
        <f t="shared" si="47"/>
        <v>0</v>
      </c>
      <c r="Y68" s="3">
        <f t="shared" si="47"/>
        <v>0</v>
      </c>
      <c r="Z68" s="3">
        <f t="shared" si="47"/>
        <v>0</v>
      </c>
      <c r="AA68" s="3">
        <f t="shared" si="47"/>
        <v>75</v>
      </c>
      <c r="AB68" s="3">
        <f t="shared" ref="AB68:AO68" si="48">AB69+AB71</f>
        <v>0</v>
      </c>
      <c r="AC68" s="3">
        <f t="shared" si="48"/>
        <v>0</v>
      </c>
      <c r="AD68" s="3">
        <f t="shared" si="48"/>
        <v>0</v>
      </c>
      <c r="AE68" s="3">
        <f t="shared" si="48"/>
        <v>0</v>
      </c>
      <c r="AF68" s="3">
        <f t="shared" si="48"/>
        <v>0</v>
      </c>
      <c r="AG68" s="3">
        <f t="shared" si="48"/>
        <v>0</v>
      </c>
      <c r="AH68" s="3">
        <f t="shared" si="48"/>
        <v>0</v>
      </c>
      <c r="AI68" s="3">
        <f t="shared" si="48"/>
        <v>0</v>
      </c>
      <c r="AJ68" s="3">
        <f t="shared" si="48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48"/>
        <v>0</v>
      </c>
      <c r="AO68" s="3">
        <f t="shared" si="48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019" t="s">
        <v>15</v>
      </c>
      <c r="C69" s="1327"/>
      <c r="D69" s="1327"/>
      <c r="E69" s="1327"/>
      <c r="F69" s="1327"/>
      <c r="G69" s="994">
        <v>2019</v>
      </c>
      <c r="H69" s="994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49">SUM(R70)</f>
        <v>0</v>
      </c>
      <c r="S69" s="47">
        <f t="shared" si="49"/>
        <v>0</v>
      </c>
      <c r="T69" s="47">
        <f t="shared" si="49"/>
        <v>0</v>
      </c>
      <c r="U69" s="47">
        <f t="shared" si="49"/>
        <v>0</v>
      </c>
      <c r="V69" s="47">
        <f t="shared" si="49"/>
        <v>0</v>
      </c>
      <c r="W69" s="47">
        <f t="shared" si="49"/>
        <v>0</v>
      </c>
      <c r="X69" s="47">
        <v>0</v>
      </c>
      <c r="Y69" s="47">
        <f t="shared" si="49"/>
        <v>0</v>
      </c>
      <c r="Z69" s="96"/>
      <c r="AA69" s="47">
        <v>75</v>
      </c>
      <c r="AB69" s="47">
        <f t="shared" si="49"/>
        <v>0</v>
      </c>
      <c r="AC69" s="47">
        <v>0</v>
      </c>
      <c r="AD69" s="47">
        <v>0</v>
      </c>
      <c r="AE69" s="47">
        <v>0</v>
      </c>
      <c r="AF69" s="47">
        <f t="shared" si="49"/>
        <v>0</v>
      </c>
      <c r="AG69" s="47">
        <f t="shared" si="49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019" t="s">
        <v>16</v>
      </c>
      <c r="C71" s="1327"/>
      <c r="D71" s="1327"/>
      <c r="E71" s="1327"/>
      <c r="F71" s="1327"/>
      <c r="G71" s="994">
        <v>2020</v>
      </c>
      <c r="H71" s="994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006"/>
      <c r="B72" s="609" t="s">
        <v>403</v>
      </c>
      <c r="C72" s="341"/>
      <c r="D72" s="341"/>
      <c r="E72" s="341"/>
      <c r="F72" s="341"/>
      <c r="G72" s="1000"/>
      <c r="H72" s="1000"/>
      <c r="I72" s="996"/>
      <c r="J72" s="1037"/>
      <c r="K72" s="3">
        <v>0</v>
      </c>
      <c r="L72" s="3">
        <f>L73+L78</f>
        <v>0</v>
      </c>
      <c r="M72" s="3">
        <f>M73+M78</f>
        <v>0</v>
      </c>
      <c r="N72" s="3">
        <f>N73+N78</f>
        <v>0</v>
      </c>
      <c r="O72" s="3">
        <f>O73+O78</f>
        <v>0</v>
      </c>
      <c r="P72" s="3">
        <f>P73+P78</f>
        <v>0</v>
      </c>
      <c r="Q72" s="3">
        <f>SUM(Q73)</f>
        <v>35.672149999999995</v>
      </c>
      <c r="R72" s="3">
        <f t="shared" ref="R72:AA72" si="50">SUM(R73)</f>
        <v>0</v>
      </c>
      <c r="S72" s="3">
        <f t="shared" si="50"/>
        <v>0</v>
      </c>
      <c r="T72" s="3">
        <f t="shared" si="50"/>
        <v>0</v>
      </c>
      <c r="U72" s="3">
        <f t="shared" si="50"/>
        <v>0</v>
      </c>
      <c r="V72" s="3">
        <f t="shared" si="50"/>
        <v>0</v>
      </c>
      <c r="W72" s="3">
        <f t="shared" si="50"/>
        <v>0</v>
      </c>
      <c r="X72" s="3">
        <f t="shared" si="50"/>
        <v>0</v>
      </c>
      <c r="Y72" s="3">
        <f t="shared" si="50"/>
        <v>0</v>
      </c>
      <c r="Z72" s="3">
        <f t="shared" si="50"/>
        <v>0</v>
      </c>
      <c r="AA72" s="3">
        <f t="shared" si="50"/>
        <v>35.672149999999995</v>
      </c>
      <c r="AB72" s="3">
        <f t="shared" ref="AB72:AJ72" si="51">AB73+AB78</f>
        <v>0</v>
      </c>
      <c r="AC72" s="3">
        <f t="shared" si="51"/>
        <v>0</v>
      </c>
      <c r="AD72" s="3">
        <f t="shared" si="51"/>
        <v>0</v>
      </c>
      <c r="AE72" s="3">
        <f t="shared" si="51"/>
        <v>0</v>
      </c>
      <c r="AF72" s="3">
        <f t="shared" si="51"/>
        <v>0</v>
      </c>
      <c r="AG72" s="3">
        <f t="shared" si="51"/>
        <v>0</v>
      </c>
      <c r="AH72" s="3">
        <f t="shared" si="51"/>
        <v>0</v>
      </c>
      <c r="AI72" s="3">
        <f t="shared" si="51"/>
        <v>0</v>
      </c>
      <c r="AJ72" s="3">
        <f t="shared" si="51"/>
        <v>0</v>
      </c>
      <c r="AK72" s="3">
        <f>P72-Q72</f>
        <v>-35.672149999999995</v>
      </c>
      <c r="AL72" s="3">
        <f>AK72</f>
        <v>-35.672149999999995</v>
      </c>
      <c r="AM72" s="318" t="e">
        <f>ROUND((Q72*100%/P72*100),2)</f>
        <v>#DIV/0!</v>
      </c>
      <c r="AN72" s="3">
        <f>AN73+AN78</f>
        <v>0</v>
      </c>
      <c r="AO72" s="3">
        <f>AO73+AO78</f>
        <v>0</v>
      </c>
      <c r="AP72" s="633" t="s">
        <v>272</v>
      </c>
      <c r="AQ72" s="95">
        <v>40</v>
      </c>
    </row>
    <row r="73" spans="1:43" ht="15.75" customHeight="1" x14ac:dyDescent="0.25">
      <c r="A73" s="1006"/>
      <c r="B73" s="42" t="s">
        <v>16</v>
      </c>
      <c r="C73" s="341"/>
      <c r="D73" s="341"/>
      <c r="E73" s="341"/>
      <c r="F73" s="341"/>
      <c r="G73" s="313"/>
      <c r="H73" s="1045"/>
      <c r="I73" s="996"/>
      <c r="J73" s="1037"/>
      <c r="K73" s="4"/>
      <c r="L73" s="47"/>
      <c r="M73" s="47"/>
      <c r="N73" s="47"/>
      <c r="O73" s="47"/>
      <c r="P73" s="47">
        <v>0</v>
      </c>
      <c r="Q73" s="47">
        <f>SUM(Q74:Q75)</f>
        <v>35.672149999999995</v>
      </c>
      <c r="R73" s="47">
        <f t="shared" ref="R73:AA73" si="52">SUM(R74:R75)</f>
        <v>0</v>
      </c>
      <c r="S73" s="47">
        <f t="shared" si="52"/>
        <v>0</v>
      </c>
      <c r="T73" s="47">
        <f t="shared" si="52"/>
        <v>0</v>
      </c>
      <c r="U73" s="47">
        <f t="shared" si="52"/>
        <v>0</v>
      </c>
      <c r="V73" s="47">
        <f t="shared" si="52"/>
        <v>0</v>
      </c>
      <c r="W73" s="47">
        <f t="shared" si="52"/>
        <v>0</v>
      </c>
      <c r="X73" s="47">
        <f t="shared" si="52"/>
        <v>0</v>
      </c>
      <c r="Y73" s="47">
        <f t="shared" si="52"/>
        <v>0</v>
      </c>
      <c r="Z73" s="47">
        <f t="shared" si="52"/>
        <v>0</v>
      </c>
      <c r="AA73" s="47">
        <f t="shared" si="52"/>
        <v>35.672149999999995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451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34.092149999999997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34.092149999999997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327" customFormat="1" ht="28.5" customHeight="1" x14ac:dyDescent="0.25">
      <c r="A76" s="1006"/>
      <c r="B76" s="609" t="s">
        <v>404</v>
      </c>
      <c r="C76" s="341"/>
      <c r="D76" s="341"/>
      <c r="E76" s="341"/>
      <c r="F76" s="341"/>
      <c r="G76" s="1000"/>
      <c r="H76" s="1000"/>
      <c r="I76" s="996"/>
      <c r="J76" s="1037"/>
      <c r="K76" s="3">
        <v>0</v>
      </c>
      <c r="L76" s="3">
        <f>L77+L80</f>
        <v>0</v>
      </c>
      <c r="M76" s="3">
        <f>M77+M80</f>
        <v>0</v>
      </c>
      <c r="N76" s="3">
        <f>N77+N80</f>
        <v>0</v>
      </c>
      <c r="O76" s="3">
        <f>O77+O80</f>
        <v>0</v>
      </c>
      <c r="P76" s="3">
        <f>P77+P80</f>
        <v>0</v>
      </c>
      <c r="Q76" s="3">
        <f>SUM(Q77)</f>
        <v>0</v>
      </c>
      <c r="R76" s="3">
        <f t="shared" ref="R76:AA76" si="53">SUM(R77)</f>
        <v>0</v>
      </c>
      <c r="S76" s="3">
        <f t="shared" si="53"/>
        <v>0</v>
      </c>
      <c r="T76" s="3">
        <f t="shared" si="53"/>
        <v>0</v>
      </c>
      <c r="U76" s="3">
        <f t="shared" si="53"/>
        <v>0</v>
      </c>
      <c r="V76" s="3">
        <f t="shared" si="53"/>
        <v>0</v>
      </c>
      <c r="W76" s="3">
        <f t="shared" si="53"/>
        <v>0</v>
      </c>
      <c r="X76" s="3">
        <f t="shared" si="53"/>
        <v>0</v>
      </c>
      <c r="Y76" s="3">
        <f t="shared" si="53"/>
        <v>0</v>
      </c>
      <c r="Z76" s="3">
        <f t="shared" si="53"/>
        <v>0</v>
      </c>
      <c r="AA76" s="3">
        <f t="shared" si="53"/>
        <v>0</v>
      </c>
      <c r="AB76" s="3">
        <f t="shared" ref="AB76:AJ76" si="54">AB77+AB80</f>
        <v>0</v>
      </c>
      <c r="AC76" s="3">
        <f t="shared" si="54"/>
        <v>0</v>
      </c>
      <c r="AD76" s="3">
        <f t="shared" si="54"/>
        <v>0</v>
      </c>
      <c r="AE76" s="3">
        <f t="shared" si="54"/>
        <v>0</v>
      </c>
      <c r="AF76" s="3">
        <f t="shared" si="54"/>
        <v>0</v>
      </c>
      <c r="AG76" s="3">
        <f t="shared" si="54"/>
        <v>0</v>
      </c>
      <c r="AH76" s="3">
        <f t="shared" si="54"/>
        <v>0</v>
      </c>
      <c r="AI76" s="3">
        <f t="shared" si="54"/>
        <v>0</v>
      </c>
      <c r="AJ76" s="3">
        <f t="shared" si="54"/>
        <v>0</v>
      </c>
      <c r="AK76" s="3">
        <f>P76-Q76</f>
        <v>0</v>
      </c>
      <c r="AL76" s="3">
        <f>AK76</f>
        <v>0</v>
      </c>
      <c r="AM76" s="318" t="e">
        <f>ROUND((Q76*100%/P76*100),2)</f>
        <v>#DIV/0!</v>
      </c>
      <c r="AN76" s="3">
        <f>AN77+AN80</f>
        <v>0</v>
      </c>
      <c r="AO76" s="3">
        <f>AO77+AO80</f>
        <v>0</v>
      </c>
      <c r="AP76" s="633" t="s">
        <v>272</v>
      </c>
      <c r="AQ76" s="95">
        <v>40</v>
      </c>
    </row>
    <row r="77" spans="1:43" ht="15.75" customHeight="1" x14ac:dyDescent="0.25">
      <c r="A77" s="1006"/>
      <c r="B77" s="42" t="s">
        <v>16</v>
      </c>
      <c r="C77" s="341"/>
      <c r="D77" s="341"/>
      <c r="E77" s="341"/>
      <c r="F77" s="341"/>
      <c r="G77" s="313"/>
      <c r="H77" s="1045"/>
      <c r="I77" s="996"/>
      <c r="J77" s="1037"/>
      <c r="K77" s="4"/>
      <c r="L77" s="47"/>
      <c r="M77" s="47"/>
      <c r="N77" s="47"/>
      <c r="O77" s="47"/>
      <c r="P77" s="47">
        <v>0</v>
      </c>
      <c r="Q77" s="47">
        <v>0</v>
      </c>
      <c r="R77" s="47"/>
      <c r="S77" s="47"/>
      <c r="T77" s="47"/>
      <c r="U77" s="47"/>
      <c r="V77" s="47"/>
      <c r="W77" s="47"/>
      <c r="X77" s="47"/>
      <c r="Y77" s="47"/>
      <c r="Z77" s="96"/>
      <c r="AA77" s="47"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397"/>
      <c r="AQ77" s="96"/>
    </row>
    <row r="78" spans="1:43" ht="52.5" hidden="1" customHeight="1" x14ac:dyDescent="0.25">
      <c r="A78" s="1332" t="s">
        <v>56</v>
      </c>
      <c r="B78" s="1613" t="s">
        <v>41</v>
      </c>
      <c r="C78" s="1614"/>
      <c r="D78" s="1614"/>
      <c r="E78" s="1614"/>
      <c r="F78" s="1614"/>
      <c r="G78" s="1614"/>
      <c r="H78" s="1615"/>
      <c r="I78" s="23" t="s">
        <v>19</v>
      </c>
      <c r="J78" s="1029">
        <v>0</v>
      </c>
      <c r="K78" s="1029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48" hidden="1" customHeight="1" x14ac:dyDescent="0.25">
      <c r="A79" s="1333"/>
      <c r="B79" s="1616"/>
      <c r="C79" s="1617"/>
      <c r="D79" s="1617"/>
      <c r="E79" s="1617"/>
      <c r="F79" s="1617"/>
      <c r="G79" s="1617"/>
      <c r="H79" s="1618"/>
      <c r="I79" s="23" t="s">
        <v>20</v>
      </c>
      <c r="J79" s="1029">
        <f>L79</f>
        <v>212998.96</v>
      </c>
      <c r="K79" s="1029">
        <f>K82+K129+K130+K131</f>
        <v>0</v>
      </c>
      <c r="L79" s="47">
        <f>L82+L86+L92+L93+L96+L99+L102+L108+L113+L116+L120+L125</f>
        <v>212998.96</v>
      </c>
      <c r="M79" s="47">
        <f>M82+M86+M92+M93+M96+M99+M102+M108</f>
        <v>23675.279999999999</v>
      </c>
      <c r="N79" s="47">
        <f>N82+N86+N92+N93+N96+N99+N102+N108+N113+N116+N120+N125</f>
        <v>44561.120000000003</v>
      </c>
      <c r="O79" s="47">
        <f>O82+O86+O92+O93+O96+O99+O102+O108+O113+O116+O120+O125</f>
        <v>26487.67</v>
      </c>
      <c r="P79" s="47">
        <f>P82+P86+P92+P93+P96+P99+P102+P108+P113+P116+P120+P125</f>
        <v>42150.159999999996</v>
      </c>
      <c r="Q79" s="47">
        <f>Q82+Q86+Q92+Q93+Q96+Q99+Q102+Q108+Q113+Q116+Q120+Q125</f>
        <v>0</v>
      </c>
      <c r="R79" s="47">
        <f t="shared" ref="R79:Y79" si="55">R82+R86+R92+R93+R96+R99+R102+R108+R113+R116+R120+R125</f>
        <v>11372.53</v>
      </c>
      <c r="S79" s="47">
        <f t="shared" si="55"/>
        <v>11789.196</v>
      </c>
      <c r="T79" s="47">
        <f t="shared" si="55"/>
        <v>17105.953000000001</v>
      </c>
      <c r="U79" s="47">
        <f t="shared" si="55"/>
        <v>16853.532999999999</v>
      </c>
      <c r="V79" s="47">
        <f t="shared" si="55"/>
        <v>1876.1869999999999</v>
      </c>
      <c r="W79" s="47">
        <f t="shared" si="55"/>
        <v>1916.0429999999999</v>
      </c>
      <c r="X79" s="47">
        <f t="shared" si="55"/>
        <v>0</v>
      </c>
      <c r="Y79" s="47">
        <f t="shared" si="55"/>
        <v>0</v>
      </c>
      <c r="Z79" s="96"/>
      <c r="AA79" s="47">
        <f>AA82+AA86+AA92+AA93+AA96+AA99+AA102+AA108+AA113+AA116+AA120+AA125</f>
        <v>0</v>
      </c>
      <c r="AB79" s="47">
        <f>AB82+AB86+AB92+AB93+AB96+AB99+AB102+AB108+AB113+AB116+AB120+AB125</f>
        <v>40.5</v>
      </c>
      <c r="AC79" s="47">
        <f>AC82+AC86+AC92+AC93+AC96+AC99+AC102+AC108+AC113+AC116+AC120+AC125</f>
        <v>907.08299999999997</v>
      </c>
      <c r="AD79" s="47">
        <f>AD82+AD86+AD92+AD93+AD96+AD99+AD102+AD108+AD113+AD116+AD120+AD125</f>
        <v>2805.3339999999998</v>
      </c>
      <c r="AE79" s="47">
        <f>AE82+AE86+AE92+AE93+AE96+AE99+AE102+AE108+AE113+AE116+AE120+AE125</f>
        <v>0</v>
      </c>
      <c r="AF79" s="47">
        <f t="shared" ref="AF79:AO79" si="56">AF82+AF86+AF92</f>
        <v>0</v>
      </c>
      <c r="AG79" s="47">
        <f t="shared" si="56"/>
        <v>0</v>
      </c>
      <c r="AH79" s="47">
        <f t="shared" si="56"/>
        <v>0</v>
      </c>
      <c r="AI79" s="47">
        <f t="shared" si="56"/>
        <v>0</v>
      </c>
      <c r="AJ79" s="47">
        <f>AJ82+AJ86+AJ92+AJ125</f>
        <v>0</v>
      </c>
      <c r="AK79" s="47">
        <f t="shared" si="56"/>
        <v>4809.3900000000003</v>
      </c>
      <c r="AL79" s="47">
        <f t="shared" si="56"/>
        <v>4809.3900000000003</v>
      </c>
      <c r="AM79" s="47" t="e">
        <f t="shared" si="56"/>
        <v>#DIV/0!</v>
      </c>
      <c r="AN79" s="47">
        <f t="shared" si="56"/>
        <v>0</v>
      </c>
      <c r="AO79" s="47">
        <f t="shared" si="56"/>
        <v>0</v>
      </c>
      <c r="AP79" s="397"/>
      <c r="AQ79" s="96"/>
    </row>
    <row r="80" spans="1:43" ht="27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10</v>
      </c>
      <c r="J80" s="1029">
        <f>L80</f>
        <v>0</v>
      </c>
      <c r="K80" s="1029">
        <v>0</v>
      </c>
      <c r="L80" s="47">
        <f>M80+N80+O80</f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96"/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397"/>
      <c r="AQ80" s="96"/>
    </row>
    <row r="81" spans="1:43" ht="27" hidden="1" customHeight="1" x14ac:dyDescent="0.25">
      <c r="A81" s="1334"/>
      <c r="B81" s="1619"/>
      <c r="C81" s="1620"/>
      <c r="D81" s="1620"/>
      <c r="E81" s="1620"/>
      <c r="F81" s="1620"/>
      <c r="G81" s="1620"/>
      <c r="H81" s="1621"/>
      <c r="I81" s="23" t="s">
        <v>9</v>
      </c>
      <c r="J81" s="1029">
        <f>L81</f>
        <v>0</v>
      </c>
      <c r="K81" s="1029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s="327" customFormat="1" ht="27.75" customHeight="1" x14ac:dyDescent="0.25">
      <c r="A82" s="1372" t="s">
        <v>57</v>
      </c>
      <c r="B82" s="780" t="s">
        <v>200</v>
      </c>
      <c r="C82" s="1018"/>
      <c r="D82" s="1018"/>
      <c r="E82" s="1018"/>
      <c r="F82" s="1018"/>
      <c r="G82" s="1018">
        <v>2019</v>
      </c>
      <c r="H82" s="1018">
        <v>2019</v>
      </c>
      <c r="I82" s="1326" t="s">
        <v>20</v>
      </c>
      <c r="J82" s="3">
        <f>L82</f>
        <v>30833.33</v>
      </c>
      <c r="K82" s="3"/>
      <c r="L82" s="3">
        <f t="shared" ref="L82:AC82" si="57">L83</f>
        <v>30833.33</v>
      </c>
      <c r="M82" s="3">
        <f t="shared" si="57"/>
        <v>20000</v>
      </c>
      <c r="N82" s="3">
        <f t="shared" si="57"/>
        <v>9151.41</v>
      </c>
      <c r="O82" s="3">
        <f t="shared" si="57"/>
        <v>0</v>
      </c>
      <c r="P82" s="3">
        <v>0</v>
      </c>
      <c r="Q82" s="3">
        <f t="shared" si="57"/>
        <v>0</v>
      </c>
      <c r="R82" s="3">
        <f t="shared" si="57"/>
        <v>0</v>
      </c>
      <c r="S82" s="3">
        <f t="shared" si="57"/>
        <v>0</v>
      </c>
      <c r="T82" s="3">
        <f t="shared" si="57"/>
        <v>0</v>
      </c>
      <c r="U82" s="3">
        <f t="shared" si="57"/>
        <v>0</v>
      </c>
      <c r="V82" s="3">
        <f t="shared" si="57"/>
        <v>0</v>
      </c>
      <c r="W82" s="3">
        <f t="shared" si="57"/>
        <v>0</v>
      </c>
      <c r="X82" s="3">
        <f t="shared" si="57"/>
        <v>0</v>
      </c>
      <c r="Y82" s="3">
        <f t="shared" si="57"/>
        <v>0</v>
      </c>
      <c r="Z82" s="95">
        <v>0</v>
      </c>
      <c r="AA82" s="3">
        <f t="shared" si="57"/>
        <v>0</v>
      </c>
      <c r="AB82" s="3">
        <f t="shared" si="57"/>
        <v>0</v>
      </c>
      <c r="AC82" s="3">
        <f t="shared" si="57"/>
        <v>0</v>
      </c>
      <c r="AD82" s="3">
        <f>AD83</f>
        <v>0</v>
      </c>
      <c r="AE82" s="3">
        <f t="shared" ref="AE82:AJ82" si="58">AE83</f>
        <v>0</v>
      </c>
      <c r="AF82" s="3">
        <f t="shared" si="58"/>
        <v>0</v>
      </c>
      <c r="AG82" s="3">
        <f t="shared" si="58"/>
        <v>0</v>
      </c>
      <c r="AH82" s="3">
        <f t="shared" si="58"/>
        <v>0</v>
      </c>
      <c r="AI82" s="3">
        <f t="shared" si="58"/>
        <v>0</v>
      </c>
      <c r="AJ82" s="3">
        <f t="shared" si="58"/>
        <v>0</v>
      </c>
      <c r="AK82" s="3">
        <v>0</v>
      </c>
      <c r="AL82" s="3">
        <f>AK82</f>
        <v>0</v>
      </c>
      <c r="AM82" s="318" t="e">
        <f>ROUND((Q82*100%/P82*100),2)</f>
        <v>#DIV/0!</v>
      </c>
      <c r="AN82" s="3">
        <v>0</v>
      </c>
      <c r="AO82" s="3">
        <v>0</v>
      </c>
      <c r="AP82" s="633" t="s">
        <v>273</v>
      </c>
      <c r="AQ82" s="95">
        <v>0</v>
      </c>
    </row>
    <row r="83" spans="1:43" ht="14.25" hidden="1" customHeight="1" x14ac:dyDescent="0.25">
      <c r="A83" s="1383"/>
      <c r="B83" s="1" t="s">
        <v>201</v>
      </c>
      <c r="C83" s="994"/>
      <c r="D83" s="994"/>
      <c r="E83" s="994"/>
      <c r="F83" s="994"/>
      <c r="G83" s="1013"/>
      <c r="H83" s="1013"/>
      <c r="I83" s="1639"/>
      <c r="J83" s="47"/>
      <c r="K83" s="47"/>
      <c r="L83" s="47">
        <v>30833.33</v>
      </c>
      <c r="M83" s="47">
        <v>20000</v>
      </c>
      <c r="N83" s="47">
        <v>9151.41</v>
      </c>
      <c r="O83" s="47">
        <v>0</v>
      </c>
      <c r="P83" s="47">
        <v>1681.92</v>
      </c>
      <c r="Q83" s="47">
        <f>SUM(Q84:Q85)</f>
        <v>0</v>
      </c>
      <c r="R83" s="47">
        <f>SUM(R84:R85)</f>
        <v>0</v>
      </c>
      <c r="S83" s="47">
        <f>SUM(S84:S85)</f>
        <v>0</v>
      </c>
      <c r="T83" s="47">
        <f t="shared" ref="T83:AC83" si="59">SUM(T84:T85)</f>
        <v>0</v>
      </c>
      <c r="U83" s="47">
        <f t="shared" si="59"/>
        <v>0</v>
      </c>
      <c r="V83" s="47">
        <f t="shared" si="59"/>
        <v>0</v>
      </c>
      <c r="W83" s="47">
        <f t="shared" si="59"/>
        <v>0</v>
      </c>
      <c r="X83" s="47">
        <f t="shared" si="59"/>
        <v>0</v>
      </c>
      <c r="Y83" s="47">
        <f t="shared" si="59"/>
        <v>0</v>
      </c>
      <c r="Z83" s="96"/>
      <c r="AA83" s="47">
        <f t="shared" si="59"/>
        <v>0</v>
      </c>
      <c r="AB83" s="47">
        <f t="shared" si="59"/>
        <v>0</v>
      </c>
      <c r="AC83" s="47">
        <f t="shared" si="59"/>
        <v>0</v>
      </c>
      <c r="AD83" s="47">
        <f>SUM(AD84:AD85)</f>
        <v>0</v>
      </c>
      <c r="AE83" s="47">
        <f t="shared" ref="AE83:AJ83" si="60">SUM(AE84:AE85)</f>
        <v>0</v>
      </c>
      <c r="AF83" s="47">
        <f t="shared" si="60"/>
        <v>0</v>
      </c>
      <c r="AG83" s="47">
        <f t="shared" si="60"/>
        <v>0</v>
      </c>
      <c r="AH83" s="47">
        <f t="shared" si="60"/>
        <v>0</v>
      </c>
      <c r="AI83" s="47">
        <f t="shared" si="60"/>
        <v>0</v>
      </c>
      <c r="AJ83" s="47">
        <f t="shared" si="60"/>
        <v>0</v>
      </c>
      <c r="AK83" s="47">
        <v>0</v>
      </c>
      <c r="AL83" s="47">
        <v>0</v>
      </c>
      <c r="AM83" s="4">
        <v>0</v>
      </c>
      <c r="AN83" s="47">
        <v>0</v>
      </c>
      <c r="AO83" s="47">
        <v>0</v>
      </c>
      <c r="AP83" s="397"/>
      <c r="AQ83" s="96"/>
    </row>
    <row r="84" spans="1:43" s="266" customFormat="1" ht="15.75" hidden="1" x14ac:dyDescent="0.25">
      <c r="A84" s="1007"/>
      <c r="B84" s="102"/>
      <c r="C84" s="262"/>
      <c r="D84" s="262"/>
      <c r="E84" s="262"/>
      <c r="F84" s="262"/>
      <c r="G84" s="104"/>
      <c r="H84" s="104"/>
      <c r="I84" s="1036"/>
      <c r="J84" s="96"/>
      <c r="K84" s="96"/>
      <c r="L84" s="96"/>
      <c r="M84" s="96"/>
      <c r="N84" s="96"/>
      <c r="O84" s="96"/>
      <c r="P84" s="47">
        <f>Q84</f>
        <v>0</v>
      </c>
      <c r="Q84" s="96">
        <f>S84+U84+W84+Y84</f>
        <v>0</v>
      </c>
      <c r="R84" s="96">
        <f>S84</f>
        <v>0</v>
      </c>
      <c r="S84" s="96">
        <v>0</v>
      </c>
      <c r="T84" s="96">
        <v>0</v>
      </c>
      <c r="U84" s="96">
        <v>0</v>
      </c>
      <c r="V84" s="96">
        <f>W84</f>
        <v>0</v>
      </c>
      <c r="W84" s="96">
        <v>0</v>
      </c>
      <c r="X84" s="96">
        <f>Y84</f>
        <v>0</v>
      </c>
      <c r="Y84" s="96">
        <v>0</v>
      </c>
      <c r="Z84" s="96"/>
      <c r="AA84" s="96">
        <f>AB84+AD84</f>
        <v>0</v>
      </c>
      <c r="AB84" s="96">
        <v>0</v>
      </c>
      <c r="AC84" s="96">
        <v>0</v>
      </c>
      <c r="AD84" s="96">
        <v>0</v>
      </c>
      <c r="AE84" s="96">
        <v>0</v>
      </c>
      <c r="AF84" s="96">
        <f>AG84+AH84+AI84</f>
        <v>0</v>
      </c>
      <c r="AG84" s="96"/>
      <c r="AH84" s="96"/>
      <c r="AI84" s="96">
        <v>0</v>
      </c>
      <c r="AJ84" s="96"/>
      <c r="AK84" s="96"/>
      <c r="AL84" s="96"/>
      <c r="AM84" s="268"/>
      <c r="AN84" s="96"/>
      <c r="AO84" s="96"/>
      <c r="AP84" s="405"/>
      <c r="AQ84" s="96"/>
    </row>
    <row r="85" spans="1:43" ht="14.25" hidden="1" customHeight="1" x14ac:dyDescent="0.25">
      <c r="A85" s="1007"/>
      <c r="B85" s="1"/>
      <c r="C85" s="994"/>
      <c r="D85" s="994"/>
      <c r="E85" s="994"/>
      <c r="F85" s="994"/>
      <c r="G85" s="1013"/>
      <c r="H85" s="1013"/>
      <c r="I85" s="1036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96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"/>
      <c r="AN85" s="47"/>
      <c r="AO85" s="47"/>
      <c r="AP85" s="397"/>
      <c r="AQ85" s="96"/>
    </row>
    <row r="86" spans="1:43" s="327" customFormat="1" ht="27" customHeight="1" x14ac:dyDescent="0.25">
      <c r="A86" s="787" t="s">
        <v>58</v>
      </c>
      <c r="B86" s="780" t="s">
        <v>87</v>
      </c>
      <c r="C86" s="1326"/>
      <c r="D86" s="1326"/>
      <c r="E86" s="1326"/>
      <c r="F86" s="1326"/>
      <c r="G86" s="1018"/>
      <c r="H86" s="1018"/>
      <c r="I86" s="1326" t="s">
        <v>20</v>
      </c>
      <c r="J86" s="3">
        <f t="shared" ref="J86:J91" si="61">L86</f>
        <v>20425.87</v>
      </c>
      <c r="K86" s="3"/>
      <c r="L86" s="3">
        <f>L87+L91</f>
        <v>20425.87</v>
      </c>
      <c r="M86" s="3">
        <f t="shared" ref="M86:AO86" si="62">M87+M91</f>
        <v>616.66</v>
      </c>
      <c r="N86" s="3">
        <f t="shared" si="62"/>
        <v>6665.55</v>
      </c>
      <c r="O86" s="3">
        <f t="shared" si="62"/>
        <v>4018.39</v>
      </c>
      <c r="P86" s="3">
        <f t="shared" si="62"/>
        <v>4809.3900000000003</v>
      </c>
      <c r="Q86" s="3">
        <f t="shared" si="62"/>
        <v>0</v>
      </c>
      <c r="R86" s="3">
        <f t="shared" si="62"/>
        <v>0</v>
      </c>
      <c r="S86" s="3">
        <f t="shared" si="62"/>
        <v>416.67</v>
      </c>
      <c r="T86" s="3">
        <f t="shared" si="62"/>
        <v>495.38399999999996</v>
      </c>
      <c r="U86" s="3">
        <f t="shared" si="62"/>
        <v>495.38399999999996</v>
      </c>
      <c r="V86" s="3">
        <f t="shared" si="62"/>
        <v>278.41000000000003</v>
      </c>
      <c r="W86" s="3">
        <f t="shared" si="62"/>
        <v>318.26600000000002</v>
      </c>
      <c r="X86" s="3">
        <f t="shared" si="62"/>
        <v>0</v>
      </c>
      <c r="Y86" s="3">
        <f t="shared" si="62"/>
        <v>0</v>
      </c>
      <c r="Z86" s="95">
        <v>0</v>
      </c>
      <c r="AA86" s="3">
        <f>AA87+AA91+AQ86</f>
        <v>0</v>
      </c>
      <c r="AB86" s="3">
        <f t="shared" si="62"/>
        <v>0</v>
      </c>
      <c r="AC86" s="3">
        <f t="shared" si="62"/>
        <v>907.08299999999997</v>
      </c>
      <c r="AD86" s="3">
        <f t="shared" si="62"/>
        <v>308.33300000000003</v>
      </c>
      <c r="AE86" s="3">
        <f t="shared" si="62"/>
        <v>0</v>
      </c>
      <c r="AF86" s="3">
        <f t="shared" si="62"/>
        <v>0</v>
      </c>
      <c r="AG86" s="3">
        <f t="shared" si="62"/>
        <v>0</v>
      </c>
      <c r="AH86" s="3">
        <f t="shared" si="62"/>
        <v>0</v>
      </c>
      <c r="AI86" s="3">
        <f t="shared" si="62"/>
        <v>0</v>
      </c>
      <c r="AJ86" s="3">
        <f t="shared" si="62"/>
        <v>0</v>
      </c>
      <c r="AK86" s="3">
        <f>P86-Q86</f>
        <v>4809.3900000000003</v>
      </c>
      <c r="AL86" s="3">
        <f>AK86</f>
        <v>4809.3900000000003</v>
      </c>
      <c r="AM86" s="318">
        <f>ROUND((Q86*100%/P86*100),2)</f>
        <v>0</v>
      </c>
      <c r="AN86" s="3">
        <f t="shared" si="62"/>
        <v>0</v>
      </c>
      <c r="AO86" s="3">
        <f t="shared" si="62"/>
        <v>0</v>
      </c>
      <c r="AP86" s="633" t="s">
        <v>243</v>
      </c>
      <c r="AQ86" s="95">
        <v>0</v>
      </c>
    </row>
    <row r="87" spans="1:43" ht="14.25" customHeight="1" x14ac:dyDescent="0.25">
      <c r="A87" s="44"/>
      <c r="B87" s="1" t="s">
        <v>15</v>
      </c>
      <c r="C87" s="1327"/>
      <c r="D87" s="1327"/>
      <c r="E87" s="1327"/>
      <c r="F87" s="1327"/>
      <c r="G87" s="1013">
        <v>2020</v>
      </c>
      <c r="H87" s="1013">
        <v>2020</v>
      </c>
      <c r="I87" s="1327"/>
      <c r="J87" s="47">
        <f t="shared" si="61"/>
        <v>7560.63</v>
      </c>
      <c r="K87" s="47"/>
      <c r="L87" s="47">
        <v>7560.63</v>
      </c>
      <c r="M87" s="47">
        <v>616.66</v>
      </c>
      <c r="N87" s="47">
        <v>6665.55</v>
      </c>
      <c r="O87" s="47">
        <v>0</v>
      </c>
      <c r="P87" s="47">
        <v>791.01</v>
      </c>
      <c r="Q87" s="47">
        <v>0</v>
      </c>
      <c r="R87" s="47">
        <f>R90+R88+R89</f>
        <v>0</v>
      </c>
      <c r="S87" s="47">
        <f>S90+S88+S89</f>
        <v>416.67</v>
      </c>
      <c r="T87" s="47">
        <f>T90+T88+T89</f>
        <v>495.38399999999996</v>
      </c>
      <c r="U87" s="47">
        <f>SUM(U88:U90)</f>
        <v>495.38399999999996</v>
      </c>
      <c r="V87" s="47">
        <f t="shared" ref="V87:AK87" si="63">V90+V88</f>
        <v>278.41000000000003</v>
      </c>
      <c r="W87" s="47">
        <f>W90+W88+W89</f>
        <v>318.26600000000002</v>
      </c>
      <c r="X87" s="47">
        <f t="shared" si="63"/>
        <v>0</v>
      </c>
      <c r="Y87" s="47">
        <f t="shared" si="63"/>
        <v>0</v>
      </c>
      <c r="Z87" s="96"/>
      <c r="AA87" s="47">
        <v>0</v>
      </c>
      <c r="AB87" s="47">
        <f t="shared" si="63"/>
        <v>0</v>
      </c>
      <c r="AC87" s="47">
        <f t="shared" si="63"/>
        <v>907.08299999999997</v>
      </c>
      <c r="AD87" s="47">
        <f t="shared" si="63"/>
        <v>308.33300000000003</v>
      </c>
      <c r="AE87" s="47">
        <f t="shared" si="63"/>
        <v>0</v>
      </c>
      <c r="AF87" s="47">
        <f t="shared" si="63"/>
        <v>0</v>
      </c>
      <c r="AG87" s="47">
        <f t="shared" si="63"/>
        <v>0</v>
      </c>
      <c r="AH87" s="47">
        <f t="shared" si="63"/>
        <v>0</v>
      </c>
      <c r="AI87" s="47">
        <f t="shared" si="63"/>
        <v>0</v>
      </c>
      <c r="AJ87" s="47">
        <f t="shared" si="63"/>
        <v>0</v>
      </c>
      <c r="AK87" s="47">
        <f t="shared" si="63"/>
        <v>0</v>
      </c>
      <c r="AL87" s="47">
        <v>0</v>
      </c>
      <c r="AM87" s="47">
        <v>0</v>
      </c>
      <c r="AN87" s="47">
        <v>0</v>
      </c>
      <c r="AO87" s="47">
        <v>0</v>
      </c>
      <c r="AP87" s="397"/>
      <c r="AQ87" s="96"/>
    </row>
    <row r="88" spans="1:43" s="266" customFormat="1" ht="19.5" hidden="1" customHeight="1" x14ac:dyDescent="0.25">
      <c r="A88" s="251"/>
      <c r="B88" s="102" t="s">
        <v>297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96"/>
      <c r="Q88" s="96">
        <f>S88+U88+Y88+W88</f>
        <v>1215.42</v>
      </c>
      <c r="R88" s="96"/>
      <c r="S88" s="96">
        <v>416.67</v>
      </c>
      <c r="T88" s="96">
        <f>U88</f>
        <v>490.41699999999997</v>
      </c>
      <c r="U88" s="96">
        <v>490.41699999999997</v>
      </c>
      <c r="V88" s="96">
        <v>278.41000000000003</v>
      </c>
      <c r="W88" s="96">
        <v>308.33300000000003</v>
      </c>
      <c r="X88" s="96"/>
      <c r="Y88" s="96"/>
      <c r="Z88" s="96"/>
      <c r="AA88" s="96">
        <f>AC88+AD88</f>
        <v>1215.4159999999999</v>
      </c>
      <c r="AB88" s="96"/>
      <c r="AC88" s="96">
        <v>907.08299999999997</v>
      </c>
      <c r="AD88" s="96">
        <v>308.33300000000003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405"/>
      <c r="AQ88" s="96"/>
    </row>
    <row r="89" spans="1:43" s="266" customFormat="1" ht="19.5" hidden="1" customHeight="1" x14ac:dyDescent="0.25">
      <c r="A89" s="251"/>
      <c r="B89" s="102" t="s">
        <v>315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U89+W89</f>
        <v>14.899999999999999</v>
      </c>
      <c r="R89" s="96"/>
      <c r="S89" s="96">
        <v>0</v>
      </c>
      <c r="T89" s="96">
        <f>U89</f>
        <v>4.9669999999999996</v>
      </c>
      <c r="U89" s="96">
        <v>4.9669999999999996</v>
      </c>
      <c r="V89" s="96"/>
      <c r="W89" s="96">
        <v>9.9329999999999998</v>
      </c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6.5" hidden="1" customHeight="1" x14ac:dyDescent="0.25">
      <c r="A90" s="251"/>
      <c r="B90" s="102" t="s">
        <v>255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47">
        <v>0</v>
      </c>
      <c r="Q90" s="96">
        <f>S90+U90+Y90</f>
        <v>0</v>
      </c>
      <c r="R90" s="96">
        <f>S90</f>
        <v>0</v>
      </c>
      <c r="S90" s="96"/>
      <c r="T90" s="96"/>
      <c r="U90" s="96"/>
      <c r="V90" s="96"/>
      <c r="W90" s="96"/>
      <c r="X90" s="96"/>
      <c r="Y90" s="96">
        <v>0</v>
      </c>
      <c r="Z90" s="96"/>
      <c r="AA90" s="96">
        <f>AB90</f>
        <v>0</v>
      </c>
      <c r="AB90" s="96"/>
      <c r="AC90" s="96">
        <v>0</v>
      </c>
      <c r="AD90" s="96"/>
      <c r="AE90" s="96"/>
      <c r="AF90" s="96">
        <f>SUM(AG90:AG90)</f>
        <v>0</v>
      </c>
      <c r="AG90" s="96"/>
      <c r="AH90" s="96"/>
      <c r="AI90" s="96"/>
      <c r="AJ90" s="96"/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405"/>
      <c r="AQ90" s="96"/>
    </row>
    <row r="91" spans="1:43" ht="15.75" customHeight="1" x14ac:dyDescent="0.25">
      <c r="A91" s="44"/>
      <c r="B91" s="1" t="s">
        <v>16</v>
      </c>
      <c r="C91" s="1328"/>
      <c r="D91" s="1328"/>
      <c r="E91" s="1328"/>
      <c r="F91" s="1328"/>
      <c r="G91" s="1013">
        <v>2020</v>
      </c>
      <c r="H91" s="1013">
        <v>2020</v>
      </c>
      <c r="I91" s="1328"/>
      <c r="J91" s="47">
        <f t="shared" si="61"/>
        <v>12865.24</v>
      </c>
      <c r="K91" s="47"/>
      <c r="L91" s="47">
        <v>12865.24</v>
      </c>
      <c r="M91" s="47">
        <v>0</v>
      </c>
      <c r="N91" s="47">
        <v>0</v>
      </c>
      <c r="O91" s="47">
        <v>4018.39</v>
      </c>
      <c r="P91" s="47">
        <v>4018.38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96"/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397"/>
      <c r="AQ91" s="96"/>
    </row>
    <row r="92" spans="1:43" ht="44.25" hidden="1" customHeight="1" x14ac:dyDescent="0.25">
      <c r="A92" s="44" t="s">
        <v>59</v>
      </c>
      <c r="B92" s="1" t="s">
        <v>55</v>
      </c>
      <c r="C92" s="1013"/>
      <c r="D92" s="1013"/>
      <c r="E92" s="1013"/>
      <c r="F92" s="1013"/>
      <c r="G92" s="1013">
        <v>2021</v>
      </c>
      <c r="H92" s="1013"/>
      <c r="I92" s="996" t="s">
        <v>20</v>
      </c>
      <c r="J92" s="1031">
        <v>313558.92</v>
      </c>
      <c r="K92" s="47"/>
      <c r="L92" s="47">
        <f>M92+N92+O92</f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v>0</v>
      </c>
      <c r="AB92" s="47">
        <v>0</v>
      </c>
      <c r="AC92" s="47"/>
      <c r="AD92" s="47"/>
      <c r="AE92" s="47"/>
      <c r="AF92" s="47">
        <v>0</v>
      </c>
      <c r="AG92" s="47"/>
      <c r="AH92" s="47"/>
      <c r="AI92" s="47"/>
      <c r="AJ92" s="47"/>
      <c r="AK92" s="47">
        <f>P92-Q92</f>
        <v>0</v>
      </c>
      <c r="AL92" s="47">
        <f>AK92</f>
        <v>0</v>
      </c>
      <c r="AM92" s="4">
        <v>0</v>
      </c>
      <c r="AN92" s="47">
        <v>0</v>
      </c>
      <c r="AO92" s="47">
        <v>0</v>
      </c>
      <c r="AP92" s="397" t="s">
        <v>158</v>
      </c>
      <c r="AQ92" s="96"/>
    </row>
    <row r="93" spans="1:43" s="327" customFormat="1" ht="40.5" customHeight="1" x14ac:dyDescent="0.25">
      <c r="A93" s="1372" t="s">
        <v>278</v>
      </c>
      <c r="B93" s="772" t="s">
        <v>202</v>
      </c>
      <c r="C93" s="312"/>
      <c r="D93" s="312"/>
      <c r="E93" s="312"/>
      <c r="F93" s="312"/>
      <c r="G93" s="312"/>
      <c r="H93" s="999"/>
      <c r="I93" s="1326" t="s">
        <v>20</v>
      </c>
      <c r="J93" s="1008"/>
      <c r="K93" s="3"/>
      <c r="L93" s="3">
        <f>L94</f>
        <v>4214.49</v>
      </c>
      <c r="M93" s="3">
        <f t="shared" ref="M93:AO94" si="64">M94</f>
        <v>0</v>
      </c>
      <c r="N93" s="3">
        <f t="shared" si="64"/>
        <v>3995.07</v>
      </c>
      <c r="O93" s="3">
        <f t="shared" si="64"/>
        <v>0</v>
      </c>
      <c r="P93" s="3">
        <v>0</v>
      </c>
      <c r="Q93" s="3">
        <v>0</v>
      </c>
      <c r="R93" s="3">
        <f t="shared" si="64"/>
        <v>0</v>
      </c>
      <c r="S93" s="3">
        <f t="shared" si="64"/>
        <v>0</v>
      </c>
      <c r="T93" s="3">
        <f t="shared" si="64"/>
        <v>219.42</v>
      </c>
      <c r="U93" s="3">
        <f t="shared" si="64"/>
        <v>537.85</v>
      </c>
      <c r="V93" s="3">
        <f t="shared" si="64"/>
        <v>0</v>
      </c>
      <c r="W93" s="3">
        <f t="shared" si="64"/>
        <v>0</v>
      </c>
      <c r="X93" s="3">
        <f t="shared" si="64"/>
        <v>0</v>
      </c>
      <c r="Y93" s="3">
        <f t="shared" si="64"/>
        <v>0</v>
      </c>
      <c r="Z93" s="95">
        <v>0</v>
      </c>
      <c r="AA93" s="3">
        <v>0</v>
      </c>
      <c r="AB93" s="3">
        <f t="shared" si="64"/>
        <v>0</v>
      </c>
      <c r="AC93" s="3">
        <f t="shared" si="64"/>
        <v>0</v>
      </c>
      <c r="AD93" s="3">
        <f t="shared" si="64"/>
        <v>537.85400000000004</v>
      </c>
      <c r="AE93" s="3">
        <f t="shared" si="64"/>
        <v>0</v>
      </c>
      <c r="AF93" s="3">
        <f t="shared" si="64"/>
        <v>0</v>
      </c>
      <c r="AG93" s="3">
        <f t="shared" si="64"/>
        <v>0</v>
      </c>
      <c r="AH93" s="3">
        <f t="shared" si="64"/>
        <v>0</v>
      </c>
      <c r="AI93" s="3">
        <f t="shared" si="64"/>
        <v>0</v>
      </c>
      <c r="AJ93" s="3">
        <f t="shared" si="64"/>
        <v>0</v>
      </c>
      <c r="AK93" s="3">
        <f t="shared" si="64"/>
        <v>0</v>
      </c>
      <c r="AL93" s="3">
        <f t="shared" si="64"/>
        <v>0</v>
      </c>
      <c r="AM93" s="3">
        <f t="shared" si="64"/>
        <v>0</v>
      </c>
      <c r="AN93" s="3">
        <f t="shared" si="64"/>
        <v>0</v>
      </c>
      <c r="AO93" s="3">
        <f t="shared" si="64"/>
        <v>0</v>
      </c>
      <c r="AP93" s="633" t="s">
        <v>244</v>
      </c>
      <c r="AQ93" s="95">
        <v>0</v>
      </c>
    </row>
    <row r="94" spans="1:43" ht="17.25" hidden="1" customHeight="1" x14ac:dyDescent="0.25">
      <c r="A94" s="1638"/>
      <c r="B94" s="42" t="s">
        <v>203</v>
      </c>
      <c r="C94" s="313"/>
      <c r="D94" s="313"/>
      <c r="E94" s="313"/>
      <c r="F94" s="313"/>
      <c r="G94" s="313"/>
      <c r="H94" s="1045"/>
      <c r="I94" s="1639"/>
      <c r="J94" s="1031"/>
      <c r="K94" s="47"/>
      <c r="L94" s="47">
        <v>4214.49</v>
      </c>
      <c r="M94" s="47">
        <v>0</v>
      </c>
      <c r="N94" s="47">
        <v>3995.07</v>
      </c>
      <c r="O94" s="47">
        <v>0</v>
      </c>
      <c r="P94" s="47">
        <v>219.42</v>
      </c>
      <c r="Q94" s="47">
        <f>Q95</f>
        <v>537.85</v>
      </c>
      <c r="R94" s="47">
        <f t="shared" si="64"/>
        <v>0</v>
      </c>
      <c r="S94" s="47">
        <f t="shared" si="64"/>
        <v>0</v>
      </c>
      <c r="T94" s="47">
        <f t="shared" si="64"/>
        <v>219.42</v>
      </c>
      <c r="U94" s="47">
        <f t="shared" si="64"/>
        <v>537.85</v>
      </c>
      <c r="V94" s="47">
        <f t="shared" si="64"/>
        <v>0</v>
      </c>
      <c r="W94" s="47">
        <f t="shared" si="64"/>
        <v>0</v>
      </c>
      <c r="X94" s="47">
        <f t="shared" si="64"/>
        <v>0</v>
      </c>
      <c r="Y94" s="47">
        <f t="shared" si="64"/>
        <v>0</v>
      </c>
      <c r="Z94" s="96"/>
      <c r="AA94" s="47">
        <f t="shared" si="64"/>
        <v>537.85400000000004</v>
      </c>
      <c r="AB94" s="47">
        <f t="shared" si="64"/>
        <v>0</v>
      </c>
      <c r="AC94" s="47">
        <f t="shared" si="64"/>
        <v>0</v>
      </c>
      <c r="AD94" s="47">
        <f t="shared" si="64"/>
        <v>537.85400000000004</v>
      </c>
      <c r="AE94" s="47">
        <f t="shared" si="64"/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397"/>
      <c r="AQ94" s="96"/>
    </row>
    <row r="95" spans="1:43" s="266" customFormat="1" ht="28.5" hidden="1" customHeight="1" x14ac:dyDescent="0.25">
      <c r="A95" s="1639"/>
      <c r="B95" s="252" t="s">
        <v>267</v>
      </c>
      <c r="C95" s="363"/>
      <c r="D95" s="363"/>
      <c r="E95" s="363"/>
      <c r="F95" s="363"/>
      <c r="G95" s="363"/>
      <c r="H95" s="364"/>
      <c r="I95" s="539"/>
      <c r="J95" s="258"/>
      <c r="K95" s="96"/>
      <c r="L95" s="96"/>
      <c r="M95" s="96"/>
      <c r="N95" s="96"/>
      <c r="O95" s="96"/>
      <c r="P95" s="96"/>
      <c r="Q95" s="96">
        <f>S95+U95</f>
        <v>537.85</v>
      </c>
      <c r="R95" s="96"/>
      <c r="S95" s="96"/>
      <c r="T95" s="96">
        <v>219.42</v>
      </c>
      <c r="U95" s="96">
        <f>ROUND((645.425/1.2),2)</f>
        <v>537.85</v>
      </c>
      <c r="V95" s="96"/>
      <c r="W95" s="96"/>
      <c r="X95" s="96"/>
      <c r="Y95" s="96"/>
      <c r="Z95" s="96"/>
      <c r="AA95" s="96">
        <f>AD95</f>
        <v>537.85400000000004</v>
      </c>
      <c r="AB95" s="96"/>
      <c r="AC95" s="96"/>
      <c r="AD95" s="96">
        <v>537.85400000000004</v>
      </c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405"/>
      <c r="AQ95" s="96"/>
    </row>
    <row r="96" spans="1:43" s="327" customFormat="1" ht="42.75" customHeight="1" x14ac:dyDescent="0.25">
      <c r="A96" s="1372" t="s">
        <v>279</v>
      </c>
      <c r="B96" s="772" t="s">
        <v>204</v>
      </c>
      <c r="C96" s="312"/>
      <c r="D96" s="312"/>
      <c r="E96" s="312"/>
      <c r="F96" s="312"/>
      <c r="G96" s="312"/>
      <c r="H96" s="999"/>
      <c r="I96" s="1326" t="s">
        <v>20</v>
      </c>
      <c r="J96" s="1008"/>
      <c r="K96" s="3"/>
      <c r="L96" s="3">
        <f>L97</f>
        <v>3214.56</v>
      </c>
      <c r="M96" s="3">
        <f t="shared" ref="M96:AO97" si="65">M97</f>
        <v>0</v>
      </c>
      <c r="N96" s="3">
        <f t="shared" si="65"/>
        <v>2956.68</v>
      </c>
      <c r="O96" s="3">
        <f t="shared" si="65"/>
        <v>0</v>
      </c>
      <c r="P96" s="3">
        <v>0</v>
      </c>
      <c r="Q96" s="3">
        <v>0</v>
      </c>
      <c r="R96" s="3">
        <f t="shared" si="65"/>
        <v>0</v>
      </c>
      <c r="S96" s="3">
        <f t="shared" si="65"/>
        <v>0</v>
      </c>
      <c r="T96" s="3">
        <f t="shared" si="65"/>
        <v>0</v>
      </c>
      <c r="U96" s="3">
        <f t="shared" si="65"/>
        <v>409.15</v>
      </c>
      <c r="V96" s="3">
        <f t="shared" si="65"/>
        <v>0</v>
      </c>
      <c r="W96" s="3">
        <f t="shared" si="65"/>
        <v>0</v>
      </c>
      <c r="X96" s="3">
        <f t="shared" si="65"/>
        <v>0</v>
      </c>
      <c r="Y96" s="3">
        <f t="shared" si="65"/>
        <v>0</v>
      </c>
      <c r="Z96" s="95">
        <v>0</v>
      </c>
      <c r="AA96" s="3">
        <v>0</v>
      </c>
      <c r="AB96" s="3">
        <f t="shared" si="65"/>
        <v>0</v>
      </c>
      <c r="AC96" s="3">
        <f t="shared" si="65"/>
        <v>0</v>
      </c>
      <c r="AD96" s="3">
        <f t="shared" si="65"/>
        <v>409.14699999999999</v>
      </c>
      <c r="AE96" s="3">
        <f t="shared" si="65"/>
        <v>0</v>
      </c>
      <c r="AF96" s="3">
        <f>AF97</f>
        <v>0</v>
      </c>
      <c r="AG96" s="3">
        <f t="shared" si="65"/>
        <v>0</v>
      </c>
      <c r="AH96" s="3">
        <f t="shared" si="65"/>
        <v>0</v>
      </c>
      <c r="AI96" s="3">
        <f t="shared" si="65"/>
        <v>0</v>
      </c>
      <c r="AJ96" s="3">
        <f t="shared" si="65"/>
        <v>0</v>
      </c>
      <c r="AK96" s="3">
        <f t="shared" si="65"/>
        <v>0</v>
      </c>
      <c r="AL96" s="3">
        <f t="shared" si="65"/>
        <v>0</v>
      </c>
      <c r="AM96" s="3">
        <f t="shared" si="65"/>
        <v>0</v>
      </c>
      <c r="AN96" s="3">
        <f t="shared" si="65"/>
        <v>0</v>
      </c>
      <c r="AO96" s="3">
        <f t="shared" si="65"/>
        <v>0</v>
      </c>
      <c r="AP96" s="633" t="s">
        <v>244</v>
      </c>
      <c r="AQ96" s="95">
        <v>0</v>
      </c>
    </row>
    <row r="97" spans="1:43" ht="17.25" hidden="1" customHeight="1" x14ac:dyDescent="0.25">
      <c r="A97" s="1382"/>
      <c r="B97" s="42" t="s">
        <v>203</v>
      </c>
      <c r="C97" s="313"/>
      <c r="D97" s="313"/>
      <c r="E97" s="313"/>
      <c r="F97" s="313"/>
      <c r="G97" s="313"/>
      <c r="H97" s="1045"/>
      <c r="I97" s="1639"/>
      <c r="J97" s="1031"/>
      <c r="K97" s="47"/>
      <c r="L97" s="47">
        <v>3214.56</v>
      </c>
      <c r="M97" s="47">
        <v>0</v>
      </c>
      <c r="N97" s="47">
        <v>2956.68</v>
      </c>
      <c r="O97" s="47">
        <v>0</v>
      </c>
      <c r="P97" s="47">
        <v>257.88</v>
      </c>
      <c r="Q97" s="47">
        <f>Q98</f>
        <v>409.15</v>
      </c>
      <c r="R97" s="47">
        <f t="shared" si="65"/>
        <v>0</v>
      </c>
      <c r="S97" s="47">
        <f t="shared" si="65"/>
        <v>0</v>
      </c>
      <c r="T97" s="47">
        <f t="shared" si="65"/>
        <v>0</v>
      </c>
      <c r="U97" s="47">
        <f t="shared" si="65"/>
        <v>409.15</v>
      </c>
      <c r="V97" s="47">
        <f t="shared" si="65"/>
        <v>0</v>
      </c>
      <c r="W97" s="47">
        <f t="shared" si="65"/>
        <v>0</v>
      </c>
      <c r="X97" s="47">
        <f t="shared" si="65"/>
        <v>0</v>
      </c>
      <c r="Y97" s="47">
        <f t="shared" si="65"/>
        <v>0</v>
      </c>
      <c r="Z97" s="96"/>
      <c r="AA97" s="47">
        <f t="shared" si="65"/>
        <v>409.14699999999999</v>
      </c>
      <c r="AB97" s="47">
        <f t="shared" si="65"/>
        <v>0</v>
      </c>
      <c r="AC97" s="47">
        <f t="shared" si="65"/>
        <v>0</v>
      </c>
      <c r="AD97" s="47">
        <f t="shared" si="65"/>
        <v>409.14699999999999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397"/>
      <c r="AQ97" s="96"/>
    </row>
    <row r="98" spans="1:43" s="266" customFormat="1" ht="27.75" hidden="1" customHeight="1" x14ac:dyDescent="0.25">
      <c r="A98" s="1639"/>
      <c r="B98" s="252" t="s">
        <v>267</v>
      </c>
      <c r="C98" s="363"/>
      <c r="D98" s="363"/>
      <c r="E98" s="363"/>
      <c r="F98" s="363"/>
      <c r="G98" s="363"/>
      <c r="H98" s="364"/>
      <c r="I98" s="539"/>
      <c r="J98" s="258"/>
      <c r="K98" s="96"/>
      <c r="L98" s="96"/>
      <c r="M98" s="96"/>
      <c r="N98" s="96"/>
      <c r="O98" s="96"/>
      <c r="P98" s="96"/>
      <c r="Q98" s="96">
        <f>S98+U98</f>
        <v>409.15</v>
      </c>
      <c r="R98" s="96"/>
      <c r="S98" s="96"/>
      <c r="T98" s="96"/>
      <c r="U98" s="96">
        <f>ROUND((490.979/1.2),2)</f>
        <v>409.15</v>
      </c>
      <c r="V98" s="96"/>
      <c r="W98" s="96"/>
      <c r="X98" s="96"/>
      <c r="Y98" s="96"/>
      <c r="Z98" s="96"/>
      <c r="AA98" s="96">
        <f>AD98</f>
        <v>409.14699999999999</v>
      </c>
      <c r="AB98" s="96"/>
      <c r="AC98" s="96"/>
      <c r="AD98" s="96">
        <v>409.14699999999999</v>
      </c>
      <c r="AE98" s="96"/>
      <c r="AF98" s="96"/>
      <c r="AG98" s="96"/>
      <c r="AH98" s="96"/>
      <c r="AI98" s="96"/>
      <c r="AJ98" s="96"/>
      <c r="AK98" s="96"/>
      <c r="AL98" s="96"/>
      <c r="AM98" s="268"/>
      <c r="AN98" s="96"/>
      <c r="AO98" s="96"/>
      <c r="AP98" s="405"/>
      <c r="AQ98" s="96"/>
    </row>
    <row r="99" spans="1:43" s="327" customFormat="1" ht="41.25" customHeight="1" x14ac:dyDescent="0.25">
      <c r="A99" s="1372" t="s">
        <v>159</v>
      </c>
      <c r="B99" s="772" t="s">
        <v>326</v>
      </c>
      <c r="C99" s="312"/>
      <c r="D99" s="312"/>
      <c r="E99" s="312"/>
      <c r="F99" s="312"/>
      <c r="G99" s="312"/>
      <c r="H99" s="999"/>
      <c r="I99" s="1326" t="s">
        <v>20</v>
      </c>
      <c r="J99" s="1008"/>
      <c r="K99" s="3"/>
      <c r="L99" s="3">
        <f>L100</f>
        <v>372.9</v>
      </c>
      <c r="M99" s="3">
        <f>M100</f>
        <v>0</v>
      </c>
      <c r="N99" s="3">
        <f t="shared" ref="N99:AO100" si="66">N100</f>
        <v>372.9</v>
      </c>
      <c r="O99" s="3">
        <f t="shared" si="66"/>
        <v>0</v>
      </c>
      <c r="P99" s="3">
        <f t="shared" si="66"/>
        <v>0</v>
      </c>
      <c r="Q99" s="3">
        <f t="shared" si="66"/>
        <v>0</v>
      </c>
      <c r="R99" s="3">
        <f t="shared" si="66"/>
        <v>0</v>
      </c>
      <c r="S99" s="3">
        <f t="shared" si="66"/>
        <v>0</v>
      </c>
      <c r="T99" s="3">
        <f t="shared" si="66"/>
        <v>0</v>
      </c>
      <c r="U99" s="3">
        <f t="shared" si="66"/>
        <v>0</v>
      </c>
      <c r="V99" s="3">
        <f t="shared" si="66"/>
        <v>0</v>
      </c>
      <c r="W99" s="3">
        <f t="shared" si="66"/>
        <v>0</v>
      </c>
      <c r="X99" s="3">
        <f t="shared" si="66"/>
        <v>0</v>
      </c>
      <c r="Y99" s="3">
        <f t="shared" si="66"/>
        <v>0</v>
      </c>
      <c r="Z99" s="95">
        <v>0</v>
      </c>
      <c r="AA99" s="3">
        <f t="shared" si="66"/>
        <v>0</v>
      </c>
      <c r="AB99" s="3">
        <f t="shared" si="66"/>
        <v>0</v>
      </c>
      <c r="AC99" s="3">
        <f t="shared" si="66"/>
        <v>0</v>
      </c>
      <c r="AD99" s="3">
        <f t="shared" si="66"/>
        <v>0</v>
      </c>
      <c r="AE99" s="3">
        <f t="shared" si="66"/>
        <v>0</v>
      </c>
      <c r="AF99" s="3">
        <f t="shared" si="66"/>
        <v>0</v>
      </c>
      <c r="AG99" s="3">
        <f t="shared" si="66"/>
        <v>0</v>
      </c>
      <c r="AH99" s="3">
        <f t="shared" si="66"/>
        <v>0</v>
      </c>
      <c r="AI99" s="3">
        <f t="shared" si="66"/>
        <v>0</v>
      </c>
      <c r="AJ99" s="3">
        <f t="shared" si="66"/>
        <v>0</v>
      </c>
      <c r="AK99" s="3">
        <f>P99-Q99</f>
        <v>0</v>
      </c>
      <c r="AL99" s="3">
        <f t="shared" si="66"/>
        <v>0</v>
      </c>
      <c r="AM99" s="318">
        <v>0</v>
      </c>
      <c r="AN99" s="3">
        <f t="shared" si="66"/>
        <v>0</v>
      </c>
      <c r="AO99" s="3">
        <f t="shared" si="66"/>
        <v>0</v>
      </c>
      <c r="AP99" s="633" t="s">
        <v>274</v>
      </c>
      <c r="AQ99" s="95">
        <v>0</v>
      </c>
    </row>
    <row r="100" spans="1:43" ht="17.25" hidden="1" customHeight="1" x14ac:dyDescent="0.25">
      <c r="A100" s="1383"/>
      <c r="B100" s="42" t="s">
        <v>203</v>
      </c>
      <c r="C100" s="313"/>
      <c r="D100" s="313"/>
      <c r="E100" s="313"/>
      <c r="F100" s="313"/>
      <c r="G100" s="313"/>
      <c r="H100" s="1045"/>
      <c r="I100" s="1639"/>
      <c r="J100" s="1031"/>
      <c r="K100" s="47"/>
      <c r="L100" s="47">
        <v>372.9</v>
      </c>
      <c r="M100" s="47">
        <v>0</v>
      </c>
      <c r="N100" s="47">
        <v>372.9</v>
      </c>
      <c r="O100" s="47">
        <v>0</v>
      </c>
      <c r="P100" s="47">
        <v>0</v>
      </c>
      <c r="Q100" s="47">
        <f>Q101</f>
        <v>0</v>
      </c>
      <c r="R100" s="47">
        <f t="shared" si="66"/>
        <v>0</v>
      </c>
      <c r="S100" s="47">
        <f t="shared" si="66"/>
        <v>0</v>
      </c>
      <c r="T100" s="47">
        <f t="shared" si="66"/>
        <v>0</v>
      </c>
      <c r="U100" s="47">
        <f t="shared" si="66"/>
        <v>0</v>
      </c>
      <c r="V100" s="47">
        <f t="shared" si="66"/>
        <v>0</v>
      </c>
      <c r="W100" s="47">
        <f t="shared" si="66"/>
        <v>0</v>
      </c>
      <c r="X100" s="47">
        <f t="shared" si="66"/>
        <v>0</v>
      </c>
      <c r="Y100" s="47">
        <f t="shared" si="66"/>
        <v>0</v>
      </c>
      <c r="Z100" s="96"/>
      <c r="AA100" s="47">
        <f t="shared" si="66"/>
        <v>0</v>
      </c>
      <c r="AB100" s="47">
        <f t="shared" si="66"/>
        <v>0</v>
      </c>
      <c r="AC100" s="47">
        <f t="shared" si="66"/>
        <v>0</v>
      </c>
      <c r="AD100" s="47">
        <f t="shared" si="66"/>
        <v>0</v>
      </c>
      <c r="AE100" s="47">
        <f t="shared" si="66"/>
        <v>0</v>
      </c>
      <c r="AF100" s="47">
        <f>AF101</f>
        <v>0</v>
      </c>
      <c r="AG100" s="47">
        <f t="shared" si="66"/>
        <v>0</v>
      </c>
      <c r="AH100" s="47">
        <f t="shared" si="66"/>
        <v>0</v>
      </c>
      <c r="AI100" s="47">
        <f t="shared" si="66"/>
        <v>0</v>
      </c>
      <c r="AJ100" s="47">
        <f t="shared" si="66"/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397"/>
      <c r="AQ100" s="96"/>
    </row>
    <row r="101" spans="1:43" s="266" customFormat="1" ht="17.25" hidden="1" customHeight="1" x14ac:dyDescent="0.25">
      <c r="A101" s="362"/>
      <c r="B101" s="252" t="s">
        <v>224</v>
      </c>
      <c r="C101" s="363"/>
      <c r="D101" s="363"/>
      <c r="E101" s="363"/>
      <c r="F101" s="363"/>
      <c r="G101" s="363"/>
      <c r="H101" s="364"/>
      <c r="I101" s="539"/>
      <c r="J101" s="258"/>
      <c r="K101" s="96"/>
      <c r="L101" s="96"/>
      <c r="M101" s="96"/>
      <c r="N101" s="96"/>
      <c r="O101" s="96"/>
      <c r="P101" s="47"/>
      <c r="Q101" s="96">
        <f>Y101</f>
        <v>0</v>
      </c>
      <c r="R101" s="96"/>
      <c r="S101" s="96"/>
      <c r="T101" s="96"/>
      <c r="U101" s="96"/>
      <c r="V101" s="96"/>
      <c r="W101" s="96"/>
      <c r="X101" s="96">
        <v>0</v>
      </c>
      <c r="Y101" s="96">
        <v>0</v>
      </c>
      <c r="Z101" s="96"/>
      <c r="AA101" s="96">
        <v>0</v>
      </c>
      <c r="AB101" s="96">
        <v>0</v>
      </c>
      <c r="AC101" s="96"/>
      <c r="AD101" s="96"/>
      <c r="AE101" s="96"/>
      <c r="AF101" s="96">
        <f>SUM(AG101:AG101)</f>
        <v>0</v>
      </c>
      <c r="AG101" s="96"/>
      <c r="AH101" s="96"/>
      <c r="AI101" s="96"/>
      <c r="AJ101" s="96"/>
      <c r="AK101" s="96"/>
      <c r="AL101" s="96"/>
      <c r="AM101" s="96"/>
      <c r="AN101" s="96"/>
      <c r="AO101" s="96"/>
      <c r="AP101" s="405"/>
      <c r="AQ101" s="96"/>
    </row>
    <row r="102" spans="1:43" s="327" customFormat="1" ht="41.25" customHeight="1" x14ac:dyDescent="0.25">
      <c r="A102" s="1372" t="s">
        <v>160</v>
      </c>
      <c r="B102" s="772" t="s">
        <v>163</v>
      </c>
      <c r="C102" s="312"/>
      <c r="D102" s="312"/>
      <c r="E102" s="312"/>
      <c r="F102" s="312"/>
      <c r="G102" s="312"/>
      <c r="H102" s="999"/>
      <c r="I102" s="1326" t="s">
        <v>20</v>
      </c>
      <c r="J102" s="1008"/>
      <c r="K102" s="3"/>
      <c r="L102" s="3">
        <f>L103+L107</f>
        <v>5513.9</v>
      </c>
      <c r="M102" s="3">
        <f t="shared" ref="M102:AO102" si="67">M103+M107</f>
        <v>297.18</v>
      </c>
      <c r="N102" s="3">
        <f t="shared" si="67"/>
        <v>1639.84</v>
      </c>
      <c r="O102" s="3">
        <f t="shared" si="67"/>
        <v>0</v>
      </c>
      <c r="P102" s="3">
        <f t="shared" si="67"/>
        <v>0</v>
      </c>
      <c r="Q102" s="3">
        <f t="shared" si="67"/>
        <v>0</v>
      </c>
      <c r="R102" s="3">
        <f t="shared" si="67"/>
        <v>0</v>
      </c>
      <c r="S102" s="3">
        <f t="shared" si="67"/>
        <v>0</v>
      </c>
      <c r="T102" s="3">
        <f t="shared" si="67"/>
        <v>0</v>
      </c>
      <c r="U102" s="3">
        <f t="shared" si="67"/>
        <v>0</v>
      </c>
      <c r="V102" s="3">
        <f t="shared" si="67"/>
        <v>0</v>
      </c>
      <c r="W102" s="3">
        <f t="shared" si="67"/>
        <v>0</v>
      </c>
      <c r="X102" s="3">
        <f t="shared" si="67"/>
        <v>0</v>
      </c>
      <c r="Y102" s="3">
        <f t="shared" si="67"/>
        <v>0</v>
      </c>
      <c r="Z102" s="95">
        <v>0</v>
      </c>
      <c r="AA102" s="3">
        <f t="shared" si="67"/>
        <v>0</v>
      </c>
      <c r="AB102" s="3">
        <f t="shared" si="67"/>
        <v>0</v>
      </c>
      <c r="AC102" s="3">
        <f t="shared" si="67"/>
        <v>0</v>
      </c>
      <c r="AD102" s="3">
        <f t="shared" si="67"/>
        <v>0</v>
      </c>
      <c r="AE102" s="3">
        <f t="shared" si="67"/>
        <v>0</v>
      </c>
      <c r="AF102" s="3">
        <f t="shared" si="67"/>
        <v>0</v>
      </c>
      <c r="AG102" s="3">
        <f t="shared" si="67"/>
        <v>0</v>
      </c>
      <c r="AH102" s="3">
        <f>AH103+AH107</f>
        <v>0</v>
      </c>
      <c r="AI102" s="3">
        <f>AI103+AI107</f>
        <v>0</v>
      </c>
      <c r="AJ102" s="3">
        <f>AJ103+AJ107</f>
        <v>0</v>
      </c>
      <c r="AK102" s="3">
        <f>P102-Q102</f>
        <v>0</v>
      </c>
      <c r="AL102" s="3">
        <f t="shared" si="67"/>
        <v>0</v>
      </c>
      <c r="AM102" s="318">
        <v>0</v>
      </c>
      <c r="AN102" s="3">
        <f t="shared" si="67"/>
        <v>0</v>
      </c>
      <c r="AO102" s="3">
        <f t="shared" si="67"/>
        <v>0</v>
      </c>
      <c r="AP102" s="633" t="s">
        <v>256</v>
      </c>
      <c r="AQ102" s="95">
        <v>0</v>
      </c>
    </row>
    <row r="103" spans="1:43" ht="17.25" hidden="1" customHeight="1" x14ac:dyDescent="0.25">
      <c r="A103" s="1382"/>
      <c r="B103" s="42" t="s">
        <v>15</v>
      </c>
      <c r="C103" s="313"/>
      <c r="D103" s="313"/>
      <c r="E103" s="313"/>
      <c r="F103" s="313"/>
      <c r="G103" s="313"/>
      <c r="H103" s="1045"/>
      <c r="I103" s="1638"/>
      <c r="J103" s="1031"/>
      <c r="K103" s="47"/>
      <c r="L103" s="47">
        <v>594.36</v>
      </c>
      <c r="M103" s="47">
        <v>297.18</v>
      </c>
      <c r="N103" s="47">
        <v>0</v>
      </c>
      <c r="O103" s="47">
        <v>0</v>
      </c>
      <c r="P103" s="47">
        <f>N103</f>
        <v>0</v>
      </c>
      <c r="Q103" s="47">
        <f>SUM(Q104:Q106)</f>
        <v>0</v>
      </c>
      <c r="R103" s="47">
        <f t="shared" ref="R103:AJ103" si="68">SUM(R104:R106)</f>
        <v>0</v>
      </c>
      <c r="S103" s="47">
        <f>SUM(S104:S106)</f>
        <v>0</v>
      </c>
      <c r="T103" s="47">
        <f t="shared" si="68"/>
        <v>0</v>
      </c>
      <c r="U103" s="47">
        <f t="shared" si="68"/>
        <v>0</v>
      </c>
      <c r="V103" s="47">
        <f t="shared" si="68"/>
        <v>0</v>
      </c>
      <c r="W103" s="47">
        <f t="shared" si="68"/>
        <v>0</v>
      </c>
      <c r="X103" s="47">
        <v>0</v>
      </c>
      <c r="Y103" s="47">
        <f t="shared" si="68"/>
        <v>0</v>
      </c>
      <c r="Z103" s="96"/>
      <c r="AA103" s="47">
        <f t="shared" si="68"/>
        <v>0</v>
      </c>
      <c r="AB103" s="47">
        <f t="shared" si="68"/>
        <v>0</v>
      </c>
      <c r="AC103" s="47">
        <f t="shared" si="68"/>
        <v>0</v>
      </c>
      <c r="AD103" s="47">
        <f t="shared" si="68"/>
        <v>0</v>
      </c>
      <c r="AE103" s="47">
        <f t="shared" si="68"/>
        <v>0</v>
      </c>
      <c r="AF103" s="47">
        <f>SUM(AF104:AF106)</f>
        <v>0</v>
      </c>
      <c r="AG103" s="47">
        <f t="shared" si="68"/>
        <v>0</v>
      </c>
      <c r="AH103" s="47">
        <f t="shared" si="68"/>
        <v>0</v>
      </c>
      <c r="AI103" s="47">
        <f t="shared" si="68"/>
        <v>0</v>
      </c>
      <c r="AJ103" s="47">
        <f t="shared" si="68"/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397">
        <v>159.434</v>
      </c>
      <c r="AQ103" s="96"/>
    </row>
    <row r="104" spans="1:43" s="266" customFormat="1" ht="17.25" hidden="1" customHeight="1" x14ac:dyDescent="0.25">
      <c r="A104" s="1382"/>
      <c r="B104" s="252" t="s">
        <v>225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s="266" customFormat="1" ht="17.25" hidden="1" customHeight="1" x14ac:dyDescent="0.25">
      <c r="A105" s="1382"/>
      <c r="B105" s="252" t="s">
        <v>226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S105</f>
        <v>0</v>
      </c>
      <c r="R105" s="96">
        <f>S105</f>
        <v>0</v>
      </c>
      <c r="S105" s="96">
        <v>0</v>
      </c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f>AB105</f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227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Y106</f>
        <v>0</v>
      </c>
      <c r="R106" s="96"/>
      <c r="S106" s="96"/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ht="16.5" hidden="1" customHeight="1" x14ac:dyDescent="0.25">
      <c r="A107" s="1383"/>
      <c r="B107" s="42" t="s">
        <v>32</v>
      </c>
      <c r="C107" s="313"/>
      <c r="D107" s="313"/>
      <c r="E107" s="313"/>
      <c r="F107" s="313"/>
      <c r="G107" s="313"/>
      <c r="H107" s="1045"/>
      <c r="I107" s="1639"/>
      <c r="J107" s="1031"/>
      <c r="K107" s="47"/>
      <c r="L107" s="47">
        <v>4919.54</v>
      </c>
      <c r="M107" s="47">
        <v>0</v>
      </c>
      <c r="N107" s="47">
        <v>1639.84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96"/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>
        <v>1639.8466699999999</v>
      </c>
      <c r="AQ107" s="96"/>
    </row>
    <row r="108" spans="1:43" s="327" customFormat="1" ht="40.5" customHeight="1" x14ac:dyDescent="0.25">
      <c r="A108" s="1372" t="s">
        <v>162</v>
      </c>
      <c r="B108" s="772" t="s">
        <v>166</v>
      </c>
      <c r="C108" s="312"/>
      <c r="D108" s="312"/>
      <c r="E108" s="312"/>
      <c r="F108" s="312"/>
      <c r="G108" s="312"/>
      <c r="H108" s="999"/>
      <c r="I108" s="1326" t="s">
        <v>20</v>
      </c>
      <c r="J108" s="1008"/>
      <c r="K108" s="3"/>
      <c r="L108" s="3">
        <f>L109+L112</f>
        <v>94875.549999999988</v>
      </c>
      <c r="M108" s="3">
        <f t="shared" ref="M108:AO108" si="69">M109+M112</f>
        <v>2761.44</v>
      </c>
      <c r="N108" s="3">
        <f t="shared" si="69"/>
        <v>9629.67</v>
      </c>
      <c r="O108" s="3">
        <f t="shared" si="69"/>
        <v>22469.279999999999</v>
      </c>
      <c r="P108" s="3">
        <f>P109+P111</f>
        <v>18622.57</v>
      </c>
      <c r="Q108" s="3">
        <f t="shared" si="69"/>
        <v>0</v>
      </c>
      <c r="R108" s="3">
        <f t="shared" si="69"/>
        <v>646.03</v>
      </c>
      <c r="S108" s="3">
        <f t="shared" si="69"/>
        <v>646.02599999999995</v>
      </c>
      <c r="T108" s="3">
        <f t="shared" si="69"/>
        <v>872.63599999999997</v>
      </c>
      <c r="U108" s="3">
        <f t="shared" si="69"/>
        <v>872.63599999999997</v>
      </c>
      <c r="V108" s="3">
        <f t="shared" si="69"/>
        <v>0</v>
      </c>
      <c r="W108" s="3">
        <f t="shared" si="69"/>
        <v>0</v>
      </c>
      <c r="X108" s="3">
        <f t="shared" si="69"/>
        <v>0</v>
      </c>
      <c r="Y108" s="3">
        <f t="shared" si="69"/>
        <v>0</v>
      </c>
      <c r="Z108" s="95">
        <v>0</v>
      </c>
      <c r="AA108" s="3">
        <f t="shared" si="69"/>
        <v>0</v>
      </c>
      <c r="AB108" s="3">
        <f t="shared" si="69"/>
        <v>0</v>
      </c>
      <c r="AC108" s="3">
        <f t="shared" si="69"/>
        <v>0</v>
      </c>
      <c r="AD108" s="3">
        <f t="shared" si="69"/>
        <v>0</v>
      </c>
      <c r="AE108" s="3">
        <f t="shared" si="69"/>
        <v>0</v>
      </c>
      <c r="AF108" s="3">
        <f t="shared" si="69"/>
        <v>0</v>
      </c>
      <c r="AG108" s="3">
        <f t="shared" si="69"/>
        <v>0</v>
      </c>
      <c r="AH108" s="3">
        <f t="shared" si="69"/>
        <v>0</v>
      </c>
      <c r="AI108" s="3">
        <f t="shared" si="69"/>
        <v>0</v>
      </c>
      <c r="AJ108" s="3">
        <f t="shared" si="69"/>
        <v>0</v>
      </c>
      <c r="AK108" s="3">
        <f>P108-Q108</f>
        <v>18622.57</v>
      </c>
      <c r="AL108" s="3">
        <f t="shared" si="69"/>
        <v>0</v>
      </c>
      <c r="AM108" s="318">
        <f>ROUND((Q108*100%/P108*100),2)</f>
        <v>0</v>
      </c>
      <c r="AN108" s="3">
        <f t="shared" si="69"/>
        <v>0</v>
      </c>
      <c r="AO108" s="3">
        <f t="shared" si="69"/>
        <v>0</v>
      </c>
      <c r="AP108" s="633" t="s">
        <v>256</v>
      </c>
      <c r="AQ108" s="95">
        <v>0</v>
      </c>
    </row>
    <row r="109" spans="1:43" ht="16.5" customHeight="1" x14ac:dyDescent="0.25">
      <c r="A109" s="1382"/>
      <c r="B109" s="42" t="s">
        <v>15</v>
      </c>
      <c r="C109" s="313"/>
      <c r="D109" s="313"/>
      <c r="E109" s="313"/>
      <c r="F109" s="313"/>
      <c r="G109" s="313"/>
      <c r="H109" s="1045"/>
      <c r="I109" s="1638"/>
      <c r="J109" s="1031"/>
      <c r="K109" s="47"/>
      <c r="L109" s="47">
        <v>5734.87</v>
      </c>
      <c r="M109" s="47">
        <v>2761.44</v>
      </c>
      <c r="N109" s="47">
        <v>105.99</v>
      </c>
      <c r="O109" s="47">
        <v>0</v>
      </c>
      <c r="P109" s="47">
        <v>0</v>
      </c>
      <c r="Q109" s="47">
        <v>0</v>
      </c>
      <c r="R109" s="47">
        <v>646.03</v>
      </c>
      <c r="S109" s="47">
        <f t="shared" ref="S109:AJ109" si="70">SUM(S110:S111)</f>
        <v>646.02599999999995</v>
      </c>
      <c r="T109" s="47">
        <f t="shared" si="70"/>
        <v>872.63599999999997</v>
      </c>
      <c r="U109" s="47">
        <f t="shared" si="70"/>
        <v>872.63599999999997</v>
      </c>
      <c r="V109" s="47">
        <f t="shared" si="70"/>
        <v>0</v>
      </c>
      <c r="W109" s="47">
        <f t="shared" si="70"/>
        <v>0</v>
      </c>
      <c r="X109" s="47">
        <v>0</v>
      </c>
      <c r="Y109" s="47">
        <f t="shared" si="70"/>
        <v>0</v>
      </c>
      <c r="Z109" s="96"/>
      <c r="AA109" s="47">
        <f t="shared" si="70"/>
        <v>0</v>
      </c>
      <c r="AB109" s="47">
        <f t="shared" si="70"/>
        <v>0</v>
      </c>
      <c r="AC109" s="47">
        <f t="shared" si="70"/>
        <v>0</v>
      </c>
      <c r="AD109" s="47">
        <f t="shared" si="70"/>
        <v>0</v>
      </c>
      <c r="AE109" s="47">
        <f t="shared" si="70"/>
        <v>0</v>
      </c>
      <c r="AF109" s="47">
        <f t="shared" si="70"/>
        <v>0</v>
      </c>
      <c r="AG109" s="47">
        <f t="shared" si="70"/>
        <v>0</v>
      </c>
      <c r="AH109" s="47">
        <f t="shared" si="70"/>
        <v>0</v>
      </c>
      <c r="AI109" s="47">
        <f t="shared" si="70"/>
        <v>0</v>
      </c>
      <c r="AJ109" s="47">
        <f t="shared" si="70"/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397"/>
      <c r="AQ109" s="96"/>
    </row>
    <row r="110" spans="1:43" s="266" customFormat="1" ht="16.5" hidden="1" customHeight="1" x14ac:dyDescent="0.25">
      <c r="A110" s="1382"/>
      <c r="B110" s="252" t="s">
        <v>268</v>
      </c>
      <c r="C110" s="363"/>
      <c r="D110" s="363"/>
      <c r="E110" s="363"/>
      <c r="F110" s="363"/>
      <c r="G110" s="363"/>
      <c r="H110" s="364"/>
      <c r="I110" s="1638"/>
      <c r="J110" s="258"/>
      <c r="K110" s="96"/>
      <c r="L110" s="47">
        <f>SUM(M110:O110)</f>
        <v>0</v>
      </c>
      <c r="M110" s="96"/>
      <c r="N110" s="96"/>
      <c r="O110" s="96"/>
      <c r="P110" s="47"/>
      <c r="Q110" s="96">
        <f>S110+U110</f>
        <v>1518.6619999999998</v>
      </c>
      <c r="R110" s="96">
        <v>0</v>
      </c>
      <c r="S110" s="96">
        <v>646.02599999999995</v>
      </c>
      <c r="T110" s="96">
        <f>U110</f>
        <v>872.63599999999997</v>
      </c>
      <c r="U110" s="96">
        <v>872.63599999999997</v>
      </c>
      <c r="V110" s="96"/>
      <c r="W110" s="96"/>
      <c r="X110" s="96">
        <v>0</v>
      </c>
      <c r="Y110" s="96">
        <v>0</v>
      </c>
      <c r="Z110" s="96"/>
      <c r="AA110" s="96">
        <v>0</v>
      </c>
      <c r="AB110" s="96">
        <v>0</v>
      </c>
      <c r="AC110" s="96"/>
      <c r="AD110" s="96"/>
      <c r="AE110" s="96">
        <v>0</v>
      </c>
      <c r="AF110" s="96">
        <f>SUM(AG110:AG110)</f>
        <v>0</v>
      </c>
      <c r="AG110" s="96"/>
      <c r="AH110" s="96"/>
      <c r="AI110" s="96"/>
      <c r="AJ110" s="96"/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405"/>
      <c r="AQ110" s="96"/>
    </row>
    <row r="111" spans="1:43" ht="16.5" customHeight="1" x14ac:dyDescent="0.25">
      <c r="A111" s="1382"/>
      <c r="B111" s="42" t="s">
        <v>32</v>
      </c>
      <c r="C111" s="313"/>
      <c r="D111" s="313"/>
      <c r="E111" s="313"/>
      <c r="F111" s="313"/>
      <c r="G111" s="313"/>
      <c r="H111" s="1045"/>
      <c r="I111" s="1638"/>
      <c r="J111" s="1031"/>
      <c r="K111" s="47"/>
      <c r="L111" s="47">
        <f>SUM(M111:O111)</f>
        <v>0</v>
      </c>
      <c r="M111" s="47"/>
      <c r="N111" s="47"/>
      <c r="O111" s="47"/>
      <c r="P111" s="47">
        <v>18622.57</v>
      </c>
      <c r="Q111" s="47">
        <v>0</v>
      </c>
      <c r="R111" s="47"/>
      <c r="S111" s="47"/>
      <c r="T111" s="47">
        <f>U111</f>
        <v>0</v>
      </c>
      <c r="U111" s="47">
        <v>0</v>
      </c>
      <c r="V111" s="47"/>
      <c r="W111" s="47"/>
      <c r="X111" s="47"/>
      <c r="Y111" s="47"/>
      <c r="Z111" s="47"/>
      <c r="AA111" s="47">
        <f>SUM(AB111:AD111)</f>
        <v>0</v>
      </c>
      <c r="AB111" s="47"/>
      <c r="AC111" s="47">
        <v>0</v>
      </c>
      <c r="AD111" s="47">
        <v>0</v>
      </c>
      <c r="AE111" s="47"/>
      <c r="AF111" s="47">
        <f>SUM(AG111:AG111)</f>
        <v>0</v>
      </c>
      <c r="AG111" s="47"/>
      <c r="AH111" s="47"/>
      <c r="AI111" s="47"/>
      <c r="AJ111" s="47"/>
      <c r="AK111" s="47"/>
      <c r="AL111" s="47"/>
      <c r="AM111" s="47"/>
      <c r="AN111" s="47"/>
      <c r="AO111" s="47"/>
      <c r="AP111" s="397"/>
      <c r="AQ111" s="47"/>
    </row>
    <row r="112" spans="1:43" ht="0.75" customHeight="1" x14ac:dyDescent="0.25">
      <c r="A112" s="1383"/>
      <c r="B112" s="42" t="s">
        <v>32</v>
      </c>
      <c r="C112" s="313"/>
      <c r="D112" s="313"/>
      <c r="E112" s="313"/>
      <c r="F112" s="313"/>
      <c r="G112" s="313"/>
      <c r="H112" s="1045"/>
      <c r="I112" s="1639"/>
      <c r="J112" s="1031"/>
      <c r="K112" s="47"/>
      <c r="L112" s="47">
        <v>89140.68</v>
      </c>
      <c r="M112" s="47">
        <v>0</v>
      </c>
      <c r="N112" s="47">
        <v>9523.68</v>
      </c>
      <c r="O112" s="47">
        <v>22469.279999999999</v>
      </c>
      <c r="P112" s="47">
        <v>2605.9899999999998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96"/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327" customFormat="1" ht="52.5" customHeight="1" x14ac:dyDescent="0.25">
      <c r="A113" s="1372" t="s">
        <v>165</v>
      </c>
      <c r="B113" s="780" t="s">
        <v>280</v>
      </c>
      <c r="C113" s="312"/>
      <c r="D113" s="312"/>
      <c r="E113" s="312"/>
      <c r="F113" s="312"/>
      <c r="G113" s="312"/>
      <c r="H113" s="999"/>
      <c r="I113" s="1326" t="s">
        <v>20</v>
      </c>
      <c r="J113" s="1008"/>
      <c r="K113" s="3"/>
      <c r="L113" s="3">
        <f>L114</f>
        <v>10177.64</v>
      </c>
      <c r="M113" s="3">
        <f>M114</f>
        <v>0</v>
      </c>
      <c r="N113" s="3">
        <f t="shared" ref="N113:AO117" si="71">N114</f>
        <v>0</v>
      </c>
      <c r="O113" s="3">
        <f t="shared" si="71"/>
        <v>0</v>
      </c>
      <c r="P113" s="3">
        <v>7317.14</v>
      </c>
      <c r="Q113" s="3">
        <v>0</v>
      </c>
      <c r="R113" s="3">
        <f t="shared" si="71"/>
        <v>40.5</v>
      </c>
      <c r="S113" s="3">
        <f t="shared" si="71"/>
        <v>40.5</v>
      </c>
      <c r="T113" s="3">
        <f t="shared" si="71"/>
        <v>0</v>
      </c>
      <c r="U113" s="3">
        <f t="shared" si="71"/>
        <v>0</v>
      </c>
      <c r="V113" s="3">
        <f t="shared" si="71"/>
        <v>0</v>
      </c>
      <c r="W113" s="3">
        <f t="shared" si="71"/>
        <v>0</v>
      </c>
      <c r="X113" s="3">
        <f t="shared" si="71"/>
        <v>0</v>
      </c>
      <c r="Y113" s="3">
        <f t="shared" si="71"/>
        <v>0</v>
      </c>
      <c r="Z113" s="95">
        <v>0</v>
      </c>
      <c r="AA113" s="3">
        <v>0</v>
      </c>
      <c r="AB113" s="3">
        <f t="shared" si="71"/>
        <v>40.5</v>
      </c>
      <c r="AC113" s="3">
        <f t="shared" si="71"/>
        <v>0</v>
      </c>
      <c r="AD113" s="3">
        <f t="shared" si="71"/>
        <v>0</v>
      </c>
      <c r="AE113" s="3">
        <f t="shared" si="71"/>
        <v>0</v>
      </c>
      <c r="AF113" s="3">
        <f t="shared" si="71"/>
        <v>0</v>
      </c>
      <c r="AG113" s="3">
        <f t="shared" si="71"/>
        <v>0</v>
      </c>
      <c r="AH113" s="3">
        <f t="shared" si="71"/>
        <v>0</v>
      </c>
      <c r="AI113" s="3">
        <f t="shared" si="71"/>
        <v>0</v>
      </c>
      <c r="AJ113" s="3">
        <f t="shared" si="71"/>
        <v>0</v>
      </c>
      <c r="AK113" s="3">
        <f>P113-Q113</f>
        <v>7317.14</v>
      </c>
      <c r="AL113" s="3">
        <f t="shared" si="71"/>
        <v>0</v>
      </c>
      <c r="AM113" s="3">
        <f t="shared" si="71"/>
        <v>0</v>
      </c>
      <c r="AN113" s="3">
        <f t="shared" si="71"/>
        <v>0</v>
      </c>
      <c r="AO113" s="3">
        <f t="shared" si="71"/>
        <v>0</v>
      </c>
      <c r="AP113" s="633"/>
      <c r="AQ113" s="95">
        <v>0</v>
      </c>
    </row>
    <row r="114" spans="1:45" ht="17.25" hidden="1" customHeight="1" x14ac:dyDescent="0.25">
      <c r="A114" s="1639"/>
      <c r="B114" s="42" t="s">
        <v>203</v>
      </c>
      <c r="C114" s="313"/>
      <c r="D114" s="313"/>
      <c r="E114" s="313"/>
      <c r="F114" s="313"/>
      <c r="G114" s="313"/>
      <c r="H114" s="1045"/>
      <c r="I114" s="1639"/>
      <c r="J114" s="1031"/>
      <c r="K114" s="47"/>
      <c r="L114" s="47">
        <v>10177.64</v>
      </c>
      <c r="M114" s="47">
        <v>0</v>
      </c>
      <c r="N114" s="47">
        <v>0</v>
      </c>
      <c r="O114" s="47">
        <v>0</v>
      </c>
      <c r="P114" s="47">
        <v>2591.96</v>
      </c>
      <c r="Q114" s="47">
        <f>Q115</f>
        <v>40.5</v>
      </c>
      <c r="R114" s="47">
        <f t="shared" si="71"/>
        <v>40.5</v>
      </c>
      <c r="S114" s="47">
        <f t="shared" si="71"/>
        <v>40.5</v>
      </c>
      <c r="T114" s="47">
        <f t="shared" si="71"/>
        <v>0</v>
      </c>
      <c r="U114" s="47">
        <f t="shared" si="71"/>
        <v>0</v>
      </c>
      <c r="V114" s="47">
        <f t="shared" si="71"/>
        <v>0</v>
      </c>
      <c r="W114" s="47">
        <f t="shared" si="71"/>
        <v>0</v>
      </c>
      <c r="X114" s="47">
        <f t="shared" si="71"/>
        <v>0</v>
      </c>
      <c r="Y114" s="47">
        <f t="shared" si="71"/>
        <v>0</v>
      </c>
      <c r="Z114" s="96"/>
      <c r="AA114" s="47">
        <f t="shared" si="71"/>
        <v>40.5</v>
      </c>
      <c r="AB114" s="47">
        <f t="shared" si="71"/>
        <v>40.5</v>
      </c>
      <c r="AC114" s="47">
        <f t="shared" si="71"/>
        <v>0</v>
      </c>
      <c r="AD114" s="47">
        <f t="shared" si="71"/>
        <v>0</v>
      </c>
      <c r="AE114" s="47">
        <f t="shared" si="71"/>
        <v>0</v>
      </c>
      <c r="AF114" s="47">
        <f t="shared" si="71"/>
        <v>0</v>
      </c>
      <c r="AG114" s="47">
        <f t="shared" si="71"/>
        <v>0</v>
      </c>
      <c r="AH114" s="47">
        <f t="shared" si="71"/>
        <v>0</v>
      </c>
      <c r="AI114" s="47">
        <f t="shared" si="71"/>
        <v>0</v>
      </c>
      <c r="AJ114" s="47">
        <f t="shared" si="71"/>
        <v>0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397"/>
      <c r="AQ114" s="96"/>
    </row>
    <row r="115" spans="1:45" s="266" customFormat="1" ht="17.25" hidden="1" customHeight="1" x14ac:dyDescent="0.25">
      <c r="A115" s="539"/>
      <c r="B115" s="252" t="s">
        <v>298</v>
      </c>
      <c r="C115" s="363"/>
      <c r="D115" s="363"/>
      <c r="E115" s="363"/>
      <c r="F115" s="363"/>
      <c r="G115" s="363"/>
      <c r="H115" s="364"/>
      <c r="I115" s="539"/>
      <c r="J115" s="258"/>
      <c r="K115" s="96"/>
      <c r="L115" s="96"/>
      <c r="M115" s="96"/>
      <c r="N115" s="96"/>
      <c r="O115" s="96"/>
      <c r="P115" s="96"/>
      <c r="Q115" s="96">
        <f>S115</f>
        <v>40.5</v>
      </c>
      <c r="R115" s="96">
        <f>S115</f>
        <v>40.5</v>
      </c>
      <c r="S115" s="96">
        <v>40.5</v>
      </c>
      <c r="T115" s="96"/>
      <c r="U115" s="96"/>
      <c r="V115" s="96"/>
      <c r="W115" s="96"/>
      <c r="X115" s="96"/>
      <c r="Y115" s="96"/>
      <c r="Z115" s="96"/>
      <c r="AA115" s="96">
        <f>AB115</f>
        <v>40.5</v>
      </c>
      <c r="AB115" s="96">
        <v>40.5</v>
      </c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268"/>
      <c r="AN115" s="96"/>
      <c r="AO115" s="96"/>
      <c r="AP115" s="405"/>
      <c r="AQ115" s="96"/>
    </row>
    <row r="116" spans="1:45" s="327" customFormat="1" ht="27.75" customHeight="1" x14ac:dyDescent="0.25">
      <c r="A116" s="1372" t="s">
        <v>281</v>
      </c>
      <c r="B116" s="772" t="s">
        <v>284</v>
      </c>
      <c r="C116" s="312"/>
      <c r="D116" s="312"/>
      <c r="E116" s="312"/>
      <c r="F116" s="312"/>
      <c r="G116" s="312"/>
      <c r="H116" s="999"/>
      <c r="I116" s="1326" t="s">
        <v>20</v>
      </c>
      <c r="J116" s="1008"/>
      <c r="K116" s="3"/>
      <c r="L116" s="3">
        <f>SUM(L117:L119)</f>
        <v>12294.88</v>
      </c>
      <c r="M116" s="3">
        <f>SUM(M117:M119)</f>
        <v>0</v>
      </c>
      <c r="N116" s="3">
        <f>SUM(N117:N119)</f>
        <v>0</v>
      </c>
      <c r="O116" s="3">
        <f>SUM(O117:O119)</f>
        <v>0</v>
      </c>
      <c r="P116" s="3">
        <f>SUM(P117:P119)</f>
        <v>11314.88</v>
      </c>
      <c r="Q116" s="3">
        <f t="shared" si="71"/>
        <v>0</v>
      </c>
      <c r="R116" s="3">
        <f t="shared" si="71"/>
        <v>686</v>
      </c>
      <c r="S116" s="3">
        <f t="shared" si="71"/>
        <v>686</v>
      </c>
      <c r="T116" s="3">
        <f t="shared" si="71"/>
        <v>294</v>
      </c>
      <c r="U116" s="3">
        <f t="shared" si="71"/>
        <v>294</v>
      </c>
      <c r="V116" s="3">
        <f t="shared" si="71"/>
        <v>0</v>
      </c>
      <c r="W116" s="3">
        <f t="shared" si="71"/>
        <v>0</v>
      </c>
      <c r="X116" s="3">
        <f t="shared" si="71"/>
        <v>0</v>
      </c>
      <c r="Y116" s="3">
        <f t="shared" si="71"/>
        <v>0</v>
      </c>
      <c r="Z116" s="95">
        <v>0</v>
      </c>
      <c r="AA116" s="3">
        <f t="shared" si="71"/>
        <v>0</v>
      </c>
      <c r="AB116" s="3">
        <f t="shared" si="71"/>
        <v>0</v>
      </c>
      <c r="AC116" s="3">
        <f t="shared" si="71"/>
        <v>0</v>
      </c>
      <c r="AD116" s="3">
        <f t="shared" si="71"/>
        <v>0</v>
      </c>
      <c r="AE116" s="3">
        <f t="shared" si="71"/>
        <v>0</v>
      </c>
      <c r="AF116" s="3">
        <f t="shared" si="71"/>
        <v>0</v>
      </c>
      <c r="AG116" s="3">
        <f t="shared" si="71"/>
        <v>0</v>
      </c>
      <c r="AH116" s="3">
        <f t="shared" si="71"/>
        <v>0</v>
      </c>
      <c r="AI116" s="3">
        <f t="shared" si="71"/>
        <v>0</v>
      </c>
      <c r="AJ116" s="3">
        <f t="shared" si="71"/>
        <v>0</v>
      </c>
      <c r="AK116" s="3">
        <f>P116-Q116</f>
        <v>11314.88</v>
      </c>
      <c r="AL116" s="3">
        <f>AL119</f>
        <v>0</v>
      </c>
      <c r="AM116" s="318">
        <v>0</v>
      </c>
      <c r="AN116" s="3">
        <f>AN119</f>
        <v>0</v>
      </c>
      <c r="AO116" s="3">
        <f>AO119</f>
        <v>0</v>
      </c>
      <c r="AP116" s="633" t="s">
        <v>256</v>
      </c>
      <c r="AQ116" s="95">
        <v>0</v>
      </c>
    </row>
    <row r="117" spans="1:45" ht="20.25" customHeight="1" x14ac:dyDescent="0.25">
      <c r="A117" s="1382"/>
      <c r="B117" s="42" t="s">
        <v>285</v>
      </c>
      <c r="C117" s="313"/>
      <c r="D117" s="313"/>
      <c r="E117" s="313"/>
      <c r="F117" s="313"/>
      <c r="G117" s="313"/>
      <c r="H117" s="1045"/>
      <c r="I117" s="1327"/>
      <c r="J117" s="1031"/>
      <c r="K117" s="47"/>
      <c r="L117" s="47">
        <v>980</v>
      </c>
      <c r="M117" s="47"/>
      <c r="N117" s="47">
        <v>0</v>
      </c>
      <c r="O117" s="47"/>
      <c r="P117" s="47">
        <v>0</v>
      </c>
      <c r="Q117" s="47">
        <v>0</v>
      </c>
      <c r="R117" s="47">
        <f t="shared" si="71"/>
        <v>686</v>
      </c>
      <c r="S117" s="47">
        <f t="shared" si="71"/>
        <v>686</v>
      </c>
      <c r="T117" s="47">
        <f t="shared" si="71"/>
        <v>294</v>
      </c>
      <c r="U117" s="47">
        <f t="shared" si="71"/>
        <v>294</v>
      </c>
      <c r="V117" s="47">
        <f t="shared" si="71"/>
        <v>0</v>
      </c>
      <c r="W117" s="47">
        <f t="shared" si="71"/>
        <v>0</v>
      </c>
      <c r="X117" s="47">
        <f t="shared" si="71"/>
        <v>0</v>
      </c>
      <c r="Y117" s="47">
        <f t="shared" si="71"/>
        <v>0</v>
      </c>
      <c r="Z117" s="96"/>
      <c r="AA117" s="47">
        <f t="shared" si="71"/>
        <v>0</v>
      </c>
      <c r="AB117" s="47">
        <f t="shared" si="71"/>
        <v>0</v>
      </c>
      <c r="AC117" s="47">
        <f t="shared" si="71"/>
        <v>0</v>
      </c>
      <c r="AD117" s="47">
        <f t="shared" si="71"/>
        <v>0</v>
      </c>
      <c r="AE117" s="47">
        <f t="shared" si="71"/>
        <v>0</v>
      </c>
      <c r="AF117" s="47">
        <f t="shared" si="71"/>
        <v>0</v>
      </c>
      <c r="AG117" s="47">
        <f t="shared" si="71"/>
        <v>0</v>
      </c>
      <c r="AH117" s="47">
        <f t="shared" si="71"/>
        <v>0</v>
      </c>
      <c r="AI117" s="47">
        <f t="shared" si="71"/>
        <v>0</v>
      </c>
      <c r="AJ117" s="47">
        <f t="shared" si="71"/>
        <v>0</v>
      </c>
      <c r="AK117" s="47">
        <v>0</v>
      </c>
      <c r="AL117" s="47"/>
      <c r="AM117" s="47"/>
      <c r="AN117" s="47"/>
      <c r="AO117" s="47"/>
      <c r="AP117" s="397"/>
      <c r="AQ117" s="96"/>
    </row>
    <row r="118" spans="1:45" s="266" customFormat="1" ht="20.25" hidden="1" customHeight="1" x14ac:dyDescent="0.25">
      <c r="A118" s="1382"/>
      <c r="B118" s="252" t="s">
        <v>299</v>
      </c>
      <c r="C118" s="363"/>
      <c r="D118" s="363"/>
      <c r="E118" s="363"/>
      <c r="F118" s="363"/>
      <c r="G118" s="363"/>
      <c r="H118" s="364"/>
      <c r="I118" s="1327"/>
      <c r="J118" s="258"/>
      <c r="K118" s="96"/>
      <c r="L118" s="96"/>
      <c r="M118" s="96"/>
      <c r="N118" s="96"/>
      <c r="O118" s="96"/>
      <c r="P118" s="96"/>
      <c r="Q118" s="96">
        <f>S118+U118</f>
        <v>980</v>
      </c>
      <c r="R118" s="96">
        <f>S118</f>
        <v>686</v>
      </c>
      <c r="S118" s="96">
        <v>686</v>
      </c>
      <c r="T118" s="96">
        <v>294</v>
      </c>
      <c r="U118" s="96">
        <v>294</v>
      </c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405"/>
      <c r="AQ118" s="96"/>
    </row>
    <row r="119" spans="1:45" ht="17.25" customHeight="1" x14ac:dyDescent="0.25">
      <c r="A119" s="1639"/>
      <c r="B119" s="42" t="s">
        <v>287</v>
      </c>
      <c r="C119" s="313"/>
      <c r="D119" s="313"/>
      <c r="E119" s="313"/>
      <c r="F119" s="313"/>
      <c r="G119" s="313"/>
      <c r="H119" s="1045"/>
      <c r="I119" s="1639"/>
      <c r="J119" s="1031"/>
      <c r="K119" s="47"/>
      <c r="L119" s="47">
        <v>11314.88</v>
      </c>
      <c r="M119" s="47">
        <v>0</v>
      </c>
      <c r="N119" s="47">
        <v>0</v>
      </c>
      <c r="O119" s="47">
        <v>0</v>
      </c>
      <c r="P119" s="47">
        <v>11314.88</v>
      </c>
      <c r="Q119" s="47">
        <v>0</v>
      </c>
      <c r="R119" s="47">
        <v>0</v>
      </c>
      <c r="S119" s="47">
        <v>0</v>
      </c>
      <c r="T119" s="47">
        <f t="shared" ref="T119:Y119" si="72">T129</f>
        <v>980</v>
      </c>
      <c r="U119" s="47">
        <v>0</v>
      </c>
      <c r="V119" s="47">
        <f t="shared" si="72"/>
        <v>0</v>
      </c>
      <c r="W119" s="47">
        <f t="shared" si="72"/>
        <v>0</v>
      </c>
      <c r="X119" s="47">
        <f t="shared" si="72"/>
        <v>0</v>
      </c>
      <c r="Y119" s="47">
        <f t="shared" si="72"/>
        <v>0</v>
      </c>
      <c r="Z119" s="96"/>
      <c r="AA119" s="47">
        <v>0</v>
      </c>
      <c r="AB119" s="47">
        <v>0</v>
      </c>
      <c r="AC119" s="47">
        <f t="shared" ref="AC119:AJ119" si="73">AC129</f>
        <v>0</v>
      </c>
      <c r="AD119" s="47">
        <f t="shared" si="73"/>
        <v>0</v>
      </c>
      <c r="AE119" s="47">
        <f t="shared" si="73"/>
        <v>0</v>
      </c>
      <c r="AF119" s="47">
        <f t="shared" si="73"/>
        <v>0</v>
      </c>
      <c r="AG119" s="47">
        <f t="shared" si="73"/>
        <v>0</v>
      </c>
      <c r="AH119" s="47">
        <f t="shared" si="73"/>
        <v>0</v>
      </c>
      <c r="AI119" s="47">
        <f t="shared" si="73"/>
        <v>0</v>
      </c>
      <c r="AJ119" s="47">
        <f t="shared" si="73"/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397"/>
      <c r="AQ119" s="96"/>
    </row>
    <row r="120" spans="1:45" s="327" customFormat="1" ht="24.75" customHeight="1" x14ac:dyDescent="0.25">
      <c r="A120" s="1372" t="s">
        <v>282</v>
      </c>
      <c r="B120" s="772" t="s">
        <v>286</v>
      </c>
      <c r="C120" s="312"/>
      <c r="D120" s="312"/>
      <c r="E120" s="312"/>
      <c r="F120" s="312"/>
      <c r="G120" s="312"/>
      <c r="H120" s="999"/>
      <c r="I120" s="1326" t="s">
        <v>20</v>
      </c>
      <c r="J120" s="1008"/>
      <c r="K120" s="3"/>
      <c r="L120" s="3">
        <f>SUM(L121:L124)</f>
        <v>2085.84</v>
      </c>
      <c r="M120" s="3">
        <f>SUM(M121:M124)</f>
        <v>0</v>
      </c>
      <c r="N120" s="3">
        <f>SUM(N121:N124)</f>
        <v>0</v>
      </c>
      <c r="O120" s="3">
        <f>SUM(O121:O124)</f>
        <v>0</v>
      </c>
      <c r="P120" s="3">
        <f>SUM(P121:P124)</f>
        <v>86.18</v>
      </c>
      <c r="Q120" s="3">
        <f>Q121+Q124</f>
        <v>0</v>
      </c>
      <c r="R120" s="3">
        <f t="shared" ref="R120:AD120" si="74">R121+R124</f>
        <v>0</v>
      </c>
      <c r="S120" s="3">
        <f t="shared" si="74"/>
        <v>0</v>
      </c>
      <c r="T120" s="3">
        <f t="shared" si="74"/>
        <v>1066.18</v>
      </c>
      <c r="U120" s="3">
        <f t="shared" si="74"/>
        <v>86.18</v>
      </c>
      <c r="V120" s="3">
        <f t="shared" si="74"/>
        <v>1597.7769999999998</v>
      </c>
      <c r="W120" s="3">
        <f t="shared" si="74"/>
        <v>1597.7769999999998</v>
      </c>
      <c r="X120" s="3">
        <f t="shared" si="74"/>
        <v>0</v>
      </c>
      <c r="Y120" s="3">
        <f t="shared" si="74"/>
        <v>0</v>
      </c>
      <c r="Z120" s="95">
        <v>0</v>
      </c>
      <c r="AA120" s="3">
        <v>0</v>
      </c>
      <c r="AB120" s="3">
        <f t="shared" si="74"/>
        <v>0</v>
      </c>
      <c r="AC120" s="3">
        <f t="shared" si="74"/>
        <v>0</v>
      </c>
      <c r="AD120" s="3">
        <f t="shared" si="74"/>
        <v>1550</v>
      </c>
      <c r="AE120" s="3">
        <f t="shared" ref="AE120:AJ120" si="75">AE124</f>
        <v>0</v>
      </c>
      <c r="AF120" s="3">
        <f t="shared" si="75"/>
        <v>0</v>
      </c>
      <c r="AG120" s="3">
        <f t="shared" si="75"/>
        <v>0</v>
      </c>
      <c r="AH120" s="3">
        <f t="shared" si="75"/>
        <v>0</v>
      </c>
      <c r="AI120" s="3">
        <f t="shared" si="75"/>
        <v>0</v>
      </c>
      <c r="AJ120" s="3">
        <f t="shared" si="75"/>
        <v>0</v>
      </c>
      <c r="AK120" s="3">
        <f>P120-Q120</f>
        <v>86.18</v>
      </c>
      <c r="AL120" s="3">
        <f>AL124</f>
        <v>0</v>
      </c>
      <c r="AM120" s="3">
        <f>AM124</f>
        <v>0</v>
      </c>
      <c r="AN120" s="3">
        <f>AN124</f>
        <v>0</v>
      </c>
      <c r="AO120" s="3">
        <f>AO124</f>
        <v>0</v>
      </c>
      <c r="AP120" s="633" t="s">
        <v>244</v>
      </c>
      <c r="AQ120" s="95">
        <v>0</v>
      </c>
      <c r="AS120" s="3"/>
    </row>
    <row r="121" spans="1:45" ht="20.25" customHeight="1" x14ac:dyDescent="0.25">
      <c r="A121" s="1382"/>
      <c r="B121" s="42" t="s">
        <v>285</v>
      </c>
      <c r="C121" s="313"/>
      <c r="D121" s="313"/>
      <c r="E121" s="313"/>
      <c r="F121" s="313"/>
      <c r="G121" s="313"/>
      <c r="H121" s="1045"/>
      <c r="I121" s="1327"/>
      <c r="J121" s="1031"/>
      <c r="K121" s="47"/>
      <c r="L121" s="47">
        <v>2085.84</v>
      </c>
      <c r="M121" s="47"/>
      <c r="N121" s="47">
        <v>0</v>
      </c>
      <c r="O121" s="47"/>
      <c r="P121" s="47">
        <v>86.18</v>
      </c>
      <c r="Q121" s="47">
        <v>0</v>
      </c>
      <c r="R121" s="47">
        <f t="shared" ref="R121:AD121" si="76">R123+R122</f>
        <v>0</v>
      </c>
      <c r="S121" s="47">
        <f t="shared" si="76"/>
        <v>0</v>
      </c>
      <c r="T121" s="47">
        <f t="shared" si="76"/>
        <v>86.18</v>
      </c>
      <c r="U121" s="47">
        <f t="shared" si="76"/>
        <v>86.18</v>
      </c>
      <c r="V121" s="47">
        <f t="shared" si="76"/>
        <v>1597.7769999999998</v>
      </c>
      <c r="W121" s="47">
        <f t="shared" si="76"/>
        <v>1597.7769999999998</v>
      </c>
      <c r="X121" s="47">
        <f t="shared" si="76"/>
        <v>0</v>
      </c>
      <c r="Y121" s="47">
        <f t="shared" si="76"/>
        <v>0</v>
      </c>
      <c r="Z121" s="96"/>
      <c r="AA121" s="47">
        <v>0</v>
      </c>
      <c r="AB121" s="47">
        <f t="shared" si="76"/>
        <v>0</v>
      </c>
      <c r="AC121" s="47">
        <f t="shared" si="76"/>
        <v>0</v>
      </c>
      <c r="AD121" s="47">
        <f t="shared" si="76"/>
        <v>1550</v>
      </c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397"/>
      <c r="AQ121" s="96"/>
    </row>
    <row r="122" spans="1:45" s="266" customFormat="1" ht="38.25" hidden="1" customHeight="1" x14ac:dyDescent="0.25">
      <c r="A122" s="1382"/>
      <c r="B122" s="252" t="s">
        <v>321</v>
      </c>
      <c r="C122" s="363"/>
      <c r="D122" s="363"/>
      <c r="E122" s="363"/>
      <c r="F122" s="363"/>
      <c r="G122" s="363"/>
      <c r="H122" s="364"/>
      <c r="I122" s="1327"/>
      <c r="J122" s="258"/>
      <c r="K122" s="96"/>
      <c r="L122" s="96"/>
      <c r="M122" s="96"/>
      <c r="N122" s="96"/>
      <c r="O122" s="96"/>
      <c r="P122" s="96"/>
      <c r="Q122" s="96">
        <f>W122</f>
        <v>1511.6</v>
      </c>
      <c r="R122" s="96"/>
      <c r="S122" s="96"/>
      <c r="T122" s="96"/>
      <c r="U122" s="96"/>
      <c r="V122" s="96">
        <f>W122</f>
        <v>1511.6</v>
      </c>
      <c r="W122" s="96">
        <v>1511.6</v>
      </c>
      <c r="X122" s="96"/>
      <c r="Y122" s="96"/>
      <c r="Z122" s="96"/>
      <c r="AA122" s="96">
        <f>AD122</f>
        <v>1550</v>
      </c>
      <c r="AB122" s="96"/>
      <c r="AC122" s="96"/>
      <c r="AD122" s="96">
        <v>1550</v>
      </c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405"/>
      <c r="AQ122" s="96"/>
    </row>
    <row r="123" spans="1:45" s="266" customFormat="1" ht="27" hidden="1" customHeight="1" x14ac:dyDescent="0.25">
      <c r="A123" s="1382"/>
      <c r="B123" s="252" t="s">
        <v>313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S123+U123</f>
        <v>86.18</v>
      </c>
      <c r="R123" s="96"/>
      <c r="S123" s="96"/>
      <c r="T123" s="96">
        <f>U123</f>
        <v>86.18</v>
      </c>
      <c r="U123" s="96">
        <f>ROUND((103.412/1.2),2)</f>
        <v>86.18</v>
      </c>
      <c r="V123" s="96">
        <f>W123</f>
        <v>86.177000000000007</v>
      </c>
      <c r="W123" s="96">
        <v>86.177000000000007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ht="17.25" customHeight="1" x14ac:dyDescent="0.25">
      <c r="A124" s="1639"/>
      <c r="B124" s="42" t="s">
        <v>287</v>
      </c>
      <c r="C124" s="313"/>
      <c r="D124" s="313"/>
      <c r="E124" s="313"/>
      <c r="F124" s="313"/>
      <c r="G124" s="313"/>
      <c r="H124" s="1045"/>
      <c r="I124" s="1639"/>
      <c r="J124" s="1031"/>
      <c r="K124" s="47"/>
      <c r="L124" s="47">
        <v>0</v>
      </c>
      <c r="M124" s="47">
        <v>0</v>
      </c>
      <c r="N124" s="47">
        <v>0</v>
      </c>
      <c r="O124" s="47">
        <v>0</v>
      </c>
      <c r="P124" s="47">
        <f>N124</f>
        <v>0</v>
      </c>
      <c r="Q124" s="47">
        <v>0</v>
      </c>
      <c r="R124" s="47">
        <v>0</v>
      </c>
      <c r="S124" s="47">
        <v>0</v>
      </c>
      <c r="T124" s="47">
        <f t="shared" ref="T124:Y124" si="77">T138</f>
        <v>980</v>
      </c>
      <c r="U124" s="47">
        <v>0</v>
      </c>
      <c r="V124" s="47">
        <f t="shared" si="77"/>
        <v>0</v>
      </c>
      <c r="W124" s="47">
        <f t="shared" si="77"/>
        <v>0</v>
      </c>
      <c r="X124" s="47">
        <f t="shared" si="77"/>
        <v>0</v>
      </c>
      <c r="Y124" s="47">
        <f t="shared" si="77"/>
        <v>0</v>
      </c>
      <c r="Z124" s="96"/>
      <c r="AA124" s="47">
        <v>0</v>
      </c>
      <c r="AB124" s="47">
        <v>0</v>
      </c>
      <c r="AC124" s="47">
        <f t="shared" ref="AC124:AJ124" si="78">AC138</f>
        <v>0</v>
      </c>
      <c r="AD124" s="47">
        <f t="shared" si="78"/>
        <v>0</v>
      </c>
      <c r="AE124" s="47">
        <f t="shared" si="78"/>
        <v>0</v>
      </c>
      <c r="AF124" s="47">
        <f t="shared" si="78"/>
        <v>0</v>
      </c>
      <c r="AG124" s="47">
        <f t="shared" si="78"/>
        <v>0</v>
      </c>
      <c r="AH124" s="47">
        <f t="shared" si="78"/>
        <v>0</v>
      </c>
      <c r="AI124" s="47">
        <f t="shared" si="78"/>
        <v>0</v>
      </c>
      <c r="AJ124" s="47">
        <f t="shared" si="78"/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327" customFormat="1" ht="31.5" customHeight="1" x14ac:dyDescent="0.25">
      <c r="A125" s="1372" t="s">
        <v>283</v>
      </c>
      <c r="B125" s="772" t="s">
        <v>288</v>
      </c>
      <c r="C125" s="312"/>
      <c r="D125" s="312"/>
      <c r="E125" s="312"/>
      <c r="F125" s="312"/>
      <c r="G125" s="312"/>
      <c r="H125" s="999"/>
      <c r="I125" s="1326" t="s">
        <v>20</v>
      </c>
      <c r="J125" s="1008"/>
      <c r="K125" s="3"/>
      <c r="L125" s="3">
        <f t="shared" ref="L125:AJ126" si="79">L126</f>
        <v>28990</v>
      </c>
      <c r="M125" s="3">
        <f t="shared" si="79"/>
        <v>0</v>
      </c>
      <c r="N125" s="3">
        <f t="shared" si="79"/>
        <v>10150</v>
      </c>
      <c r="O125" s="3">
        <f t="shared" si="79"/>
        <v>0</v>
      </c>
      <c r="P125" s="3">
        <v>0</v>
      </c>
      <c r="Q125" s="3">
        <v>0</v>
      </c>
      <c r="R125" s="3">
        <f t="shared" si="79"/>
        <v>10000</v>
      </c>
      <c r="S125" s="3">
        <f t="shared" si="79"/>
        <v>10000</v>
      </c>
      <c r="T125" s="3">
        <f t="shared" si="79"/>
        <v>14158.333000000001</v>
      </c>
      <c r="U125" s="3">
        <f t="shared" si="79"/>
        <v>14158.333000000001</v>
      </c>
      <c r="V125" s="3">
        <f t="shared" si="79"/>
        <v>0</v>
      </c>
      <c r="W125" s="3">
        <f t="shared" si="79"/>
        <v>0</v>
      </c>
      <c r="X125" s="3">
        <f t="shared" si="79"/>
        <v>0</v>
      </c>
      <c r="Y125" s="3">
        <f t="shared" si="79"/>
        <v>0</v>
      </c>
      <c r="Z125" s="95">
        <v>0</v>
      </c>
      <c r="AA125" s="3">
        <f t="shared" si="79"/>
        <v>0</v>
      </c>
      <c r="AB125" s="3">
        <f t="shared" si="79"/>
        <v>0</v>
      </c>
      <c r="AC125" s="3">
        <f t="shared" si="79"/>
        <v>0</v>
      </c>
      <c r="AD125" s="3">
        <f t="shared" si="79"/>
        <v>0</v>
      </c>
      <c r="AE125" s="3">
        <f t="shared" si="79"/>
        <v>0</v>
      </c>
      <c r="AF125" s="3">
        <f t="shared" si="79"/>
        <v>0</v>
      </c>
      <c r="AG125" s="3">
        <f t="shared" si="79"/>
        <v>0</v>
      </c>
      <c r="AH125" s="3">
        <f t="shared" si="79"/>
        <v>0</v>
      </c>
      <c r="AI125" s="3">
        <f t="shared" si="79"/>
        <v>0</v>
      </c>
      <c r="AJ125" s="3">
        <f t="shared" si="79"/>
        <v>0</v>
      </c>
      <c r="AK125" s="3">
        <f>P125-Q125</f>
        <v>0</v>
      </c>
      <c r="AL125" s="3">
        <f>AL126</f>
        <v>0</v>
      </c>
      <c r="AM125" s="318" t="e">
        <f>ROUND((Q125*100%/P125*100),2)</f>
        <v>#DIV/0!</v>
      </c>
      <c r="AN125" s="3">
        <f>AN126</f>
        <v>0</v>
      </c>
      <c r="AO125" s="3">
        <f>AO126</f>
        <v>0</v>
      </c>
      <c r="AP125" s="633" t="s">
        <v>295</v>
      </c>
      <c r="AQ125" s="95">
        <v>0</v>
      </c>
    </row>
    <row r="126" spans="1:45" ht="17.25" hidden="1" customHeight="1" x14ac:dyDescent="0.25">
      <c r="A126" s="1639"/>
      <c r="B126" s="42" t="s">
        <v>201</v>
      </c>
      <c r="C126" s="313"/>
      <c r="D126" s="313"/>
      <c r="E126" s="313"/>
      <c r="F126" s="313"/>
      <c r="G126" s="313"/>
      <c r="H126" s="1045"/>
      <c r="I126" s="1639"/>
      <c r="J126" s="1031"/>
      <c r="K126" s="47"/>
      <c r="L126" s="47">
        <v>28990</v>
      </c>
      <c r="M126" s="47">
        <v>0</v>
      </c>
      <c r="N126" s="47">
        <v>10150</v>
      </c>
      <c r="O126" s="47">
        <v>0</v>
      </c>
      <c r="P126" s="47">
        <v>18840</v>
      </c>
      <c r="Q126" s="47">
        <f>Q127</f>
        <v>24158.332999999999</v>
      </c>
      <c r="R126" s="47">
        <f t="shared" si="79"/>
        <v>10000</v>
      </c>
      <c r="S126" s="47">
        <f t="shared" si="79"/>
        <v>10000</v>
      </c>
      <c r="T126" s="47">
        <f t="shared" si="79"/>
        <v>14158.333000000001</v>
      </c>
      <c r="U126" s="47">
        <f t="shared" si="79"/>
        <v>14158.333000000001</v>
      </c>
      <c r="V126" s="47">
        <f t="shared" si="79"/>
        <v>0</v>
      </c>
      <c r="W126" s="47">
        <f t="shared" si="79"/>
        <v>0</v>
      </c>
      <c r="X126" s="47">
        <f t="shared" si="79"/>
        <v>0</v>
      </c>
      <c r="Y126" s="47">
        <f t="shared" si="79"/>
        <v>0</v>
      </c>
      <c r="Z126" s="96"/>
      <c r="AA126" s="47">
        <f t="shared" si="79"/>
        <v>0</v>
      </c>
      <c r="AB126" s="47">
        <f t="shared" si="79"/>
        <v>0</v>
      </c>
      <c r="AC126" s="47">
        <f t="shared" si="79"/>
        <v>0</v>
      </c>
      <c r="AD126" s="47">
        <f t="shared" si="79"/>
        <v>0</v>
      </c>
      <c r="AE126" s="47">
        <f>AE127</f>
        <v>0</v>
      </c>
      <c r="AF126" s="47">
        <f>AF141+AJ126</f>
        <v>0</v>
      </c>
      <c r="AG126" s="47">
        <f>AG141</f>
        <v>0</v>
      </c>
      <c r="AH126" s="47">
        <f>AH141</f>
        <v>0</v>
      </c>
      <c r="AI126" s="47">
        <f>AI141</f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s="266" customFormat="1" ht="24.75" hidden="1" customHeight="1" x14ac:dyDescent="0.25">
      <c r="A127" s="539"/>
      <c r="B127" s="252" t="s">
        <v>290</v>
      </c>
      <c r="C127" s="363"/>
      <c r="D127" s="363"/>
      <c r="E127" s="363"/>
      <c r="F127" s="363"/>
      <c r="G127" s="363"/>
      <c r="H127" s="364"/>
      <c r="I127" s="614"/>
      <c r="J127" s="258"/>
      <c r="K127" s="96"/>
      <c r="L127" s="96"/>
      <c r="M127" s="96"/>
      <c r="N127" s="96"/>
      <c r="O127" s="96"/>
      <c r="P127" s="96"/>
      <c r="Q127" s="96">
        <f>S127+U127</f>
        <v>24158.332999999999</v>
      </c>
      <c r="R127" s="96">
        <f>S127</f>
        <v>10000</v>
      </c>
      <c r="S127" s="96">
        <v>10000</v>
      </c>
      <c r="T127" s="96">
        <f>U127</f>
        <v>14158.333000000001</v>
      </c>
      <c r="U127" s="96">
        <v>14158.333000000001</v>
      </c>
      <c r="V127" s="96"/>
      <c r="W127" s="96"/>
      <c r="X127" s="96"/>
      <c r="Y127" s="96"/>
      <c r="Z127" s="96"/>
      <c r="AA127" s="96">
        <f>SUM(AB127:AE127)</f>
        <v>0</v>
      </c>
      <c r="AB127" s="96"/>
      <c r="AC127" s="96"/>
      <c r="AD127" s="96"/>
      <c r="AE127" s="96">
        <v>0</v>
      </c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405"/>
      <c r="AQ127" s="96"/>
    </row>
    <row r="128" spans="1:45" ht="54" hidden="1" customHeight="1" x14ac:dyDescent="0.25">
      <c r="A128" s="1332" t="s">
        <v>60</v>
      </c>
      <c r="B128" s="1613" t="s">
        <v>45</v>
      </c>
      <c r="C128" s="1614"/>
      <c r="D128" s="1614"/>
      <c r="E128" s="1614"/>
      <c r="F128" s="1614"/>
      <c r="G128" s="1614"/>
      <c r="H128" s="1615"/>
      <c r="I128" s="23" t="s">
        <v>19</v>
      </c>
      <c r="J128" s="47">
        <v>0</v>
      </c>
      <c r="K128" s="47">
        <f>K131</f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42.75" hidden="1" customHeight="1" x14ac:dyDescent="0.25">
      <c r="A129" s="1333"/>
      <c r="B129" s="1616"/>
      <c r="C129" s="1617"/>
      <c r="D129" s="1617"/>
      <c r="E129" s="1617"/>
      <c r="F129" s="1617"/>
      <c r="G129" s="1617"/>
      <c r="H129" s="1618"/>
      <c r="I129" s="23" t="s">
        <v>20</v>
      </c>
      <c r="J129" s="47">
        <f>J138</f>
        <v>4106.3500000000004</v>
      </c>
      <c r="K129" s="47">
        <v>0</v>
      </c>
      <c r="L129" s="47">
        <f>L138</f>
        <v>6022.96</v>
      </c>
      <c r="M129" s="47">
        <f>M138</f>
        <v>0</v>
      </c>
      <c r="N129" s="47">
        <f t="shared" ref="N129:AO129" si="80">N138</f>
        <v>980</v>
      </c>
      <c r="O129" s="47">
        <f t="shared" si="80"/>
        <v>0</v>
      </c>
      <c r="P129" s="47">
        <f t="shared" si="80"/>
        <v>420.48</v>
      </c>
      <c r="Q129" s="47">
        <f t="shared" si="80"/>
        <v>0</v>
      </c>
      <c r="R129" s="47">
        <f t="shared" si="80"/>
        <v>0</v>
      </c>
      <c r="S129" s="47">
        <f t="shared" si="80"/>
        <v>0</v>
      </c>
      <c r="T129" s="47">
        <f t="shared" si="80"/>
        <v>980</v>
      </c>
      <c r="U129" s="47">
        <f t="shared" si="80"/>
        <v>980</v>
      </c>
      <c r="V129" s="47">
        <f t="shared" si="80"/>
        <v>0</v>
      </c>
      <c r="W129" s="47">
        <f t="shared" si="80"/>
        <v>0</v>
      </c>
      <c r="X129" s="47">
        <f t="shared" si="80"/>
        <v>0</v>
      </c>
      <c r="Y129" s="47">
        <f t="shared" si="80"/>
        <v>0</v>
      </c>
      <c r="Z129" s="96"/>
      <c r="AA129" s="47">
        <f t="shared" si="80"/>
        <v>0</v>
      </c>
      <c r="AB129" s="47">
        <f t="shared" si="80"/>
        <v>0</v>
      </c>
      <c r="AC129" s="47">
        <f t="shared" si="80"/>
        <v>0</v>
      </c>
      <c r="AD129" s="47">
        <f t="shared" si="80"/>
        <v>0</v>
      </c>
      <c r="AE129" s="47">
        <f t="shared" si="80"/>
        <v>0</v>
      </c>
      <c r="AF129" s="47">
        <f t="shared" si="80"/>
        <v>0</v>
      </c>
      <c r="AG129" s="47">
        <f t="shared" si="80"/>
        <v>0</v>
      </c>
      <c r="AH129" s="47">
        <f t="shared" si="80"/>
        <v>0</v>
      </c>
      <c r="AI129" s="47">
        <f t="shared" si="80"/>
        <v>0</v>
      </c>
      <c r="AJ129" s="47">
        <f t="shared" si="80"/>
        <v>0</v>
      </c>
      <c r="AK129" s="47">
        <f t="shared" si="80"/>
        <v>420.48</v>
      </c>
      <c r="AL129" s="47">
        <f t="shared" si="80"/>
        <v>420.48</v>
      </c>
      <c r="AM129" s="47">
        <f t="shared" si="80"/>
        <v>0</v>
      </c>
      <c r="AN129" s="47">
        <f t="shared" si="80"/>
        <v>0</v>
      </c>
      <c r="AO129" s="47">
        <f t="shared" si="80"/>
        <v>0</v>
      </c>
      <c r="AP129" s="397"/>
      <c r="AQ129" s="96"/>
    </row>
    <row r="130" spans="1:43" ht="25.5" hidden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10</v>
      </c>
      <c r="J130" s="47">
        <v>0</v>
      </c>
      <c r="K130" s="47">
        <v>0</v>
      </c>
      <c r="L130" s="47">
        <f>M130+N130+O130</f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96"/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397"/>
      <c r="AQ130" s="96"/>
    </row>
    <row r="131" spans="1:43" ht="129" hidden="1" customHeight="1" x14ac:dyDescent="0.25">
      <c r="A131" s="1334"/>
      <c r="B131" s="1619"/>
      <c r="C131" s="1620"/>
      <c r="D131" s="1620"/>
      <c r="E131" s="1620"/>
      <c r="F131" s="1620"/>
      <c r="G131" s="1620"/>
      <c r="H131" s="1621"/>
      <c r="I131" s="23" t="s">
        <v>9</v>
      </c>
      <c r="J131" s="47">
        <v>0</v>
      </c>
      <c r="K131" s="47"/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s="327" customFormat="1" ht="31.5" customHeight="1" x14ac:dyDescent="0.25">
      <c r="A132" s="789"/>
      <c r="B132" s="772" t="s">
        <v>405</v>
      </c>
      <c r="C132" s="312"/>
      <c r="D132" s="312"/>
      <c r="E132" s="312"/>
      <c r="F132" s="312"/>
      <c r="G132" s="312"/>
      <c r="H132" s="999"/>
      <c r="I132" s="1042"/>
      <c r="J132" s="1008"/>
      <c r="K132" s="3"/>
      <c r="L132" s="3"/>
      <c r="M132" s="3"/>
      <c r="N132" s="3"/>
      <c r="O132" s="3"/>
      <c r="P132" s="3">
        <f>SUM(P133:P134)</f>
        <v>2820.43</v>
      </c>
      <c r="Q132" s="3">
        <f t="shared" ref="Q132:AA132" si="81">SUM(Q133:Q134)</f>
        <v>0</v>
      </c>
      <c r="R132" s="3">
        <f t="shared" si="81"/>
        <v>0</v>
      </c>
      <c r="S132" s="3">
        <f t="shared" si="81"/>
        <v>0</v>
      </c>
      <c r="T132" s="3">
        <f t="shared" si="81"/>
        <v>0</v>
      </c>
      <c r="U132" s="3">
        <f t="shared" si="81"/>
        <v>0</v>
      </c>
      <c r="V132" s="3">
        <f t="shared" si="81"/>
        <v>0</v>
      </c>
      <c r="W132" s="3">
        <f t="shared" si="81"/>
        <v>0</v>
      </c>
      <c r="X132" s="3">
        <f t="shared" si="81"/>
        <v>0</v>
      </c>
      <c r="Y132" s="3">
        <f t="shared" si="81"/>
        <v>0</v>
      </c>
      <c r="Z132" s="3">
        <f t="shared" si="81"/>
        <v>0</v>
      </c>
      <c r="AA132" s="3">
        <f t="shared" si="81"/>
        <v>0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18"/>
      <c r="AN132" s="3"/>
      <c r="AO132" s="3"/>
      <c r="AP132" s="633"/>
      <c r="AQ132" s="95"/>
    </row>
    <row r="133" spans="1:43" ht="15.75" x14ac:dyDescent="0.25">
      <c r="A133" s="997"/>
      <c r="B133" s="42" t="s">
        <v>285</v>
      </c>
      <c r="C133" s="1027"/>
      <c r="D133" s="1027"/>
      <c r="E133" s="1027"/>
      <c r="F133" s="1027"/>
      <c r="G133" s="1027"/>
      <c r="H133" s="1028"/>
      <c r="I133" s="1011"/>
      <c r="J133" s="4"/>
      <c r="K133" s="47"/>
      <c r="L133" s="47"/>
      <c r="M133" s="47"/>
      <c r="N133" s="47"/>
      <c r="O133" s="47"/>
      <c r="P133" s="47">
        <v>508</v>
      </c>
      <c r="Q133" s="47">
        <v>0</v>
      </c>
      <c r="R133" s="47"/>
      <c r="S133" s="47"/>
      <c r="T133" s="47"/>
      <c r="U133" s="47"/>
      <c r="V133" s="47"/>
      <c r="W133" s="47"/>
      <c r="X133" s="47"/>
      <c r="Y133" s="47"/>
      <c r="Z133" s="96"/>
      <c r="AA133" s="47">
        <v>0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"/>
      <c r="AN133" s="47"/>
      <c r="AO133" s="47"/>
      <c r="AP133" s="397"/>
      <c r="AQ133" s="96"/>
    </row>
    <row r="134" spans="1:43" ht="17.25" customHeight="1" x14ac:dyDescent="0.25">
      <c r="A134" s="997"/>
      <c r="B134" s="42" t="s">
        <v>213</v>
      </c>
      <c r="C134" s="313"/>
      <c r="D134" s="313"/>
      <c r="E134" s="313"/>
      <c r="F134" s="313"/>
      <c r="G134" s="313"/>
      <c r="H134" s="1045"/>
      <c r="I134" s="1011"/>
      <c r="J134" s="1031"/>
      <c r="K134" s="47"/>
      <c r="L134" s="47"/>
      <c r="M134" s="47"/>
      <c r="N134" s="47"/>
      <c r="O134" s="47"/>
      <c r="P134" s="47">
        <v>2312.4299999999998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397"/>
      <c r="AQ134" s="96"/>
    </row>
    <row r="135" spans="1:43" s="327" customFormat="1" ht="31.5" customHeight="1" x14ac:dyDescent="0.25">
      <c r="A135" s="789"/>
      <c r="B135" s="772" t="s">
        <v>406</v>
      </c>
      <c r="C135" s="312"/>
      <c r="D135" s="312"/>
      <c r="E135" s="312"/>
      <c r="F135" s="312"/>
      <c r="G135" s="312"/>
      <c r="H135" s="999"/>
      <c r="I135" s="1042"/>
      <c r="J135" s="1008"/>
      <c r="K135" s="3"/>
      <c r="L135" s="3"/>
      <c r="M135" s="3"/>
      <c r="N135" s="3"/>
      <c r="O135" s="3"/>
      <c r="P135" s="3">
        <f>SUM(P136:P137)</f>
        <v>3423.47</v>
      </c>
      <c r="Q135" s="3">
        <f t="shared" ref="Q135:AA135" si="82">SUM(Q136:Q137)</f>
        <v>0</v>
      </c>
      <c r="R135" s="3">
        <f t="shared" si="82"/>
        <v>0</v>
      </c>
      <c r="S135" s="3">
        <f t="shared" si="82"/>
        <v>0</v>
      </c>
      <c r="T135" s="3">
        <f t="shared" si="82"/>
        <v>0</v>
      </c>
      <c r="U135" s="3">
        <f t="shared" si="82"/>
        <v>0</v>
      </c>
      <c r="V135" s="3">
        <f t="shared" si="82"/>
        <v>0</v>
      </c>
      <c r="W135" s="3">
        <f t="shared" si="82"/>
        <v>0</v>
      </c>
      <c r="X135" s="3">
        <f t="shared" si="82"/>
        <v>0</v>
      </c>
      <c r="Y135" s="3">
        <f t="shared" si="82"/>
        <v>0</v>
      </c>
      <c r="Z135" s="3">
        <f t="shared" si="82"/>
        <v>0</v>
      </c>
      <c r="AA135" s="3">
        <f t="shared" si="82"/>
        <v>0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18"/>
      <c r="AN135" s="3"/>
      <c r="AO135" s="3"/>
      <c r="AP135" s="633"/>
      <c r="AQ135" s="95"/>
    </row>
    <row r="136" spans="1:43" ht="15.75" x14ac:dyDescent="0.25">
      <c r="A136" s="997"/>
      <c r="B136" s="42" t="s">
        <v>285</v>
      </c>
      <c r="C136" s="1027"/>
      <c r="D136" s="1027"/>
      <c r="E136" s="1027"/>
      <c r="F136" s="1027"/>
      <c r="G136" s="1027"/>
      <c r="H136" s="1028"/>
      <c r="I136" s="1011"/>
      <c r="J136" s="4"/>
      <c r="K136" s="47"/>
      <c r="L136" s="47"/>
      <c r="M136" s="47"/>
      <c r="N136" s="47"/>
      <c r="O136" s="47"/>
      <c r="P136" s="47">
        <v>489</v>
      </c>
      <c r="Q136" s="47">
        <v>0</v>
      </c>
      <c r="R136" s="47"/>
      <c r="S136" s="47"/>
      <c r="T136" s="47"/>
      <c r="U136" s="47"/>
      <c r="V136" s="47"/>
      <c r="W136" s="47"/>
      <c r="X136" s="47"/>
      <c r="Y136" s="47"/>
      <c r="Z136" s="96"/>
      <c r="AA136" s="47">
        <v>0</v>
      </c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"/>
      <c r="AN136" s="47"/>
      <c r="AO136" s="47"/>
      <c r="AP136" s="397"/>
      <c r="AQ136" s="96"/>
    </row>
    <row r="137" spans="1:43" ht="17.25" customHeight="1" x14ac:dyDescent="0.25">
      <c r="A137" s="997"/>
      <c r="B137" s="42" t="s">
        <v>213</v>
      </c>
      <c r="C137" s="313"/>
      <c r="D137" s="313"/>
      <c r="E137" s="313"/>
      <c r="F137" s="313"/>
      <c r="G137" s="313"/>
      <c r="H137" s="1045"/>
      <c r="I137" s="1011"/>
      <c r="J137" s="1031"/>
      <c r="K137" s="47"/>
      <c r="L137" s="47"/>
      <c r="M137" s="47"/>
      <c r="N137" s="47"/>
      <c r="O137" s="47"/>
      <c r="P137" s="47">
        <v>2934.47</v>
      </c>
      <c r="Q137" s="47">
        <v>0</v>
      </c>
      <c r="R137" s="47"/>
      <c r="S137" s="47"/>
      <c r="T137" s="47"/>
      <c r="U137" s="47"/>
      <c r="V137" s="47"/>
      <c r="W137" s="47"/>
      <c r="X137" s="47"/>
      <c r="Y137" s="47"/>
      <c r="Z137" s="96"/>
      <c r="AA137" s="47">
        <v>0</v>
      </c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397"/>
      <c r="AQ137" s="96"/>
    </row>
    <row r="138" spans="1:43" s="327" customFormat="1" ht="30" customHeight="1" x14ac:dyDescent="0.25">
      <c r="A138" s="1372" t="s">
        <v>61</v>
      </c>
      <c r="B138" s="609" t="s">
        <v>88</v>
      </c>
      <c r="C138" s="790"/>
      <c r="D138" s="790"/>
      <c r="E138" s="790"/>
      <c r="F138" s="790"/>
      <c r="G138" s="790"/>
      <c r="H138" s="790"/>
      <c r="I138" s="1463" t="s">
        <v>20</v>
      </c>
      <c r="J138" s="1622">
        <v>4106.3500000000004</v>
      </c>
      <c r="K138" s="3">
        <v>0</v>
      </c>
      <c r="L138" s="3">
        <f>L139+L142</f>
        <v>6022.96</v>
      </c>
      <c r="M138" s="3">
        <f>M139+M142</f>
        <v>0</v>
      </c>
      <c r="N138" s="3">
        <f>N139+N142</f>
        <v>980</v>
      </c>
      <c r="O138" s="3">
        <f>O139+O142</f>
        <v>0</v>
      </c>
      <c r="P138" s="3">
        <f>P139+P142</f>
        <v>420.48</v>
      </c>
      <c r="Q138" s="3">
        <f t="shared" ref="Q138:AO138" si="83">Q139+Q142</f>
        <v>0</v>
      </c>
      <c r="R138" s="3">
        <f t="shared" si="83"/>
        <v>0</v>
      </c>
      <c r="S138" s="3">
        <f t="shared" si="83"/>
        <v>0</v>
      </c>
      <c r="T138" s="3">
        <f t="shared" si="83"/>
        <v>980</v>
      </c>
      <c r="U138" s="3">
        <f t="shared" si="83"/>
        <v>980</v>
      </c>
      <c r="V138" s="3">
        <f t="shared" si="83"/>
        <v>0</v>
      </c>
      <c r="W138" s="3">
        <f t="shared" si="83"/>
        <v>0</v>
      </c>
      <c r="X138" s="3">
        <f t="shared" si="83"/>
        <v>0</v>
      </c>
      <c r="Y138" s="3">
        <f t="shared" si="83"/>
        <v>0</v>
      </c>
      <c r="Z138" s="95">
        <v>0</v>
      </c>
      <c r="AA138" s="3">
        <f t="shared" si="83"/>
        <v>0</v>
      </c>
      <c r="AB138" s="3">
        <f>AB139+AB142</f>
        <v>0</v>
      </c>
      <c r="AC138" s="3">
        <f>AC139+AC142</f>
        <v>0</v>
      </c>
      <c r="AD138" s="3">
        <f>AD139+AD142</f>
        <v>0</v>
      </c>
      <c r="AE138" s="3">
        <f>AE139+AE142</f>
        <v>0</v>
      </c>
      <c r="AF138" s="3">
        <f t="shared" si="83"/>
        <v>0</v>
      </c>
      <c r="AG138" s="3">
        <f t="shared" si="83"/>
        <v>0</v>
      </c>
      <c r="AH138" s="3">
        <f t="shared" si="83"/>
        <v>0</v>
      </c>
      <c r="AI138" s="3">
        <f t="shared" si="83"/>
        <v>0</v>
      </c>
      <c r="AJ138" s="3">
        <f t="shared" si="83"/>
        <v>0</v>
      </c>
      <c r="AK138" s="3">
        <f>P138-Q138</f>
        <v>420.48</v>
      </c>
      <c r="AL138" s="3">
        <f>AK138</f>
        <v>420.48</v>
      </c>
      <c r="AM138" s="318">
        <f>ROUND((Q138*100%/P138*100),2)</f>
        <v>0</v>
      </c>
      <c r="AN138" s="3">
        <f t="shared" si="83"/>
        <v>0</v>
      </c>
      <c r="AO138" s="3">
        <f t="shared" si="83"/>
        <v>0</v>
      </c>
      <c r="AP138" s="633" t="s">
        <v>256</v>
      </c>
      <c r="AQ138" s="95">
        <v>0</v>
      </c>
    </row>
    <row r="139" spans="1:43" x14ac:dyDescent="0.25">
      <c r="A139" s="1382"/>
      <c r="B139" s="23" t="s">
        <v>15</v>
      </c>
      <c r="C139" s="46"/>
      <c r="D139" s="46"/>
      <c r="E139" s="46"/>
      <c r="F139" s="46"/>
      <c r="G139" s="994">
        <v>2019</v>
      </c>
      <c r="H139" s="994">
        <v>2019</v>
      </c>
      <c r="I139" s="1464"/>
      <c r="J139" s="1623"/>
      <c r="K139" s="47"/>
      <c r="L139" s="47">
        <v>1000</v>
      </c>
      <c r="M139" s="47">
        <v>0</v>
      </c>
      <c r="N139" s="47">
        <v>980</v>
      </c>
      <c r="O139" s="47">
        <v>0</v>
      </c>
      <c r="P139" s="47">
        <v>0</v>
      </c>
      <c r="Q139" s="47">
        <v>0</v>
      </c>
      <c r="R139" s="47">
        <f t="shared" ref="R139:AA139" si="84">R140+R141</f>
        <v>0</v>
      </c>
      <c r="S139" s="47">
        <f t="shared" si="84"/>
        <v>0</v>
      </c>
      <c r="T139" s="47">
        <f t="shared" si="84"/>
        <v>980</v>
      </c>
      <c r="U139" s="47">
        <f t="shared" si="84"/>
        <v>980</v>
      </c>
      <c r="V139" s="47">
        <f t="shared" si="84"/>
        <v>0</v>
      </c>
      <c r="W139" s="47">
        <f t="shared" si="84"/>
        <v>0</v>
      </c>
      <c r="X139" s="47">
        <f t="shared" si="84"/>
        <v>0</v>
      </c>
      <c r="Y139" s="47">
        <f t="shared" si="84"/>
        <v>0</v>
      </c>
      <c r="Z139" s="96"/>
      <c r="AA139" s="47">
        <f t="shared" si="84"/>
        <v>0</v>
      </c>
      <c r="AB139" s="47">
        <f>AB140+AB141</f>
        <v>0</v>
      </c>
      <c r="AC139" s="47">
        <f>AC140+AC141</f>
        <v>0</v>
      </c>
      <c r="AD139" s="47">
        <f>AD140+AD141</f>
        <v>0</v>
      </c>
      <c r="AE139" s="47">
        <f>AE140+AE141</f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397"/>
      <c r="AQ139" s="96"/>
    </row>
    <row r="140" spans="1:43" s="266" customFormat="1" hidden="1" x14ac:dyDescent="0.25">
      <c r="A140" s="1382"/>
      <c r="B140" s="443" t="s">
        <v>251</v>
      </c>
      <c r="C140" s="444"/>
      <c r="D140" s="444"/>
      <c r="E140" s="444"/>
      <c r="F140" s="444"/>
      <c r="G140" s="262"/>
      <c r="H140" s="262"/>
      <c r="I140" s="1464"/>
      <c r="J140" s="1623"/>
      <c r="K140" s="96"/>
      <c r="L140" s="96"/>
      <c r="M140" s="96"/>
      <c r="N140" s="96"/>
      <c r="O140" s="96"/>
      <c r="P140" s="96">
        <v>0</v>
      </c>
      <c r="Q140" s="96">
        <f>S140+U140</f>
        <v>980</v>
      </c>
      <c r="R140" s="96">
        <v>0</v>
      </c>
      <c r="S140" s="96">
        <v>0</v>
      </c>
      <c r="T140" s="96">
        <f>U140</f>
        <v>980</v>
      </c>
      <c r="U140" s="96">
        <v>980</v>
      </c>
      <c r="V140" s="96"/>
      <c r="W140" s="96"/>
      <c r="X140" s="96"/>
      <c r="Y140" s="96"/>
      <c r="Z140" s="96"/>
      <c r="AA140" s="96">
        <f>AB140</f>
        <v>0</v>
      </c>
      <c r="AB140" s="96">
        <v>0</v>
      </c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405"/>
      <c r="AQ140" s="96"/>
    </row>
    <row r="141" spans="1:43" s="266" customFormat="1" hidden="1" x14ac:dyDescent="0.25">
      <c r="A141" s="1382"/>
      <c r="B141" s="443" t="s">
        <v>252</v>
      </c>
      <c r="C141" s="444"/>
      <c r="D141" s="444"/>
      <c r="E141" s="444"/>
      <c r="F141" s="444"/>
      <c r="G141" s="262"/>
      <c r="H141" s="262"/>
      <c r="I141" s="1464"/>
      <c r="J141" s="1623"/>
      <c r="K141" s="96"/>
      <c r="L141" s="96"/>
      <c r="M141" s="96"/>
      <c r="N141" s="96"/>
      <c r="O141" s="96"/>
      <c r="P141" s="96"/>
      <c r="Q141" s="96">
        <f>S141</f>
        <v>0</v>
      </c>
      <c r="R141" s="96">
        <f>S141</f>
        <v>0</v>
      </c>
      <c r="S141" s="96">
        <v>0</v>
      </c>
      <c r="T141" s="96"/>
      <c r="U141" s="96"/>
      <c r="V141" s="96"/>
      <c r="W141" s="96"/>
      <c r="X141" s="96"/>
      <c r="Y141" s="96"/>
      <c r="Z141" s="96"/>
      <c r="AA141" s="96">
        <f>AB141</f>
        <v>0</v>
      </c>
      <c r="AB141" s="96">
        <v>0</v>
      </c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405"/>
      <c r="AQ141" s="96"/>
    </row>
    <row r="142" spans="1:43" x14ac:dyDescent="0.25">
      <c r="A142" s="1383"/>
      <c r="B142" s="23" t="s">
        <v>16</v>
      </c>
      <c r="C142" s="46"/>
      <c r="D142" s="46"/>
      <c r="E142" s="46"/>
      <c r="F142" s="46"/>
      <c r="G142" s="994">
        <v>2020</v>
      </c>
      <c r="H142" s="994">
        <v>2021</v>
      </c>
      <c r="I142" s="1465"/>
      <c r="J142" s="1624"/>
      <c r="K142" s="47"/>
      <c r="L142" s="47">
        <v>5022.96</v>
      </c>
      <c r="M142" s="47">
        <v>0</v>
      </c>
      <c r="N142" s="47">
        <v>0</v>
      </c>
      <c r="O142" s="47">
        <v>0</v>
      </c>
      <c r="P142" s="47">
        <v>420.48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96">
        <v>0</v>
      </c>
      <c r="Y142" s="96">
        <v>0</v>
      </c>
      <c r="Z142" s="96"/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327" customFormat="1" ht="30" customHeight="1" x14ac:dyDescent="0.25">
      <c r="A143" s="1372" t="s">
        <v>61</v>
      </c>
      <c r="B143" s="609" t="s">
        <v>407</v>
      </c>
      <c r="C143" s="790"/>
      <c r="D143" s="790"/>
      <c r="E143" s="790"/>
      <c r="F143" s="790"/>
      <c r="G143" s="790"/>
      <c r="H143" s="790"/>
      <c r="I143" s="1463" t="s">
        <v>20</v>
      </c>
      <c r="J143" s="1622">
        <v>4106.3500000000004</v>
      </c>
      <c r="K143" s="3">
        <v>0</v>
      </c>
      <c r="L143" s="3">
        <f>L144+L147</f>
        <v>6022.96</v>
      </c>
      <c r="M143" s="3">
        <f>M144+M147</f>
        <v>0</v>
      </c>
      <c r="N143" s="3">
        <f>N144+N147</f>
        <v>980</v>
      </c>
      <c r="O143" s="3">
        <f>O144+O147</f>
        <v>0</v>
      </c>
      <c r="P143" s="3">
        <f>P144+P147</f>
        <v>1281.25</v>
      </c>
      <c r="Q143" s="3">
        <f t="shared" ref="Q143:Y143" si="85">Q144+Q147</f>
        <v>0</v>
      </c>
      <c r="R143" s="3">
        <f t="shared" si="85"/>
        <v>0</v>
      </c>
      <c r="S143" s="3">
        <f t="shared" si="85"/>
        <v>0</v>
      </c>
      <c r="T143" s="3">
        <f t="shared" si="85"/>
        <v>980</v>
      </c>
      <c r="U143" s="3">
        <f t="shared" si="85"/>
        <v>980</v>
      </c>
      <c r="V143" s="3">
        <f t="shared" si="85"/>
        <v>0</v>
      </c>
      <c r="W143" s="3">
        <f t="shared" si="85"/>
        <v>0</v>
      </c>
      <c r="X143" s="3">
        <f t="shared" si="85"/>
        <v>0</v>
      </c>
      <c r="Y143" s="3">
        <f t="shared" si="85"/>
        <v>0</v>
      </c>
      <c r="Z143" s="95">
        <v>0</v>
      </c>
      <c r="AA143" s="3">
        <f t="shared" ref="AA143" si="86">AA144+AA147</f>
        <v>0</v>
      </c>
      <c r="AB143" s="3">
        <f>AB144+AB147</f>
        <v>0</v>
      </c>
      <c r="AC143" s="3">
        <f>AC144+AC147</f>
        <v>0</v>
      </c>
      <c r="AD143" s="3">
        <f>AD144+AD147</f>
        <v>0</v>
      </c>
      <c r="AE143" s="3">
        <f>AE144+AE147</f>
        <v>0</v>
      </c>
      <c r="AF143" s="3">
        <f t="shared" ref="AF143:AJ143" si="87">AF144+AF147</f>
        <v>0</v>
      </c>
      <c r="AG143" s="3">
        <f t="shared" si="87"/>
        <v>0</v>
      </c>
      <c r="AH143" s="3">
        <f t="shared" si="87"/>
        <v>0</v>
      </c>
      <c r="AI143" s="3">
        <f t="shared" si="87"/>
        <v>0</v>
      </c>
      <c r="AJ143" s="3">
        <f t="shared" si="87"/>
        <v>0</v>
      </c>
      <c r="AK143" s="3">
        <f>P143-Q143</f>
        <v>1281.25</v>
      </c>
      <c r="AL143" s="3">
        <f>AK143</f>
        <v>1281.25</v>
      </c>
      <c r="AM143" s="318">
        <f>ROUND((Q143*100%/P143*100),2)</f>
        <v>0</v>
      </c>
      <c r="AN143" s="3">
        <f t="shared" ref="AN143:AO143" si="88">AN144+AN147</f>
        <v>0</v>
      </c>
      <c r="AO143" s="3">
        <f t="shared" si="88"/>
        <v>0</v>
      </c>
      <c r="AP143" s="633" t="s">
        <v>256</v>
      </c>
      <c r="AQ143" s="95">
        <v>0</v>
      </c>
    </row>
    <row r="144" spans="1:43" x14ac:dyDescent="0.25">
      <c r="A144" s="1382"/>
      <c r="B144" s="23" t="s">
        <v>15</v>
      </c>
      <c r="C144" s="46"/>
      <c r="D144" s="46"/>
      <c r="E144" s="46"/>
      <c r="F144" s="46"/>
      <c r="G144" s="994">
        <v>2019</v>
      </c>
      <c r="H144" s="994">
        <v>2019</v>
      </c>
      <c r="I144" s="1464"/>
      <c r="J144" s="1623"/>
      <c r="K144" s="47"/>
      <c r="L144" s="47">
        <v>1000</v>
      </c>
      <c r="M144" s="47">
        <v>0</v>
      </c>
      <c r="N144" s="47">
        <v>980</v>
      </c>
      <c r="O144" s="47">
        <v>0</v>
      </c>
      <c r="P144" s="47">
        <v>377.91</v>
      </c>
      <c r="Q144" s="47">
        <v>0</v>
      </c>
      <c r="R144" s="47">
        <f t="shared" ref="R144:Y144" si="89">R145+R146</f>
        <v>0</v>
      </c>
      <c r="S144" s="47">
        <f t="shared" si="89"/>
        <v>0</v>
      </c>
      <c r="T144" s="47">
        <f t="shared" si="89"/>
        <v>980</v>
      </c>
      <c r="U144" s="47">
        <f t="shared" si="89"/>
        <v>980</v>
      </c>
      <c r="V144" s="47">
        <f t="shared" si="89"/>
        <v>0</v>
      </c>
      <c r="W144" s="47">
        <f t="shared" si="89"/>
        <v>0</v>
      </c>
      <c r="X144" s="47">
        <f t="shared" si="89"/>
        <v>0</v>
      </c>
      <c r="Y144" s="47">
        <f t="shared" si="89"/>
        <v>0</v>
      </c>
      <c r="Z144" s="96"/>
      <c r="AA144" s="47">
        <f t="shared" ref="AA144" si="90">AA145+AA146</f>
        <v>0</v>
      </c>
      <c r="AB144" s="47">
        <f>AB145+AB146</f>
        <v>0</v>
      </c>
      <c r="AC144" s="47">
        <f>AC145+AC146</f>
        <v>0</v>
      </c>
      <c r="AD144" s="47">
        <f>AD145+AD146</f>
        <v>0</v>
      </c>
      <c r="AE144" s="47">
        <f>AE145+AE146</f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397"/>
      <c r="AQ144" s="96"/>
    </row>
    <row r="145" spans="1:43" s="266" customFormat="1" hidden="1" x14ac:dyDescent="0.25">
      <c r="A145" s="1382"/>
      <c r="B145" s="443" t="s">
        <v>251</v>
      </c>
      <c r="C145" s="444"/>
      <c r="D145" s="444"/>
      <c r="E145" s="444"/>
      <c r="F145" s="444"/>
      <c r="G145" s="262"/>
      <c r="H145" s="262"/>
      <c r="I145" s="1464"/>
      <c r="J145" s="1623"/>
      <c r="K145" s="96"/>
      <c r="L145" s="96"/>
      <c r="M145" s="96"/>
      <c r="N145" s="96"/>
      <c r="O145" s="96"/>
      <c r="P145" s="96">
        <v>0</v>
      </c>
      <c r="Q145" s="96">
        <f>S145+U145</f>
        <v>980</v>
      </c>
      <c r="R145" s="96">
        <v>0</v>
      </c>
      <c r="S145" s="96">
        <v>0</v>
      </c>
      <c r="T145" s="96">
        <f>U145</f>
        <v>980</v>
      </c>
      <c r="U145" s="96">
        <v>980</v>
      </c>
      <c r="V145" s="96"/>
      <c r="W145" s="96"/>
      <c r="X145" s="96"/>
      <c r="Y145" s="96"/>
      <c r="Z145" s="96"/>
      <c r="AA145" s="96">
        <f>AB145</f>
        <v>0</v>
      </c>
      <c r="AB145" s="96">
        <v>0</v>
      </c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405"/>
      <c r="AQ145" s="96"/>
    </row>
    <row r="146" spans="1:43" s="266" customFormat="1" hidden="1" x14ac:dyDescent="0.25">
      <c r="A146" s="1382"/>
      <c r="B146" s="443" t="s">
        <v>252</v>
      </c>
      <c r="C146" s="444"/>
      <c r="D146" s="444"/>
      <c r="E146" s="444"/>
      <c r="F146" s="444"/>
      <c r="G146" s="262"/>
      <c r="H146" s="262"/>
      <c r="I146" s="1464"/>
      <c r="J146" s="1623"/>
      <c r="K146" s="96"/>
      <c r="L146" s="96"/>
      <c r="M146" s="96"/>
      <c r="N146" s="96"/>
      <c r="O146" s="96"/>
      <c r="P146" s="96"/>
      <c r="Q146" s="96">
        <f>S146</f>
        <v>0</v>
      </c>
      <c r="R146" s="96">
        <f>S146</f>
        <v>0</v>
      </c>
      <c r="S146" s="96">
        <v>0</v>
      </c>
      <c r="T146" s="96"/>
      <c r="U146" s="96"/>
      <c r="V146" s="96"/>
      <c r="W146" s="96"/>
      <c r="X146" s="96"/>
      <c r="Y146" s="96"/>
      <c r="Z146" s="96"/>
      <c r="AA146" s="96">
        <f>AB146</f>
        <v>0</v>
      </c>
      <c r="AB146" s="96">
        <v>0</v>
      </c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405"/>
      <c r="AQ146" s="96"/>
    </row>
    <row r="147" spans="1:43" x14ac:dyDescent="0.25">
      <c r="A147" s="1383"/>
      <c r="B147" s="23" t="s">
        <v>16</v>
      </c>
      <c r="C147" s="46"/>
      <c r="D147" s="46"/>
      <c r="E147" s="46"/>
      <c r="F147" s="46"/>
      <c r="G147" s="994">
        <v>2020</v>
      </c>
      <c r="H147" s="994">
        <v>2021</v>
      </c>
      <c r="I147" s="1465"/>
      <c r="J147" s="1624"/>
      <c r="K147" s="47"/>
      <c r="L147" s="47">
        <v>5022.96</v>
      </c>
      <c r="M147" s="47">
        <v>0</v>
      </c>
      <c r="N147" s="47">
        <v>0</v>
      </c>
      <c r="O147" s="47">
        <v>0</v>
      </c>
      <c r="P147" s="47">
        <v>903.34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96">
        <v>0</v>
      </c>
      <c r="Y147" s="96">
        <v>0</v>
      </c>
      <c r="Z147" s="96"/>
      <c r="AA147" s="47">
        <v>0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327" customFormat="1" ht="30" customHeight="1" x14ac:dyDescent="0.25">
      <c r="A148" s="1372" t="s">
        <v>61</v>
      </c>
      <c r="B148" s="609" t="s">
        <v>408</v>
      </c>
      <c r="C148" s="790"/>
      <c r="D148" s="790"/>
      <c r="E148" s="790"/>
      <c r="F148" s="790"/>
      <c r="G148" s="790"/>
      <c r="H148" s="790"/>
      <c r="I148" s="1463" t="s">
        <v>20</v>
      </c>
      <c r="J148" s="1622">
        <v>4106.3500000000004</v>
      </c>
      <c r="K148" s="3">
        <v>0</v>
      </c>
      <c r="L148" s="3">
        <f>L149+L152</f>
        <v>6022.96</v>
      </c>
      <c r="M148" s="3">
        <f>M149+M152</f>
        <v>0</v>
      </c>
      <c r="N148" s="3">
        <f>N149+N152</f>
        <v>980</v>
      </c>
      <c r="O148" s="3">
        <f>O149+O152</f>
        <v>0</v>
      </c>
      <c r="P148" s="3">
        <f>P149+P152</f>
        <v>1281.2539999999999</v>
      </c>
      <c r="Q148" s="3">
        <f t="shared" ref="Q148:Y148" si="91">Q149+Q152</f>
        <v>0</v>
      </c>
      <c r="R148" s="3">
        <f t="shared" si="91"/>
        <v>0</v>
      </c>
      <c r="S148" s="3">
        <f t="shared" si="91"/>
        <v>0</v>
      </c>
      <c r="T148" s="3">
        <f t="shared" si="91"/>
        <v>980</v>
      </c>
      <c r="U148" s="3">
        <f t="shared" si="91"/>
        <v>980</v>
      </c>
      <c r="V148" s="3">
        <f t="shared" si="91"/>
        <v>0</v>
      </c>
      <c r="W148" s="3">
        <f t="shared" si="91"/>
        <v>0</v>
      </c>
      <c r="X148" s="3">
        <f t="shared" si="91"/>
        <v>0</v>
      </c>
      <c r="Y148" s="3">
        <f t="shared" si="91"/>
        <v>0</v>
      </c>
      <c r="Z148" s="95">
        <v>0</v>
      </c>
      <c r="AA148" s="3">
        <f t="shared" ref="AA148" si="92">AA149+AA152</f>
        <v>0</v>
      </c>
      <c r="AB148" s="3">
        <f>AB149+AB152</f>
        <v>0</v>
      </c>
      <c r="AC148" s="3">
        <f>AC149+AC152</f>
        <v>0</v>
      </c>
      <c r="AD148" s="3">
        <f>AD149+AD152</f>
        <v>0</v>
      </c>
      <c r="AE148" s="3">
        <f>AE149+AE152</f>
        <v>0</v>
      </c>
      <c r="AF148" s="3">
        <f t="shared" ref="AF148:AJ148" si="93">AF149+AF152</f>
        <v>0</v>
      </c>
      <c r="AG148" s="3">
        <f t="shared" si="93"/>
        <v>0</v>
      </c>
      <c r="AH148" s="3">
        <f t="shared" si="93"/>
        <v>0</v>
      </c>
      <c r="AI148" s="3">
        <f t="shared" si="93"/>
        <v>0</v>
      </c>
      <c r="AJ148" s="3">
        <f t="shared" si="93"/>
        <v>0</v>
      </c>
      <c r="AK148" s="3">
        <f>P148-Q148</f>
        <v>1281.2539999999999</v>
      </c>
      <c r="AL148" s="3">
        <f>AK148</f>
        <v>1281.2539999999999</v>
      </c>
      <c r="AM148" s="318">
        <f>ROUND((Q148*100%/P148*100),2)</f>
        <v>0</v>
      </c>
      <c r="AN148" s="3">
        <f t="shared" ref="AN148:AO148" si="94">AN149+AN152</f>
        <v>0</v>
      </c>
      <c r="AO148" s="3">
        <f t="shared" si="94"/>
        <v>0</v>
      </c>
      <c r="AP148" s="633" t="s">
        <v>256</v>
      </c>
      <c r="AQ148" s="95">
        <v>0</v>
      </c>
    </row>
    <row r="149" spans="1:43" x14ac:dyDescent="0.25">
      <c r="A149" s="1382"/>
      <c r="B149" s="23" t="s">
        <v>15</v>
      </c>
      <c r="C149" s="46"/>
      <c r="D149" s="46"/>
      <c r="E149" s="46"/>
      <c r="F149" s="46"/>
      <c r="G149" s="994">
        <v>2019</v>
      </c>
      <c r="H149" s="994">
        <v>2019</v>
      </c>
      <c r="I149" s="1464"/>
      <c r="J149" s="1623"/>
      <c r="K149" s="47"/>
      <c r="L149" s="47">
        <v>1000</v>
      </c>
      <c r="M149" s="47">
        <v>0</v>
      </c>
      <c r="N149" s="47">
        <v>980</v>
      </c>
      <c r="O149" s="47">
        <v>0</v>
      </c>
      <c r="P149" s="47">
        <v>377.91399999999999</v>
      </c>
      <c r="Q149" s="47">
        <v>0</v>
      </c>
      <c r="R149" s="47">
        <f t="shared" ref="R149:Y149" si="95">R150+R151</f>
        <v>0</v>
      </c>
      <c r="S149" s="47">
        <f t="shared" si="95"/>
        <v>0</v>
      </c>
      <c r="T149" s="47">
        <f t="shared" si="95"/>
        <v>980</v>
      </c>
      <c r="U149" s="47">
        <f t="shared" si="95"/>
        <v>980</v>
      </c>
      <c r="V149" s="47">
        <f t="shared" si="95"/>
        <v>0</v>
      </c>
      <c r="W149" s="47">
        <f t="shared" si="95"/>
        <v>0</v>
      </c>
      <c r="X149" s="47">
        <f t="shared" si="95"/>
        <v>0</v>
      </c>
      <c r="Y149" s="47">
        <f t="shared" si="95"/>
        <v>0</v>
      </c>
      <c r="Z149" s="96"/>
      <c r="AA149" s="47">
        <f t="shared" ref="AA149" si="96">AA150+AA151</f>
        <v>0</v>
      </c>
      <c r="AB149" s="47">
        <f>AB150+AB151</f>
        <v>0</v>
      </c>
      <c r="AC149" s="47">
        <f>AC150+AC151</f>
        <v>0</v>
      </c>
      <c r="AD149" s="47">
        <f>AD150+AD151</f>
        <v>0</v>
      </c>
      <c r="AE149" s="47">
        <f>AE150+AE151</f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397"/>
      <c r="AQ149" s="96"/>
    </row>
    <row r="150" spans="1:43" s="266" customFormat="1" hidden="1" x14ac:dyDescent="0.25">
      <c r="A150" s="1382"/>
      <c r="B150" s="443" t="s">
        <v>251</v>
      </c>
      <c r="C150" s="444"/>
      <c r="D150" s="444"/>
      <c r="E150" s="444"/>
      <c r="F150" s="444"/>
      <c r="G150" s="262"/>
      <c r="H150" s="262"/>
      <c r="I150" s="1464"/>
      <c r="J150" s="1623"/>
      <c r="K150" s="96"/>
      <c r="L150" s="96"/>
      <c r="M150" s="96"/>
      <c r="N150" s="96"/>
      <c r="O150" s="96"/>
      <c r="P150" s="96">
        <v>0</v>
      </c>
      <c r="Q150" s="96">
        <f>S150+U150</f>
        <v>980</v>
      </c>
      <c r="R150" s="96">
        <v>0</v>
      </c>
      <c r="S150" s="96">
        <v>0</v>
      </c>
      <c r="T150" s="96">
        <f>U150</f>
        <v>980</v>
      </c>
      <c r="U150" s="96">
        <v>980</v>
      </c>
      <c r="V150" s="96"/>
      <c r="W150" s="96"/>
      <c r="X150" s="96"/>
      <c r="Y150" s="96"/>
      <c r="Z150" s="96"/>
      <c r="AA150" s="96">
        <f>AB150</f>
        <v>0</v>
      </c>
      <c r="AB150" s="96">
        <v>0</v>
      </c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405"/>
      <c r="AQ150" s="96"/>
    </row>
    <row r="151" spans="1:43" s="266" customFormat="1" hidden="1" x14ac:dyDescent="0.25">
      <c r="A151" s="1382"/>
      <c r="B151" s="443" t="s">
        <v>252</v>
      </c>
      <c r="C151" s="444"/>
      <c r="D151" s="444"/>
      <c r="E151" s="444"/>
      <c r="F151" s="444"/>
      <c r="G151" s="262"/>
      <c r="H151" s="262"/>
      <c r="I151" s="1464"/>
      <c r="J151" s="1623"/>
      <c r="K151" s="96"/>
      <c r="L151" s="96"/>
      <c r="M151" s="96"/>
      <c r="N151" s="96"/>
      <c r="O151" s="96"/>
      <c r="P151" s="96"/>
      <c r="Q151" s="96">
        <f>S151</f>
        <v>0</v>
      </c>
      <c r="R151" s="96">
        <f>S151</f>
        <v>0</v>
      </c>
      <c r="S151" s="96">
        <v>0</v>
      </c>
      <c r="T151" s="96"/>
      <c r="U151" s="96"/>
      <c r="V151" s="96"/>
      <c r="W151" s="96"/>
      <c r="X151" s="96"/>
      <c r="Y151" s="96"/>
      <c r="Z151" s="96"/>
      <c r="AA151" s="96">
        <f>AB151</f>
        <v>0</v>
      </c>
      <c r="AB151" s="96">
        <v>0</v>
      </c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405"/>
      <c r="AQ151" s="96"/>
    </row>
    <row r="152" spans="1:43" x14ac:dyDescent="0.25">
      <c r="A152" s="1383"/>
      <c r="B152" s="23" t="s">
        <v>16</v>
      </c>
      <c r="C152" s="46"/>
      <c r="D152" s="46"/>
      <c r="E152" s="46"/>
      <c r="F152" s="46"/>
      <c r="G152" s="994">
        <v>2020</v>
      </c>
      <c r="H152" s="994">
        <v>2021</v>
      </c>
      <c r="I152" s="1465"/>
      <c r="J152" s="1624"/>
      <c r="K152" s="47"/>
      <c r="L152" s="47">
        <v>5022.96</v>
      </c>
      <c r="M152" s="47">
        <v>0</v>
      </c>
      <c r="N152" s="47">
        <v>0</v>
      </c>
      <c r="O152" s="47">
        <v>0</v>
      </c>
      <c r="P152" s="47">
        <v>903.34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96">
        <v>0</v>
      </c>
      <c r="Y152" s="96">
        <v>0</v>
      </c>
      <c r="Z152" s="96"/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ht="15.75" x14ac:dyDescent="0.25">
      <c r="A153" s="1007"/>
      <c r="B153" s="791"/>
      <c r="C153" s="792"/>
      <c r="D153" s="792"/>
      <c r="E153" s="792"/>
      <c r="F153" s="792"/>
      <c r="G153" s="313"/>
      <c r="H153" s="313"/>
      <c r="I153" s="793"/>
      <c r="J153" s="794"/>
      <c r="K153" s="795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7"/>
      <c r="Y153" s="797"/>
      <c r="Z153" s="797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8"/>
      <c r="AQ153" s="797"/>
    </row>
    <row r="154" spans="1:43" s="925" customFormat="1" ht="15.75" x14ac:dyDescent="0.25">
      <c r="A154" s="929" t="s">
        <v>13</v>
      </c>
      <c r="B154" s="926"/>
      <c r="C154" s="927"/>
      <c r="D154" s="927"/>
      <c r="E154" s="927"/>
      <c r="F154" s="927"/>
      <c r="G154" s="927"/>
      <c r="H154" s="927"/>
      <c r="I154" s="927"/>
      <c r="J154" s="927"/>
      <c r="K154" s="927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30"/>
      <c r="AQ154" s="928"/>
    </row>
    <row r="155" spans="1:43" s="934" customFormat="1" ht="12.75" x14ac:dyDescent="0.2">
      <c r="A155" s="1604" t="s">
        <v>443</v>
      </c>
      <c r="B155" s="1605"/>
      <c r="C155" s="1605"/>
      <c r="D155" s="1605"/>
      <c r="E155" s="1605"/>
      <c r="F155" s="1605"/>
      <c r="G155" s="1605"/>
      <c r="H155" s="1606"/>
      <c r="I155" s="931" t="s">
        <v>21</v>
      </c>
      <c r="J155" s="932">
        <f t="shared" ref="J155:AO155" si="97">J156+J157+J158+J159</f>
        <v>165965.11999999997</v>
      </c>
      <c r="K155" s="932">
        <f t="shared" si="97"/>
        <v>25354.1</v>
      </c>
      <c r="L155" s="932">
        <f t="shared" si="97"/>
        <v>1042119.19</v>
      </c>
      <c r="M155" s="932">
        <f t="shared" si="97"/>
        <v>571026.48</v>
      </c>
      <c r="N155" s="932">
        <f t="shared" si="97"/>
        <v>616839.18000000005</v>
      </c>
      <c r="O155" s="932">
        <f t="shared" si="97"/>
        <v>381271.67000000004</v>
      </c>
      <c r="P155" s="932">
        <f>P164+P167+P171+P180+P184+P187+P208+P213+P219+P225+P227+P238+P249+P252+P257+P260+P267+P269+P273+P278+P285+P288+P195+P198+P201+P229+P235+P242+P298+P308+P311</f>
        <v>292742.20000000007</v>
      </c>
      <c r="Q155" s="932">
        <f>Q164+Q167+Q171+Q180+Q184+Q187+Q208+Q213+Q219+Q225+Q227+Q238+Q249+Q252+Q257+Q260+Q267+Q269+Q273+Q278+Q285+Q288+Q195+Q198+Q201+Q229+Q235+Q242+Q298+Q308+Q311</f>
        <v>56062.950939999995</v>
      </c>
      <c r="R155" s="932">
        <f t="shared" ref="R155:AA155" si="98">R164+R167+R171+R180+R184+R187+R208+R213+R219+R225+R227+R238+R249+R252+R257+R260+R267+R269+R273+R278+R285+R288+R195+R198+R201+R229+R235+R242+R298+R308+R311</f>
        <v>23233.600000000002</v>
      </c>
      <c r="S155" s="932">
        <f t="shared" si="98"/>
        <v>26233.599999999999</v>
      </c>
      <c r="T155" s="932">
        <f t="shared" si="98"/>
        <v>25740.546000000002</v>
      </c>
      <c r="U155" s="932">
        <f t="shared" si="98"/>
        <v>27949.284000000003</v>
      </c>
      <c r="V155" s="932">
        <f t="shared" si="98"/>
        <v>54714.664999999994</v>
      </c>
      <c r="W155" s="932">
        <f t="shared" si="98"/>
        <v>55653.578999999998</v>
      </c>
      <c r="X155" s="932">
        <f t="shared" si="98"/>
        <v>21705.95</v>
      </c>
      <c r="Y155" s="932">
        <f t="shared" si="98"/>
        <v>21705.95</v>
      </c>
      <c r="Z155" s="932">
        <f t="shared" si="98"/>
        <v>21705.95</v>
      </c>
      <c r="AA155" s="932">
        <f t="shared" si="98"/>
        <v>63490.643409999997</v>
      </c>
      <c r="AB155" s="932">
        <f t="shared" si="97"/>
        <v>20471.075000000001</v>
      </c>
      <c r="AC155" s="932">
        <f t="shared" si="97"/>
        <v>35341.406000000003</v>
      </c>
      <c r="AD155" s="932">
        <f t="shared" si="97"/>
        <v>69790.480890000006</v>
      </c>
      <c r="AE155" s="932">
        <f t="shared" si="97"/>
        <v>0</v>
      </c>
      <c r="AF155" s="932">
        <f t="shared" si="97"/>
        <v>0</v>
      </c>
      <c r="AG155" s="932">
        <f t="shared" si="97"/>
        <v>0</v>
      </c>
      <c r="AH155" s="932">
        <f t="shared" si="97"/>
        <v>0</v>
      </c>
      <c r="AI155" s="932">
        <f t="shared" si="97"/>
        <v>0</v>
      </c>
      <c r="AJ155" s="932">
        <f t="shared" si="97"/>
        <v>0</v>
      </c>
      <c r="AK155" s="932">
        <f t="shared" si="97"/>
        <v>147648.24</v>
      </c>
      <c r="AL155" s="932">
        <f t="shared" si="97"/>
        <v>147648.24</v>
      </c>
      <c r="AM155" s="932" t="e">
        <f t="shared" si="97"/>
        <v>#DIV/0!</v>
      </c>
      <c r="AN155" s="932">
        <f t="shared" si="97"/>
        <v>0</v>
      </c>
      <c r="AO155" s="932">
        <f t="shared" si="97"/>
        <v>0</v>
      </c>
      <c r="AP155" s="933"/>
      <c r="AQ155" s="932">
        <f>AQ164+AQ167+AQ171+AQ180+AQ184+AQ187+AQ208+AQ213+AQ219+AQ225+AQ227+AQ238+AQ249+AQ252+AQ257+AQ260+AQ267+AQ269+AQ273+AQ278+AQ285+AQ288</f>
        <v>4894.7240000000002</v>
      </c>
    </row>
    <row r="156" spans="1:43" s="615" customFormat="1" ht="5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19</v>
      </c>
      <c r="J156" s="71">
        <f t="shared" ref="J156:AO159" si="99">J160+J204+J231</f>
        <v>152888.53999999998</v>
      </c>
      <c r="K156" s="71">
        <f t="shared" si="99"/>
        <v>25354.1</v>
      </c>
      <c r="L156" s="47">
        <f t="shared" si="99"/>
        <v>193023.18</v>
      </c>
      <c r="M156" s="47">
        <f t="shared" si="99"/>
        <v>42443.12</v>
      </c>
      <c r="N156" s="47">
        <f t="shared" si="99"/>
        <v>35331.160000000003</v>
      </c>
      <c r="O156" s="47">
        <f t="shared" si="99"/>
        <v>29531.94</v>
      </c>
      <c r="P156" s="47">
        <f t="shared" si="99"/>
        <v>100162.01</v>
      </c>
      <c r="Q156" s="47">
        <f t="shared" si="99"/>
        <v>0</v>
      </c>
      <c r="R156" s="47">
        <f t="shared" si="99"/>
        <v>743.47199999999998</v>
      </c>
      <c r="S156" s="47">
        <f t="shared" si="99"/>
        <v>3743.4719999999998</v>
      </c>
      <c r="T156" s="47">
        <f t="shared" si="99"/>
        <v>31.5</v>
      </c>
      <c r="U156" s="47">
        <f t="shared" si="99"/>
        <v>2236.8380000000002</v>
      </c>
      <c r="V156" s="47">
        <f t="shared" si="99"/>
        <v>0</v>
      </c>
      <c r="W156" s="47">
        <f t="shared" si="99"/>
        <v>0</v>
      </c>
      <c r="X156" s="47">
        <f t="shared" si="99"/>
        <v>0</v>
      </c>
      <c r="Y156" s="47">
        <f t="shared" si="99"/>
        <v>0</v>
      </c>
      <c r="Z156" s="96"/>
      <c r="AA156" s="47">
        <f t="shared" si="99"/>
        <v>0</v>
      </c>
      <c r="AB156" s="47">
        <f t="shared" si="99"/>
        <v>2948.8069999999998</v>
      </c>
      <c r="AC156" s="47">
        <f t="shared" si="99"/>
        <v>0</v>
      </c>
      <c r="AD156" s="47">
        <f t="shared" si="99"/>
        <v>31.5</v>
      </c>
      <c r="AE156" s="47">
        <f t="shared" si="99"/>
        <v>0</v>
      </c>
      <c r="AF156" s="47">
        <f t="shared" si="99"/>
        <v>0</v>
      </c>
      <c r="AG156" s="47">
        <f t="shared" si="99"/>
        <v>0</v>
      </c>
      <c r="AH156" s="47">
        <f t="shared" si="99"/>
        <v>0</v>
      </c>
      <c r="AI156" s="47">
        <f t="shared" si="99"/>
        <v>0</v>
      </c>
      <c r="AJ156" s="47">
        <f t="shared" si="99"/>
        <v>0</v>
      </c>
      <c r="AK156" s="47">
        <f t="shared" si="99"/>
        <v>28946.75</v>
      </c>
      <c r="AL156" s="47">
        <f t="shared" si="99"/>
        <v>28946.75</v>
      </c>
      <c r="AM156" s="47" t="e">
        <f t="shared" si="99"/>
        <v>#DIV/0!</v>
      </c>
      <c r="AN156" s="47">
        <f t="shared" si="99"/>
        <v>0</v>
      </c>
      <c r="AO156" s="47">
        <f t="shared" si="99"/>
        <v>0</v>
      </c>
      <c r="AP156" s="397"/>
      <c r="AQ156" s="96"/>
    </row>
    <row r="157" spans="1:43" s="615" customFormat="1" ht="45.75" hidden="1" customHeight="1" x14ac:dyDescent="0.2">
      <c r="A157" s="1607"/>
      <c r="B157" s="1608"/>
      <c r="C157" s="1608"/>
      <c r="D157" s="1608"/>
      <c r="E157" s="1608"/>
      <c r="F157" s="1608"/>
      <c r="G157" s="1608"/>
      <c r="H157" s="1609"/>
      <c r="I157" s="23" t="s">
        <v>20</v>
      </c>
      <c r="J157" s="71">
        <f t="shared" si="99"/>
        <v>13076.579999999998</v>
      </c>
      <c r="K157" s="71">
        <f t="shared" si="99"/>
        <v>0</v>
      </c>
      <c r="L157" s="47">
        <f t="shared" ref="L157:Y158" si="100">L161+L205+L232+L246</f>
        <v>353562.91999999993</v>
      </c>
      <c r="M157" s="47">
        <f t="shared" si="100"/>
        <v>36205.620000000003</v>
      </c>
      <c r="N157" s="47">
        <f t="shared" si="100"/>
        <v>88280.380000000019</v>
      </c>
      <c r="O157" s="47">
        <f t="shared" si="100"/>
        <v>53996.09</v>
      </c>
      <c r="P157" s="47">
        <f t="shared" si="100"/>
        <v>132010.46000000002</v>
      </c>
      <c r="Q157" s="47">
        <f t="shared" si="100"/>
        <v>1903.65</v>
      </c>
      <c r="R157" s="47">
        <f t="shared" si="100"/>
        <v>784.17799999999988</v>
      </c>
      <c r="S157" s="47">
        <f t="shared" si="100"/>
        <v>784.17799999999988</v>
      </c>
      <c r="T157" s="47">
        <f t="shared" si="100"/>
        <v>4003.096</v>
      </c>
      <c r="U157" s="47">
        <f t="shared" si="100"/>
        <v>4006.4960000000001</v>
      </c>
      <c r="V157" s="47">
        <f t="shared" si="100"/>
        <v>4331.41</v>
      </c>
      <c r="W157" s="47">
        <f t="shared" si="100"/>
        <v>5270.3239999999996</v>
      </c>
      <c r="X157" s="47">
        <f t="shared" si="100"/>
        <v>0</v>
      </c>
      <c r="Y157" s="47">
        <f t="shared" si="100"/>
        <v>0</v>
      </c>
      <c r="Z157" s="96"/>
      <c r="AA157" s="47">
        <f>AA161+AA205+AA232+AA246</f>
        <v>1945</v>
      </c>
      <c r="AB157" s="47">
        <f>AB161+AB205+AB232+AB246</f>
        <v>0</v>
      </c>
      <c r="AC157" s="47">
        <f>AC161+AC205+AC232+AC246</f>
        <v>3241.61</v>
      </c>
      <c r="AD157" s="47">
        <f>AD161+AD205+AD232+AD246</f>
        <v>69758.980890000006</v>
      </c>
      <c r="AE157" s="47">
        <f>AE161+AE205+AE232+AE246</f>
        <v>0</v>
      </c>
      <c r="AF157" s="47">
        <f t="shared" si="99"/>
        <v>0</v>
      </c>
      <c r="AG157" s="47">
        <f t="shared" si="99"/>
        <v>0</v>
      </c>
      <c r="AH157" s="47">
        <f t="shared" si="99"/>
        <v>0</v>
      </c>
      <c r="AI157" s="47">
        <f t="shared" si="99"/>
        <v>0</v>
      </c>
      <c r="AJ157" s="47">
        <f t="shared" si="99"/>
        <v>0</v>
      </c>
      <c r="AK157" s="47">
        <f t="shared" si="99"/>
        <v>118701.49</v>
      </c>
      <c r="AL157" s="47">
        <f t="shared" si="99"/>
        <v>118701.49</v>
      </c>
      <c r="AM157" s="47" t="e">
        <f t="shared" si="99"/>
        <v>#DIV/0!</v>
      </c>
      <c r="AN157" s="47">
        <f t="shared" si="99"/>
        <v>0</v>
      </c>
      <c r="AO157" s="47">
        <f t="shared" si="99"/>
        <v>0</v>
      </c>
      <c r="AP157" s="397"/>
      <c r="AQ157" s="96"/>
    </row>
    <row r="158" spans="1:43" s="615" customFormat="1" ht="28.5" hidden="1" customHeight="1" x14ac:dyDescent="0.2">
      <c r="A158" s="1607"/>
      <c r="B158" s="1608"/>
      <c r="C158" s="1608"/>
      <c r="D158" s="1608"/>
      <c r="E158" s="1608"/>
      <c r="F158" s="1608"/>
      <c r="G158" s="1608"/>
      <c r="H158" s="1609"/>
      <c r="I158" s="23" t="s">
        <v>10</v>
      </c>
      <c r="J158" s="71">
        <f t="shared" si="99"/>
        <v>0</v>
      </c>
      <c r="K158" s="71">
        <f t="shared" si="99"/>
        <v>0</v>
      </c>
      <c r="L158" s="47">
        <f t="shared" si="100"/>
        <v>495533.09</v>
      </c>
      <c r="M158" s="47">
        <f t="shared" si="100"/>
        <v>492377.74</v>
      </c>
      <c r="N158" s="47">
        <f t="shared" si="100"/>
        <v>493227.64</v>
      </c>
      <c r="O158" s="47">
        <f t="shared" si="100"/>
        <v>297742.64</v>
      </c>
      <c r="P158" s="47">
        <f t="shared" si="100"/>
        <v>0</v>
      </c>
      <c r="Q158" s="47">
        <f t="shared" si="100"/>
        <v>54159.300939999994</v>
      </c>
      <c r="R158" s="47">
        <f t="shared" si="100"/>
        <v>21705.95</v>
      </c>
      <c r="S158" s="47">
        <f t="shared" si="100"/>
        <v>21705.95</v>
      </c>
      <c r="T158" s="47">
        <f t="shared" si="100"/>
        <v>21705.95</v>
      </c>
      <c r="U158" s="47">
        <f t="shared" si="100"/>
        <v>21705.95</v>
      </c>
      <c r="V158" s="47">
        <f t="shared" si="100"/>
        <v>50383.255000000005</v>
      </c>
      <c r="W158" s="47">
        <f t="shared" si="100"/>
        <v>50383.255000000005</v>
      </c>
      <c r="X158" s="47">
        <f t="shared" si="100"/>
        <v>21705.95</v>
      </c>
      <c r="Y158" s="47">
        <f t="shared" si="100"/>
        <v>21705.95</v>
      </c>
      <c r="Z158" s="96"/>
      <c r="AA158" s="47">
        <f>AA162+AA206+AA233+AA247</f>
        <v>61545.643409999997</v>
      </c>
      <c r="AB158" s="47">
        <f>AB162+AB206+AB233+AB247</f>
        <v>17522.268</v>
      </c>
      <c r="AC158" s="47">
        <f>AC162+AC206+AC233+AC247</f>
        <v>32099.796000000002</v>
      </c>
      <c r="AD158" s="47">
        <f>AD162+AD206+AD233</f>
        <v>0</v>
      </c>
      <c r="AE158" s="47">
        <f>AE162+AE206+AE233</f>
        <v>0</v>
      </c>
      <c r="AF158" s="47">
        <f t="shared" si="99"/>
        <v>0</v>
      </c>
      <c r="AG158" s="47">
        <f t="shared" si="99"/>
        <v>0</v>
      </c>
      <c r="AH158" s="47">
        <f t="shared" si="99"/>
        <v>0</v>
      </c>
      <c r="AI158" s="47">
        <f t="shared" si="99"/>
        <v>0</v>
      </c>
      <c r="AJ158" s="47">
        <f t="shared" si="99"/>
        <v>0</v>
      </c>
      <c r="AK158" s="47">
        <f t="shared" si="99"/>
        <v>0</v>
      </c>
      <c r="AL158" s="47">
        <f t="shared" si="99"/>
        <v>0</v>
      </c>
      <c r="AM158" s="47">
        <f t="shared" si="99"/>
        <v>0</v>
      </c>
      <c r="AN158" s="47">
        <f t="shared" si="99"/>
        <v>0</v>
      </c>
      <c r="AO158" s="47">
        <f t="shared" si="99"/>
        <v>0</v>
      </c>
      <c r="AP158" s="397"/>
      <c r="AQ158" s="96"/>
    </row>
    <row r="159" spans="1:43" s="615" customFormat="1" ht="25.5" hidden="1" customHeight="1" x14ac:dyDescent="0.2">
      <c r="A159" s="1610"/>
      <c r="B159" s="1611"/>
      <c r="C159" s="1611"/>
      <c r="D159" s="1611"/>
      <c r="E159" s="1611"/>
      <c r="F159" s="1611"/>
      <c r="G159" s="1611"/>
      <c r="H159" s="1612"/>
      <c r="I159" s="23" t="s">
        <v>9</v>
      </c>
      <c r="J159" s="71">
        <f t="shared" si="99"/>
        <v>0</v>
      </c>
      <c r="K159" s="71">
        <f t="shared" si="99"/>
        <v>0</v>
      </c>
      <c r="L159" s="47">
        <v>0</v>
      </c>
      <c r="M159" s="47">
        <f>M163+M207+M234</f>
        <v>0</v>
      </c>
      <c r="N159" s="47">
        <f>N163+N207+N234</f>
        <v>0</v>
      </c>
      <c r="O159" s="47">
        <f>O163+O207+O234</f>
        <v>1</v>
      </c>
      <c r="P159" s="47">
        <f>P163+P207+P234</f>
        <v>0</v>
      </c>
      <c r="Q159" s="47">
        <f t="shared" ref="Q159:AO159" si="101">Q163+Q207+Q234</f>
        <v>0</v>
      </c>
      <c r="R159" s="47">
        <f t="shared" si="101"/>
        <v>0</v>
      </c>
      <c r="S159" s="47">
        <f t="shared" si="101"/>
        <v>0</v>
      </c>
      <c r="T159" s="47">
        <f t="shared" si="101"/>
        <v>0</v>
      </c>
      <c r="U159" s="47">
        <f t="shared" si="101"/>
        <v>0</v>
      </c>
      <c r="V159" s="47">
        <f t="shared" si="101"/>
        <v>0</v>
      </c>
      <c r="W159" s="47">
        <f t="shared" si="101"/>
        <v>0</v>
      </c>
      <c r="X159" s="47">
        <f t="shared" si="101"/>
        <v>0</v>
      </c>
      <c r="Y159" s="47">
        <f t="shared" si="101"/>
        <v>0</v>
      </c>
      <c r="Z159" s="96"/>
      <c r="AA159" s="47">
        <f t="shared" si="101"/>
        <v>0</v>
      </c>
      <c r="AB159" s="47">
        <f t="shared" si="101"/>
        <v>0</v>
      </c>
      <c r="AC159" s="47">
        <f t="shared" si="101"/>
        <v>0</v>
      </c>
      <c r="AD159" s="47">
        <f t="shared" si="101"/>
        <v>0</v>
      </c>
      <c r="AE159" s="47">
        <f t="shared" si="101"/>
        <v>0</v>
      </c>
      <c r="AF159" s="47">
        <f t="shared" si="101"/>
        <v>0</v>
      </c>
      <c r="AG159" s="47">
        <f>AG163+AG207+AG234</f>
        <v>0</v>
      </c>
      <c r="AH159" s="47">
        <f>AH163+AH207+AH234</f>
        <v>0</v>
      </c>
      <c r="AI159" s="47">
        <f>AI163+AI207+AI234</f>
        <v>0</v>
      </c>
      <c r="AJ159" s="47">
        <f>AJ163+AJ207+AJ234</f>
        <v>0</v>
      </c>
      <c r="AK159" s="47">
        <f t="shared" si="101"/>
        <v>0</v>
      </c>
      <c r="AL159" s="47">
        <f t="shared" si="101"/>
        <v>0</v>
      </c>
      <c r="AM159" s="47">
        <f t="shared" si="101"/>
        <v>0</v>
      </c>
      <c r="AN159" s="47">
        <f t="shared" si="101"/>
        <v>0</v>
      </c>
      <c r="AO159" s="47">
        <f t="shared" si="101"/>
        <v>0</v>
      </c>
      <c r="AP159" s="397"/>
      <c r="AQ159" s="96"/>
    </row>
    <row r="160" spans="1:43" ht="51.75" hidden="1" customHeight="1" x14ac:dyDescent="0.25">
      <c r="A160" s="1332" t="s">
        <v>27</v>
      </c>
      <c r="B160" s="1613" t="s">
        <v>214</v>
      </c>
      <c r="C160" s="1614"/>
      <c r="D160" s="1614"/>
      <c r="E160" s="1614"/>
      <c r="F160" s="1614"/>
      <c r="G160" s="1614"/>
      <c r="H160" s="1615"/>
      <c r="I160" s="23" t="s">
        <v>19</v>
      </c>
      <c r="J160" s="47">
        <f>J164+J167+J171</f>
        <v>152888.53999999998</v>
      </c>
      <c r="K160" s="47">
        <f>K164+K167+K171</f>
        <v>25354.1</v>
      </c>
      <c r="L160" s="47">
        <f>L164+L167+L171+L180+L184+L188</f>
        <v>193023.18</v>
      </c>
      <c r="M160" s="47">
        <f>M164+M167+M171+M180+M184+M188</f>
        <v>42443.12</v>
      </c>
      <c r="N160" s="47">
        <f>N164+N167+N171+N180+N184+N188</f>
        <v>35331.160000000003</v>
      </c>
      <c r="O160" s="47">
        <f>O164+O167+O171+O180+O184+O187</f>
        <v>29530.94</v>
      </c>
      <c r="P160" s="47">
        <f>P164+P167+P171+P180+P184+P188</f>
        <v>100162.01</v>
      </c>
      <c r="Q160" s="47">
        <f>Q164+Q167+Q171+Q180+Q184+Q187</f>
        <v>0</v>
      </c>
      <c r="R160" s="47">
        <f t="shared" ref="R160:AA160" si="102">R164+R167+R171+R180+R184+R187</f>
        <v>743.47199999999998</v>
      </c>
      <c r="S160" s="47">
        <f t="shared" si="102"/>
        <v>3743.4719999999998</v>
      </c>
      <c r="T160" s="47">
        <f t="shared" si="102"/>
        <v>31.5</v>
      </c>
      <c r="U160" s="47">
        <f t="shared" si="102"/>
        <v>2236.8380000000002</v>
      </c>
      <c r="V160" s="47">
        <f t="shared" si="102"/>
        <v>0</v>
      </c>
      <c r="W160" s="47">
        <f t="shared" si="102"/>
        <v>0</v>
      </c>
      <c r="X160" s="47">
        <f t="shared" si="102"/>
        <v>0</v>
      </c>
      <c r="Y160" s="47">
        <f t="shared" si="102"/>
        <v>0</v>
      </c>
      <c r="Z160" s="96"/>
      <c r="AA160" s="47">
        <f t="shared" si="102"/>
        <v>0</v>
      </c>
      <c r="AB160" s="47">
        <f>AB164+AB167+AB171+AB180+AB184+AB187</f>
        <v>2948.8069999999998</v>
      </c>
      <c r="AC160" s="47">
        <f>AC164+AC167+AC171+AC180+AC184+AC187</f>
        <v>0</v>
      </c>
      <c r="AD160" s="47">
        <f>AD164+AD167+AD171+AD180+AD184+AD187</f>
        <v>31.5</v>
      </c>
      <c r="AE160" s="47">
        <f>AE164+AE167+AE171+AE180+AE184+AE187</f>
        <v>0</v>
      </c>
      <c r="AF160" s="47">
        <f t="shared" ref="AF160:AO160" si="103">AF164+AF167+AF171</f>
        <v>0</v>
      </c>
      <c r="AG160" s="47">
        <f t="shared" si="103"/>
        <v>0</v>
      </c>
      <c r="AH160" s="47">
        <f t="shared" si="103"/>
        <v>0</v>
      </c>
      <c r="AI160" s="47">
        <f t="shared" si="103"/>
        <v>0</v>
      </c>
      <c r="AJ160" s="47">
        <f t="shared" si="103"/>
        <v>0</v>
      </c>
      <c r="AK160" s="47">
        <f t="shared" si="103"/>
        <v>28946.75</v>
      </c>
      <c r="AL160" s="47">
        <f t="shared" si="103"/>
        <v>28946.75</v>
      </c>
      <c r="AM160" s="47" t="e">
        <f t="shared" si="103"/>
        <v>#DIV/0!</v>
      </c>
      <c r="AN160" s="47">
        <f t="shared" si="103"/>
        <v>0</v>
      </c>
      <c r="AO160" s="47">
        <f t="shared" si="103"/>
        <v>0</v>
      </c>
      <c r="AP160" s="397"/>
      <c r="AQ160" s="96"/>
    </row>
    <row r="161" spans="1:43" ht="47.25" hidden="1" customHeight="1" x14ac:dyDescent="0.25">
      <c r="A161" s="1333"/>
      <c r="B161" s="1616"/>
      <c r="C161" s="1617"/>
      <c r="D161" s="1617"/>
      <c r="E161" s="1617"/>
      <c r="F161" s="1617"/>
      <c r="G161" s="1617"/>
      <c r="H161" s="1618"/>
      <c r="I161" s="23" t="s">
        <v>20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ht="28.5" hidden="1" customHeight="1" x14ac:dyDescent="0.25">
      <c r="A162" s="1333"/>
      <c r="B162" s="1616"/>
      <c r="C162" s="1617"/>
      <c r="D162" s="1617"/>
      <c r="E162" s="1617"/>
      <c r="F162" s="1617"/>
      <c r="G162" s="1617"/>
      <c r="H162" s="1618"/>
      <c r="I162" s="23" t="s">
        <v>10</v>
      </c>
      <c r="J162" s="47">
        <v>0</v>
      </c>
      <c r="K162" s="47">
        <v>0</v>
      </c>
      <c r="L162" s="47">
        <f>L194</f>
        <v>195485</v>
      </c>
      <c r="M162" s="47">
        <f>M194</f>
        <v>195485</v>
      </c>
      <c r="N162" s="47">
        <f>N194</f>
        <v>195485</v>
      </c>
      <c r="O162" s="47">
        <v>0</v>
      </c>
      <c r="P162" s="47">
        <f>P194</f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96"/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397"/>
      <c r="AQ162" s="96"/>
    </row>
    <row r="163" spans="1:43" ht="25.5" hidden="1" customHeight="1" x14ac:dyDescent="0.25">
      <c r="A163" s="1334"/>
      <c r="B163" s="1619"/>
      <c r="C163" s="1620"/>
      <c r="D163" s="1620"/>
      <c r="E163" s="1620"/>
      <c r="F163" s="1620"/>
      <c r="G163" s="1620"/>
      <c r="H163" s="1621"/>
      <c r="I163" s="23" t="s">
        <v>9</v>
      </c>
      <c r="J163" s="47">
        <v>0</v>
      </c>
      <c r="K163" s="47">
        <v>0</v>
      </c>
      <c r="L163" s="47">
        <f>M163+N163+O163</f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96"/>
      <c r="AA163" s="47">
        <v>0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397"/>
      <c r="AQ163" s="96"/>
    </row>
    <row r="164" spans="1:43" s="327" customFormat="1" ht="27.75" customHeight="1" x14ac:dyDescent="0.25">
      <c r="A164" s="1473" t="s">
        <v>34</v>
      </c>
      <c r="B164" s="780" t="s">
        <v>441</v>
      </c>
      <c r="C164" s="1332"/>
      <c r="D164" s="1332"/>
      <c r="E164" s="1332"/>
      <c r="F164" s="1644">
        <v>220000</v>
      </c>
      <c r="G164" s="1473">
        <v>2018</v>
      </c>
      <c r="H164" s="1473">
        <v>2021</v>
      </c>
      <c r="I164" s="1463" t="s">
        <v>19</v>
      </c>
      <c r="J164" s="1627">
        <v>66036</v>
      </c>
      <c r="K164" s="1627">
        <v>16509</v>
      </c>
      <c r="L164" s="804">
        <f t="shared" ref="L164:O164" si="104">L165</f>
        <v>67541.3</v>
      </c>
      <c r="M164" s="804">
        <f t="shared" si="104"/>
        <v>16509</v>
      </c>
      <c r="N164" s="804">
        <f t="shared" si="104"/>
        <v>800</v>
      </c>
      <c r="O164" s="804">
        <f t="shared" si="104"/>
        <v>6409</v>
      </c>
      <c r="P164" s="804">
        <v>27314.3</v>
      </c>
      <c r="Q164" s="804">
        <v>0</v>
      </c>
      <c r="R164" s="804">
        <f t="shared" ref="R164:AO165" si="105">R165</f>
        <v>36</v>
      </c>
      <c r="S164" s="804">
        <f t="shared" si="105"/>
        <v>36</v>
      </c>
      <c r="T164" s="804">
        <f t="shared" si="105"/>
        <v>31.5</v>
      </c>
      <c r="U164" s="804">
        <f t="shared" si="105"/>
        <v>31.5</v>
      </c>
      <c r="V164" s="804">
        <f t="shared" si="105"/>
        <v>0</v>
      </c>
      <c r="W164" s="804">
        <f t="shared" si="105"/>
        <v>0</v>
      </c>
      <c r="X164" s="804">
        <f t="shared" si="105"/>
        <v>0</v>
      </c>
      <c r="Y164" s="804">
        <f t="shared" si="105"/>
        <v>0</v>
      </c>
      <c r="Z164" s="805">
        <v>0</v>
      </c>
      <c r="AA164" s="804">
        <v>0</v>
      </c>
      <c r="AB164" s="804">
        <f t="shared" si="105"/>
        <v>36</v>
      </c>
      <c r="AC164" s="804">
        <f t="shared" si="105"/>
        <v>0</v>
      </c>
      <c r="AD164" s="804">
        <f t="shared" si="105"/>
        <v>31.5</v>
      </c>
      <c r="AE164" s="804">
        <f t="shared" si="105"/>
        <v>0</v>
      </c>
      <c r="AF164" s="804">
        <f t="shared" si="105"/>
        <v>0</v>
      </c>
      <c r="AG164" s="804">
        <f t="shared" si="105"/>
        <v>0</v>
      </c>
      <c r="AH164" s="804">
        <f t="shared" si="105"/>
        <v>0</v>
      </c>
      <c r="AI164" s="804">
        <f t="shared" si="105"/>
        <v>0</v>
      </c>
      <c r="AJ164" s="804">
        <f t="shared" si="105"/>
        <v>0</v>
      </c>
      <c r="AK164" s="3">
        <f>P164-Q164</f>
        <v>27314.3</v>
      </c>
      <c r="AL164" s="3">
        <f>AK164</f>
        <v>27314.3</v>
      </c>
      <c r="AM164" s="318">
        <f>ROUND((Q164*100%/P164*100),2)</f>
        <v>0</v>
      </c>
      <c r="AN164" s="804">
        <f t="shared" si="105"/>
        <v>0</v>
      </c>
      <c r="AO164" s="804">
        <f t="shared" si="105"/>
        <v>0</v>
      </c>
      <c r="AP164" s="806"/>
      <c r="AQ164" s="805">
        <v>0</v>
      </c>
    </row>
    <row r="165" spans="1:43" ht="18" hidden="1" customHeight="1" x14ac:dyDescent="0.25">
      <c r="A165" s="1474"/>
      <c r="B165" s="1020" t="s">
        <v>39</v>
      </c>
      <c r="C165" s="1334"/>
      <c r="D165" s="1334"/>
      <c r="E165" s="1334"/>
      <c r="F165" s="1472"/>
      <c r="G165" s="1474"/>
      <c r="H165" s="1474"/>
      <c r="I165" s="1465"/>
      <c r="J165" s="1629"/>
      <c r="K165" s="1629"/>
      <c r="L165" s="1031">
        <v>67541.3</v>
      </c>
      <c r="M165" s="83">
        <v>16509</v>
      </c>
      <c r="N165" s="83">
        <v>800</v>
      </c>
      <c r="O165" s="83">
        <v>6409</v>
      </c>
      <c r="P165" s="83">
        <v>6409</v>
      </c>
      <c r="Q165" s="83">
        <f>Q166</f>
        <v>67.5</v>
      </c>
      <c r="R165" s="83">
        <f t="shared" si="105"/>
        <v>36</v>
      </c>
      <c r="S165" s="83">
        <f t="shared" si="105"/>
        <v>36</v>
      </c>
      <c r="T165" s="83">
        <f t="shared" si="105"/>
        <v>31.5</v>
      </c>
      <c r="U165" s="83">
        <f t="shared" si="105"/>
        <v>31.5</v>
      </c>
      <c r="V165" s="83">
        <f t="shared" si="105"/>
        <v>0</v>
      </c>
      <c r="W165" s="83">
        <f t="shared" si="105"/>
        <v>0</v>
      </c>
      <c r="X165" s="83">
        <f t="shared" si="105"/>
        <v>0</v>
      </c>
      <c r="Y165" s="83">
        <f t="shared" si="105"/>
        <v>0</v>
      </c>
      <c r="Z165" s="259"/>
      <c r="AA165" s="83">
        <f t="shared" si="105"/>
        <v>67.5</v>
      </c>
      <c r="AB165" s="83">
        <f t="shared" si="105"/>
        <v>36</v>
      </c>
      <c r="AC165" s="83">
        <f t="shared" si="105"/>
        <v>0</v>
      </c>
      <c r="AD165" s="83">
        <f t="shared" si="105"/>
        <v>31.5</v>
      </c>
      <c r="AE165" s="83">
        <f t="shared" si="105"/>
        <v>0</v>
      </c>
      <c r="AF165" s="83">
        <f t="shared" si="105"/>
        <v>0</v>
      </c>
      <c r="AG165" s="83">
        <f t="shared" si="105"/>
        <v>0</v>
      </c>
      <c r="AH165" s="83">
        <f t="shared" si="105"/>
        <v>0</v>
      </c>
      <c r="AI165" s="83">
        <f t="shared" si="105"/>
        <v>0</v>
      </c>
      <c r="AJ165" s="83">
        <f t="shared" si="105"/>
        <v>0</v>
      </c>
      <c r="AK165" s="83">
        <f t="shared" si="105"/>
        <v>0</v>
      </c>
      <c r="AL165" s="83">
        <v>0</v>
      </c>
      <c r="AM165" s="83">
        <v>0</v>
      </c>
      <c r="AN165" s="83">
        <v>0</v>
      </c>
      <c r="AO165" s="83">
        <v>0</v>
      </c>
      <c r="AP165" s="409"/>
      <c r="AQ165" s="259"/>
    </row>
    <row r="166" spans="1:43" s="266" customFormat="1" ht="26.25" hidden="1" customHeight="1" x14ac:dyDescent="0.25">
      <c r="A166" s="616"/>
      <c r="B166" s="537" t="s">
        <v>300</v>
      </c>
      <c r="C166" s="647"/>
      <c r="D166" s="647"/>
      <c r="E166" s="647"/>
      <c r="F166" s="539"/>
      <c r="G166" s="540"/>
      <c r="H166" s="540"/>
      <c r="I166" s="370"/>
      <c r="J166" s="648"/>
      <c r="K166" s="648"/>
      <c r="L166" s="258"/>
      <c r="M166" s="259"/>
      <c r="N166" s="259"/>
      <c r="O166" s="259"/>
      <c r="P166" s="259"/>
      <c r="Q166" s="259">
        <f>S166+U166</f>
        <v>67.5</v>
      </c>
      <c r="R166" s="259">
        <f>S166</f>
        <v>36</v>
      </c>
      <c r="S166" s="259">
        <v>36</v>
      </c>
      <c r="T166" s="259">
        <f>U166</f>
        <v>31.5</v>
      </c>
      <c r="U166" s="259">
        <v>31.5</v>
      </c>
      <c r="V166" s="259"/>
      <c r="W166" s="259"/>
      <c r="X166" s="259"/>
      <c r="Y166" s="259"/>
      <c r="Z166" s="259"/>
      <c r="AA166" s="259">
        <f>AB166+AD166</f>
        <v>67.5</v>
      </c>
      <c r="AB166" s="259">
        <v>36</v>
      </c>
      <c r="AC166" s="259"/>
      <c r="AD166" s="259">
        <v>31.5</v>
      </c>
      <c r="AE166" s="259"/>
      <c r="AF166" s="259"/>
      <c r="AG166" s="259"/>
      <c r="AH166" s="259"/>
      <c r="AI166" s="259"/>
      <c r="AJ166" s="259"/>
      <c r="AK166" s="259"/>
      <c r="AL166" s="259"/>
      <c r="AM166" s="543"/>
      <c r="AN166" s="259"/>
      <c r="AO166" s="259"/>
      <c r="AP166" s="411"/>
      <c r="AQ166" s="259"/>
    </row>
    <row r="167" spans="1:43" s="327" customFormat="1" ht="24" customHeight="1" x14ac:dyDescent="0.25">
      <c r="A167" s="1473" t="s">
        <v>42</v>
      </c>
      <c r="B167" s="780" t="s">
        <v>205</v>
      </c>
      <c r="C167" s="807"/>
      <c r="D167" s="807"/>
      <c r="E167" s="807"/>
      <c r="F167" s="1644">
        <v>2400</v>
      </c>
      <c r="G167" s="807"/>
      <c r="H167" s="807"/>
      <c r="I167" s="1463" t="s">
        <v>19</v>
      </c>
      <c r="J167" s="25">
        <v>12351.86</v>
      </c>
      <c r="K167" s="25">
        <f t="shared" ref="K167:P167" si="106">K168+K170</f>
        <v>8845.1</v>
      </c>
      <c r="L167" s="3">
        <f t="shared" si="106"/>
        <v>25182.28</v>
      </c>
      <c r="M167" s="3">
        <f t="shared" si="106"/>
        <v>1753.38</v>
      </c>
      <c r="N167" s="3">
        <f t="shared" si="106"/>
        <v>1168.92</v>
      </c>
      <c r="O167" s="3">
        <f t="shared" si="106"/>
        <v>997.45</v>
      </c>
      <c r="P167" s="3">
        <f t="shared" si="106"/>
        <v>1632.45</v>
      </c>
      <c r="Q167" s="3">
        <f t="shared" ref="Q167:AO167" si="107">Q170+Q168</f>
        <v>0</v>
      </c>
      <c r="R167" s="3">
        <f t="shared" si="107"/>
        <v>707.47199999999998</v>
      </c>
      <c r="S167" s="3">
        <f t="shared" si="107"/>
        <v>707.47199999999998</v>
      </c>
      <c r="T167" s="3">
        <f t="shared" si="107"/>
        <v>0</v>
      </c>
      <c r="U167" s="3">
        <f t="shared" si="107"/>
        <v>0</v>
      </c>
      <c r="V167" s="3">
        <f t="shared" si="107"/>
        <v>0</v>
      </c>
      <c r="W167" s="3">
        <f t="shared" si="107"/>
        <v>0</v>
      </c>
      <c r="X167" s="3">
        <f t="shared" si="107"/>
        <v>0</v>
      </c>
      <c r="Y167" s="3">
        <f t="shared" si="107"/>
        <v>0</v>
      </c>
      <c r="Z167" s="95">
        <v>0</v>
      </c>
      <c r="AA167" s="3">
        <f t="shared" si="107"/>
        <v>0</v>
      </c>
      <c r="AB167" s="3">
        <f t="shared" si="107"/>
        <v>707.47</v>
      </c>
      <c r="AC167" s="3">
        <f t="shared" si="107"/>
        <v>0</v>
      </c>
      <c r="AD167" s="3">
        <f t="shared" si="107"/>
        <v>0</v>
      </c>
      <c r="AE167" s="3">
        <f t="shared" si="107"/>
        <v>0</v>
      </c>
      <c r="AF167" s="3">
        <f t="shared" si="107"/>
        <v>0</v>
      </c>
      <c r="AG167" s="3">
        <f t="shared" si="107"/>
        <v>0</v>
      </c>
      <c r="AH167" s="3">
        <f t="shared" si="107"/>
        <v>0</v>
      </c>
      <c r="AI167" s="3">
        <f t="shared" si="107"/>
        <v>0</v>
      </c>
      <c r="AJ167" s="3">
        <f t="shared" si="107"/>
        <v>0</v>
      </c>
      <c r="AK167" s="3">
        <f>P167-Q167</f>
        <v>1632.45</v>
      </c>
      <c r="AL167" s="3">
        <f>AK167</f>
        <v>1632.45</v>
      </c>
      <c r="AM167" s="318">
        <f>ROUND((Q167*100%/P167*100),2)</f>
        <v>0</v>
      </c>
      <c r="AN167" s="3">
        <f t="shared" si="107"/>
        <v>0</v>
      </c>
      <c r="AO167" s="3">
        <f t="shared" si="107"/>
        <v>0</v>
      </c>
      <c r="AP167" s="808"/>
      <c r="AQ167" s="95">
        <v>0</v>
      </c>
    </row>
    <row r="168" spans="1:43" ht="16.5" customHeight="1" x14ac:dyDescent="0.25">
      <c r="A168" s="1643"/>
      <c r="B168" s="1" t="s">
        <v>15</v>
      </c>
      <c r="C168" s="48"/>
      <c r="D168" s="48"/>
      <c r="E168" s="48"/>
      <c r="F168" s="1645"/>
      <c r="G168" s="1013">
        <v>2018</v>
      </c>
      <c r="H168" s="1013">
        <v>2018</v>
      </c>
      <c r="I168" s="1464"/>
      <c r="J168" s="634">
        <v>1815.76</v>
      </c>
      <c r="K168" s="634">
        <v>1815.76</v>
      </c>
      <c r="L168" s="47">
        <v>2458.14</v>
      </c>
      <c r="M168" s="47">
        <v>0</v>
      </c>
      <c r="N168" s="47">
        <v>412.99</v>
      </c>
      <c r="O168" s="47">
        <v>0</v>
      </c>
      <c r="P168" s="47">
        <v>246.67</v>
      </c>
      <c r="Q168" s="83">
        <v>0</v>
      </c>
      <c r="R168" s="83">
        <f t="shared" ref="R168:AG168" si="108">R169</f>
        <v>707.47199999999998</v>
      </c>
      <c r="S168" s="83">
        <f t="shared" si="108"/>
        <v>707.47199999999998</v>
      </c>
      <c r="T168" s="83">
        <f t="shared" si="108"/>
        <v>0</v>
      </c>
      <c r="U168" s="83">
        <f t="shared" si="108"/>
        <v>0</v>
      </c>
      <c r="V168" s="83">
        <f t="shared" si="108"/>
        <v>0</v>
      </c>
      <c r="W168" s="83">
        <f t="shared" si="108"/>
        <v>0</v>
      </c>
      <c r="X168" s="83">
        <f t="shared" si="108"/>
        <v>0</v>
      </c>
      <c r="Y168" s="83">
        <f t="shared" si="108"/>
        <v>0</v>
      </c>
      <c r="Z168" s="259"/>
      <c r="AA168" s="83">
        <v>0</v>
      </c>
      <c r="AB168" s="83">
        <f t="shared" si="108"/>
        <v>707.47</v>
      </c>
      <c r="AC168" s="83">
        <f t="shared" si="108"/>
        <v>0</v>
      </c>
      <c r="AD168" s="83">
        <f t="shared" si="108"/>
        <v>0</v>
      </c>
      <c r="AE168" s="83">
        <f t="shared" si="108"/>
        <v>0</v>
      </c>
      <c r="AF168" s="83">
        <f t="shared" si="108"/>
        <v>0</v>
      </c>
      <c r="AG168" s="83">
        <f t="shared" si="108"/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617"/>
      <c r="AQ168" s="259"/>
    </row>
    <row r="169" spans="1:43" s="266" customFormat="1" ht="27" hidden="1" customHeight="1" x14ac:dyDescent="0.25">
      <c r="A169" s="1643"/>
      <c r="B169" s="537" t="s">
        <v>301</v>
      </c>
      <c r="C169" s="544"/>
      <c r="D169" s="544"/>
      <c r="E169" s="544"/>
      <c r="F169" s="1645"/>
      <c r="G169" s="104"/>
      <c r="H169" s="104"/>
      <c r="I169" s="1464"/>
      <c r="J169" s="636"/>
      <c r="K169" s="636"/>
      <c r="L169" s="96"/>
      <c r="M169" s="96"/>
      <c r="N169" s="96"/>
      <c r="O169" s="96"/>
      <c r="P169" s="96"/>
      <c r="Q169" s="259">
        <f>S169</f>
        <v>707.47199999999998</v>
      </c>
      <c r="R169" s="259">
        <f>S169</f>
        <v>707.47199999999998</v>
      </c>
      <c r="S169" s="259">
        <v>707.47199999999998</v>
      </c>
      <c r="T169" s="259"/>
      <c r="U169" s="259"/>
      <c r="V169" s="259"/>
      <c r="W169" s="259"/>
      <c r="X169" s="259"/>
      <c r="Y169" s="259"/>
      <c r="Z169" s="259"/>
      <c r="AA169" s="259">
        <f>AB169</f>
        <v>707.47</v>
      </c>
      <c r="AB169" s="259">
        <v>707.47</v>
      </c>
      <c r="AC169" s="259"/>
      <c r="AD169" s="259"/>
      <c r="AE169" s="259"/>
      <c r="AF169" s="259"/>
      <c r="AG169" s="259"/>
      <c r="AH169" s="96"/>
      <c r="AI169" s="96"/>
      <c r="AJ169" s="96"/>
      <c r="AK169" s="96"/>
      <c r="AL169" s="96"/>
      <c r="AM169" s="96"/>
      <c r="AN169" s="96"/>
      <c r="AO169" s="96"/>
      <c r="AP169" s="618"/>
      <c r="AQ169" s="259"/>
    </row>
    <row r="170" spans="1:43" ht="14.25" customHeight="1" x14ac:dyDescent="0.25">
      <c r="A170" s="1474"/>
      <c r="B170" s="1" t="s">
        <v>32</v>
      </c>
      <c r="C170" s="48"/>
      <c r="D170" s="48"/>
      <c r="E170" s="48"/>
      <c r="F170" s="1328"/>
      <c r="G170" s="1013">
        <v>2018</v>
      </c>
      <c r="H170" s="1013">
        <v>2021</v>
      </c>
      <c r="I170" s="1465"/>
      <c r="J170" s="634">
        <v>10536.1</v>
      </c>
      <c r="K170" s="634">
        <v>7029.34</v>
      </c>
      <c r="L170" s="47">
        <v>22724.14</v>
      </c>
      <c r="M170" s="47">
        <v>1753.38</v>
      </c>
      <c r="N170" s="47">
        <v>755.93</v>
      </c>
      <c r="O170" s="47">
        <v>997.45</v>
      </c>
      <c r="P170" s="47">
        <v>1385.78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96"/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397"/>
      <c r="AQ170" s="96"/>
    </row>
    <row r="171" spans="1:43" s="327" customFormat="1" ht="30.75" customHeight="1" x14ac:dyDescent="0.25">
      <c r="A171" s="1398" t="s">
        <v>63</v>
      </c>
      <c r="B171" s="780" t="s">
        <v>66</v>
      </c>
      <c r="C171" s="1471"/>
      <c r="D171" s="1471"/>
      <c r="E171" s="1471"/>
      <c r="F171" s="1466"/>
      <c r="G171" s="1489">
        <v>2019</v>
      </c>
      <c r="H171" s="1469">
        <v>2021</v>
      </c>
      <c r="I171" s="1466" t="s">
        <v>19</v>
      </c>
      <c r="J171" s="1648">
        <f>K171+L171</f>
        <v>74500.679999999993</v>
      </c>
      <c r="K171" s="1646">
        <v>0</v>
      </c>
      <c r="L171" s="70">
        <f t="shared" ref="L171:W171" si="109">L172</f>
        <v>74500.679999999993</v>
      </c>
      <c r="M171" s="70">
        <f t="shared" si="109"/>
        <v>24180.74</v>
      </c>
      <c r="N171" s="70">
        <f t="shared" si="109"/>
        <v>24180.74</v>
      </c>
      <c r="O171" s="70">
        <f t="shared" si="109"/>
        <v>13819.52</v>
      </c>
      <c r="P171" s="70">
        <v>0</v>
      </c>
      <c r="Q171" s="804">
        <f t="shared" si="109"/>
        <v>0</v>
      </c>
      <c r="R171" s="804">
        <f t="shared" si="109"/>
        <v>0</v>
      </c>
      <c r="S171" s="804">
        <f t="shared" si="109"/>
        <v>0</v>
      </c>
      <c r="T171" s="804">
        <f t="shared" si="109"/>
        <v>0</v>
      </c>
      <c r="U171" s="804">
        <f t="shared" si="109"/>
        <v>0</v>
      </c>
      <c r="V171" s="804">
        <f t="shared" si="109"/>
        <v>0</v>
      </c>
      <c r="W171" s="804">
        <f t="shared" si="109"/>
        <v>0</v>
      </c>
      <c r="X171" s="804">
        <f>X172</f>
        <v>0</v>
      </c>
      <c r="Y171" s="804">
        <f>Y172</f>
        <v>0</v>
      </c>
      <c r="Z171" s="805">
        <v>0</v>
      </c>
      <c r="AA171" s="804">
        <f>AA172</f>
        <v>0</v>
      </c>
      <c r="AB171" s="804">
        <f>AB172</f>
        <v>0</v>
      </c>
      <c r="AC171" s="804">
        <f>AC172</f>
        <v>0</v>
      </c>
      <c r="AD171" s="804">
        <f t="shared" ref="AD171:AO171" si="110">AD172</f>
        <v>0</v>
      </c>
      <c r="AE171" s="804">
        <f t="shared" si="110"/>
        <v>0</v>
      </c>
      <c r="AF171" s="804">
        <f t="shared" si="110"/>
        <v>0</v>
      </c>
      <c r="AG171" s="804">
        <f t="shared" si="110"/>
        <v>0</v>
      </c>
      <c r="AH171" s="804">
        <f t="shared" si="110"/>
        <v>0</v>
      </c>
      <c r="AI171" s="804">
        <f t="shared" si="110"/>
        <v>0</v>
      </c>
      <c r="AJ171" s="804">
        <f t="shared" si="110"/>
        <v>0</v>
      </c>
      <c r="AK171" s="3">
        <v>0</v>
      </c>
      <c r="AL171" s="3">
        <f>AK171</f>
        <v>0</v>
      </c>
      <c r="AM171" s="318" t="e">
        <f>ROUND((Q171*100%/P171*100),2)</f>
        <v>#DIV/0!</v>
      </c>
      <c r="AN171" s="804">
        <f t="shared" si="110"/>
        <v>0</v>
      </c>
      <c r="AO171" s="804">
        <f t="shared" si="110"/>
        <v>0</v>
      </c>
      <c r="AP171" s="806" t="s">
        <v>295</v>
      </c>
      <c r="AQ171" s="805">
        <v>0</v>
      </c>
    </row>
    <row r="172" spans="1:43" ht="18" hidden="1" customHeight="1" x14ac:dyDescent="0.25">
      <c r="A172" s="1488"/>
      <c r="B172" s="1" t="s">
        <v>16</v>
      </c>
      <c r="C172" s="1471"/>
      <c r="D172" s="1471"/>
      <c r="E172" s="1471"/>
      <c r="F172" s="1466"/>
      <c r="G172" s="1489"/>
      <c r="H172" s="1470"/>
      <c r="I172" s="1466"/>
      <c r="J172" s="1648"/>
      <c r="K172" s="1647"/>
      <c r="L172" s="1031">
        <v>74500.679999999993</v>
      </c>
      <c r="M172" s="83">
        <v>24180.74</v>
      </c>
      <c r="N172" s="83">
        <v>24180.74</v>
      </c>
      <c r="O172" s="83">
        <v>13819.52</v>
      </c>
      <c r="P172" s="83">
        <v>26139.200000000001</v>
      </c>
      <c r="Q172" s="83">
        <v>0</v>
      </c>
      <c r="R172" s="83">
        <f t="shared" ref="R172:W172" si="111">SUM(R173:R179)</f>
        <v>0</v>
      </c>
      <c r="S172" s="83">
        <f t="shared" si="111"/>
        <v>0</v>
      </c>
      <c r="T172" s="83">
        <f t="shared" si="111"/>
        <v>0</v>
      </c>
      <c r="U172" s="83">
        <f t="shared" si="111"/>
        <v>0</v>
      </c>
      <c r="V172" s="83">
        <f t="shared" si="111"/>
        <v>0</v>
      </c>
      <c r="W172" s="83">
        <f t="shared" si="111"/>
        <v>0</v>
      </c>
      <c r="X172" s="83">
        <v>0</v>
      </c>
      <c r="Y172" s="83">
        <f t="shared" ref="Y172:AE172" si="112">SUM(Y173:Y179)</f>
        <v>0</v>
      </c>
      <c r="Z172" s="259"/>
      <c r="AA172" s="83">
        <f t="shared" si="112"/>
        <v>0</v>
      </c>
      <c r="AB172" s="83">
        <f t="shared" si="112"/>
        <v>0</v>
      </c>
      <c r="AC172" s="83">
        <f t="shared" si="112"/>
        <v>0</v>
      </c>
      <c r="AD172" s="83">
        <f t="shared" si="112"/>
        <v>0</v>
      </c>
      <c r="AE172" s="83">
        <f t="shared" si="112"/>
        <v>0</v>
      </c>
      <c r="AF172" s="83">
        <f>SUM(AG172:AI172)</f>
        <v>0</v>
      </c>
      <c r="AG172" s="83">
        <f>SUM(AG173:AG179)</f>
        <v>0</v>
      </c>
      <c r="AH172" s="83">
        <f>SUM(AH173:AH179)</f>
        <v>0</v>
      </c>
      <c r="AI172" s="83">
        <v>0</v>
      </c>
      <c r="AJ172" s="83">
        <v>0</v>
      </c>
      <c r="AK172" s="83">
        <f>SUM(AK173:AK179)</f>
        <v>0</v>
      </c>
      <c r="AL172" s="83">
        <f>SUM(AL173:AL179)</f>
        <v>0</v>
      </c>
      <c r="AM172" s="83">
        <f>SUM(AM173:AM179)</f>
        <v>0</v>
      </c>
      <c r="AN172" s="83">
        <f>SUM(AN173:AN179)</f>
        <v>0</v>
      </c>
      <c r="AO172" s="83">
        <f>SUM(AO173:AO179)</f>
        <v>0</v>
      </c>
      <c r="AP172" s="409"/>
      <c r="AQ172" s="259"/>
    </row>
    <row r="173" spans="1:43" s="266" customFormat="1" ht="18" hidden="1" customHeight="1" x14ac:dyDescent="0.25">
      <c r="A173" s="324"/>
      <c r="B173" s="252" t="s">
        <v>152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</f>
        <v>0</v>
      </c>
      <c r="R173" s="259">
        <f>S173</f>
        <v>0</v>
      </c>
      <c r="S173" s="259">
        <v>0</v>
      </c>
      <c r="T173" s="259">
        <v>0</v>
      </c>
      <c r="U173" s="259">
        <v>0</v>
      </c>
      <c r="V173" s="259"/>
      <c r="W173" s="259"/>
      <c r="X173" s="259"/>
      <c r="Y173" s="259"/>
      <c r="Z173" s="259"/>
      <c r="AA173" s="259">
        <v>0</v>
      </c>
      <c r="AB173" s="259"/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156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</f>
        <v>0</v>
      </c>
      <c r="R174" s="259"/>
      <c r="S174" s="259"/>
      <c r="T174" s="259"/>
      <c r="U174" s="259"/>
      <c r="V174" s="259">
        <v>0</v>
      </c>
      <c r="W174" s="259">
        <v>0</v>
      </c>
      <c r="X174" s="259"/>
      <c r="Y174" s="259"/>
      <c r="Z174" s="259"/>
      <c r="AA174" s="259">
        <v>0</v>
      </c>
      <c r="AB174" s="259">
        <v>0</v>
      </c>
      <c r="AC174" s="259"/>
      <c r="AD174" s="259"/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26.25" hidden="1" customHeight="1" x14ac:dyDescent="0.25">
      <c r="A175" s="324"/>
      <c r="B175" s="252" t="s">
        <v>229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/>
      <c r="U175" s="259"/>
      <c r="V175" s="259"/>
      <c r="W175" s="259"/>
      <c r="X175" s="259">
        <v>0</v>
      </c>
      <c r="Y175" s="259">
        <v>0</v>
      </c>
      <c r="Z175" s="259"/>
      <c r="AA175" s="259"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230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S176+U176+W176+Y176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>
        <v>0</v>
      </c>
      <c r="X176" s="259">
        <v>0</v>
      </c>
      <c r="Y176" s="259">
        <v>0</v>
      </c>
      <c r="Z176" s="259"/>
      <c r="AA176" s="259">
        <f>AB176+AC176</f>
        <v>0</v>
      </c>
      <c r="AB176" s="259">
        <v>0</v>
      </c>
      <c r="AC176" s="259">
        <v>0</v>
      </c>
      <c r="AD176" s="259">
        <v>0</v>
      </c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231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/>
      <c r="S177" s="259"/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f>AB177+AC177</f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18" hidden="1" customHeight="1" x14ac:dyDescent="0.25">
      <c r="A178" s="324"/>
      <c r="B178" s="252" t="s">
        <v>259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v>0</v>
      </c>
      <c r="R178" s="259"/>
      <c r="S178" s="259"/>
      <c r="T178" s="259">
        <v>0</v>
      </c>
      <c r="U178" s="259">
        <v>0</v>
      </c>
      <c r="V178" s="259"/>
      <c r="W178" s="259"/>
      <c r="X178" s="259"/>
      <c r="Y178" s="259"/>
      <c r="Z178" s="259"/>
      <c r="AA178" s="259">
        <f>AB178+AC178</f>
        <v>0</v>
      </c>
      <c r="AB178" s="259"/>
      <c r="AC178" s="259">
        <v>0</v>
      </c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153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/>
      <c r="X179" s="259">
        <v>0</v>
      </c>
      <c r="Y179" s="259">
        <v>0</v>
      </c>
      <c r="Z179" s="259"/>
      <c r="AA179" s="259">
        <v>0</v>
      </c>
      <c r="AB179" s="259">
        <v>0</v>
      </c>
      <c r="AC179" s="259"/>
      <c r="AD179" s="259"/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327" customFormat="1" ht="42" customHeight="1" x14ac:dyDescent="0.25">
      <c r="A180" s="1398" t="s">
        <v>167</v>
      </c>
      <c r="B180" s="772" t="s">
        <v>168</v>
      </c>
      <c r="C180" s="809"/>
      <c r="D180" s="809"/>
      <c r="E180" s="809"/>
      <c r="F180" s="312"/>
      <c r="G180" s="775"/>
      <c r="H180" s="810"/>
      <c r="I180" s="1326" t="s">
        <v>19</v>
      </c>
      <c r="J180" s="283"/>
      <c r="K180" s="811"/>
      <c r="L180" s="1008">
        <f>L181</f>
        <v>7644.31</v>
      </c>
      <c r="M180" s="1008">
        <f>M181</f>
        <v>0</v>
      </c>
      <c r="N180" s="1008">
        <f t="shared" ref="N180:AO180" si="113">N181</f>
        <v>377.26</v>
      </c>
      <c r="O180" s="1008">
        <f t="shared" si="113"/>
        <v>0</v>
      </c>
      <c r="P180" s="1008">
        <f>P181+P183</f>
        <v>70000</v>
      </c>
      <c r="Q180" s="1008">
        <f>Q181+Q183</f>
        <v>0</v>
      </c>
      <c r="R180" s="1008">
        <f t="shared" ref="R180:AA180" si="114">R181+R183</f>
        <v>0</v>
      </c>
      <c r="S180" s="1008">
        <f t="shared" si="114"/>
        <v>0</v>
      </c>
      <c r="T180" s="1008">
        <f t="shared" si="114"/>
        <v>0</v>
      </c>
      <c r="U180" s="1008">
        <f t="shared" si="114"/>
        <v>0</v>
      </c>
      <c r="V180" s="1008">
        <f t="shared" si="114"/>
        <v>0</v>
      </c>
      <c r="W180" s="1008">
        <f t="shared" si="114"/>
        <v>0</v>
      </c>
      <c r="X180" s="1008">
        <f t="shared" si="114"/>
        <v>0</v>
      </c>
      <c r="Y180" s="1008">
        <f t="shared" si="114"/>
        <v>0</v>
      </c>
      <c r="Z180" s="1008">
        <f t="shared" si="114"/>
        <v>0</v>
      </c>
      <c r="AA180" s="1008">
        <f t="shared" si="114"/>
        <v>0</v>
      </c>
      <c r="AB180" s="1008">
        <f t="shared" si="113"/>
        <v>0</v>
      </c>
      <c r="AC180" s="1008">
        <f t="shared" si="113"/>
        <v>0</v>
      </c>
      <c r="AD180" s="1008">
        <f t="shared" si="113"/>
        <v>0</v>
      </c>
      <c r="AE180" s="1008">
        <f t="shared" si="113"/>
        <v>0</v>
      </c>
      <c r="AF180" s="1008">
        <f t="shared" si="113"/>
        <v>0</v>
      </c>
      <c r="AG180" s="1008">
        <f t="shared" si="113"/>
        <v>0</v>
      </c>
      <c r="AH180" s="1008">
        <f t="shared" si="113"/>
        <v>0</v>
      </c>
      <c r="AI180" s="1008">
        <f t="shared" si="113"/>
        <v>0</v>
      </c>
      <c r="AJ180" s="1008">
        <f t="shared" si="113"/>
        <v>0</v>
      </c>
      <c r="AK180" s="1008">
        <f t="shared" si="113"/>
        <v>0</v>
      </c>
      <c r="AL180" s="1008">
        <f t="shared" si="113"/>
        <v>0</v>
      </c>
      <c r="AM180" s="1008">
        <f t="shared" si="113"/>
        <v>0</v>
      </c>
      <c r="AN180" s="1008">
        <f t="shared" si="113"/>
        <v>0</v>
      </c>
      <c r="AO180" s="1008">
        <f t="shared" si="113"/>
        <v>0</v>
      </c>
      <c r="AP180" s="806" t="s">
        <v>244</v>
      </c>
      <c r="AQ180" s="812">
        <v>0</v>
      </c>
    </row>
    <row r="181" spans="1:43" ht="18" customHeight="1" x14ac:dyDescent="0.25">
      <c r="A181" s="1488"/>
      <c r="B181" s="42" t="s">
        <v>15</v>
      </c>
      <c r="C181" s="334"/>
      <c r="D181" s="334"/>
      <c r="E181" s="334"/>
      <c r="F181" s="313"/>
      <c r="G181" s="335"/>
      <c r="H181" s="336"/>
      <c r="I181" s="1328"/>
      <c r="J181" s="1033"/>
      <c r="K181" s="649"/>
      <c r="L181" s="1031">
        <v>7644.31</v>
      </c>
      <c r="M181" s="83">
        <v>0</v>
      </c>
      <c r="N181" s="83">
        <v>377.26</v>
      </c>
      <c r="O181" s="83">
        <v>0</v>
      </c>
      <c r="P181" s="83">
        <v>7000</v>
      </c>
      <c r="Q181" s="83">
        <v>0</v>
      </c>
      <c r="R181" s="83">
        <v>0</v>
      </c>
      <c r="S181" s="83">
        <v>0</v>
      </c>
      <c r="T181" s="83">
        <f>SUM(T182:T183)</f>
        <v>0</v>
      </c>
      <c r="U181" s="83">
        <f>SUM(U182:U183)</f>
        <v>0</v>
      </c>
      <c r="V181" s="83">
        <f t="shared" ref="V181:AE181" si="115">SUM(V182:V183)</f>
        <v>0</v>
      </c>
      <c r="W181" s="83">
        <f t="shared" si="115"/>
        <v>0</v>
      </c>
      <c r="X181" s="83">
        <f t="shared" si="115"/>
        <v>0</v>
      </c>
      <c r="Y181" s="83">
        <f t="shared" si="115"/>
        <v>0</v>
      </c>
      <c r="Z181" s="259"/>
      <c r="AA181" s="83">
        <f t="shared" si="115"/>
        <v>0</v>
      </c>
      <c r="AB181" s="83">
        <f t="shared" si="115"/>
        <v>0</v>
      </c>
      <c r="AC181" s="83">
        <f t="shared" si="115"/>
        <v>0</v>
      </c>
      <c r="AD181" s="83">
        <f t="shared" si="115"/>
        <v>0</v>
      </c>
      <c r="AE181" s="83">
        <f t="shared" si="115"/>
        <v>0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0</v>
      </c>
      <c r="AL181" s="83">
        <v>0</v>
      </c>
      <c r="AM181" s="83">
        <v>0</v>
      </c>
      <c r="AN181" s="83">
        <v>0</v>
      </c>
      <c r="AO181" s="83">
        <v>0</v>
      </c>
      <c r="AP181" s="409"/>
      <c r="AQ181" s="259"/>
    </row>
    <row r="182" spans="1:43" s="266" customFormat="1" ht="18" hidden="1" customHeight="1" x14ac:dyDescent="0.25">
      <c r="A182" s="366"/>
      <c r="B182" s="252" t="s">
        <v>232</v>
      </c>
      <c r="C182" s="253"/>
      <c r="D182" s="253"/>
      <c r="E182" s="253"/>
      <c r="F182" s="363"/>
      <c r="G182" s="255"/>
      <c r="H182" s="256"/>
      <c r="I182" s="367"/>
      <c r="J182" s="533"/>
      <c r="K182" s="534"/>
      <c r="L182" s="258"/>
      <c r="M182" s="259"/>
      <c r="N182" s="259"/>
      <c r="O182" s="259"/>
      <c r="P182" s="83"/>
      <c r="Q182" s="259"/>
      <c r="R182" s="259"/>
      <c r="S182" s="259"/>
      <c r="T182" s="259"/>
      <c r="U182" s="259"/>
      <c r="V182" s="259"/>
      <c r="W182" s="259"/>
      <c r="X182" s="83"/>
      <c r="Y182" s="83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ht="18" customHeight="1" x14ac:dyDescent="0.25">
      <c r="A183" s="1010"/>
      <c r="B183" s="42" t="s">
        <v>32</v>
      </c>
      <c r="C183" s="334"/>
      <c r="D183" s="334"/>
      <c r="E183" s="334"/>
      <c r="F183" s="313"/>
      <c r="G183" s="335"/>
      <c r="H183" s="336"/>
      <c r="I183" s="995"/>
      <c r="J183" s="1033"/>
      <c r="K183" s="649"/>
      <c r="L183" s="1031"/>
      <c r="M183" s="83"/>
      <c r="N183" s="83"/>
      <c r="O183" s="83"/>
      <c r="P183" s="83">
        <v>63000</v>
      </c>
      <c r="Q183" s="83">
        <f>S183+U183</f>
        <v>0</v>
      </c>
      <c r="R183" s="83"/>
      <c r="S183" s="83"/>
      <c r="T183" s="83">
        <v>0</v>
      </c>
      <c r="U183" s="83">
        <v>0</v>
      </c>
      <c r="V183" s="83"/>
      <c r="W183" s="83"/>
      <c r="X183" s="83"/>
      <c r="Y183" s="83"/>
      <c r="Z183" s="83"/>
      <c r="AA183" s="83">
        <f>SUM(AB183:AC183)</f>
        <v>0</v>
      </c>
      <c r="AB183" s="83"/>
      <c r="AC183" s="83">
        <v>0</v>
      </c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409"/>
      <c r="AQ183" s="83"/>
    </row>
    <row r="184" spans="1:43" s="327" customFormat="1" ht="26.25" customHeight="1" x14ac:dyDescent="0.25">
      <c r="A184" s="1398" t="s">
        <v>169</v>
      </c>
      <c r="B184" s="772" t="s">
        <v>170</v>
      </c>
      <c r="C184" s="809"/>
      <c r="D184" s="809"/>
      <c r="E184" s="809"/>
      <c r="F184" s="312"/>
      <c r="G184" s="775"/>
      <c r="H184" s="810"/>
      <c r="I184" s="1326" t="s">
        <v>19</v>
      </c>
      <c r="J184" s="283"/>
      <c r="K184" s="811"/>
      <c r="L184" s="1008">
        <f>L185</f>
        <v>8790.08</v>
      </c>
      <c r="M184" s="1008">
        <f>M185</f>
        <v>0</v>
      </c>
      <c r="N184" s="1008">
        <f t="shared" ref="N184:AO185" si="116">N185</f>
        <v>612.4</v>
      </c>
      <c r="O184" s="1008">
        <f t="shared" si="116"/>
        <v>7188.28</v>
      </c>
      <c r="P184" s="1008">
        <v>1215.26</v>
      </c>
      <c r="Q184" s="1008">
        <v>0</v>
      </c>
      <c r="R184" s="1008">
        <f t="shared" si="116"/>
        <v>0</v>
      </c>
      <c r="S184" s="1008">
        <f t="shared" si="116"/>
        <v>0</v>
      </c>
      <c r="T184" s="1008">
        <f t="shared" si="116"/>
        <v>0</v>
      </c>
      <c r="U184" s="1008">
        <f t="shared" si="116"/>
        <v>2205.3380000000002</v>
      </c>
      <c r="V184" s="1008">
        <f t="shared" si="116"/>
        <v>0</v>
      </c>
      <c r="W184" s="1008">
        <f t="shared" si="116"/>
        <v>0</v>
      </c>
      <c r="X184" s="1008">
        <f t="shared" si="116"/>
        <v>0</v>
      </c>
      <c r="Y184" s="1008">
        <f t="shared" si="116"/>
        <v>0</v>
      </c>
      <c r="Z184" s="1008">
        <v>0</v>
      </c>
      <c r="AA184" s="1008">
        <v>0</v>
      </c>
      <c r="AB184" s="1008">
        <f>AB185</f>
        <v>2205.337</v>
      </c>
      <c r="AC184" s="1008">
        <f>AC185</f>
        <v>0</v>
      </c>
      <c r="AD184" s="1008">
        <f>AD185</f>
        <v>0</v>
      </c>
      <c r="AE184" s="1008">
        <f>AE185</f>
        <v>0</v>
      </c>
      <c r="AF184" s="1008">
        <f t="shared" si="116"/>
        <v>0</v>
      </c>
      <c r="AG184" s="1008">
        <f t="shared" si="116"/>
        <v>0</v>
      </c>
      <c r="AH184" s="1008">
        <f t="shared" si="116"/>
        <v>0</v>
      </c>
      <c r="AI184" s="1008">
        <f t="shared" si="116"/>
        <v>0</v>
      </c>
      <c r="AJ184" s="1008">
        <f t="shared" si="116"/>
        <v>0</v>
      </c>
      <c r="AK184" s="1008">
        <f t="shared" si="116"/>
        <v>0</v>
      </c>
      <c r="AL184" s="1008">
        <f t="shared" si="116"/>
        <v>0</v>
      </c>
      <c r="AM184" s="1008">
        <f t="shared" si="116"/>
        <v>0</v>
      </c>
      <c r="AN184" s="1008">
        <f t="shared" si="116"/>
        <v>0</v>
      </c>
      <c r="AO184" s="1008">
        <f t="shared" si="116"/>
        <v>0</v>
      </c>
      <c r="AP184" s="806"/>
      <c r="AQ184" s="1008">
        <v>0</v>
      </c>
    </row>
    <row r="185" spans="1:43" ht="24" hidden="1" customHeight="1" x14ac:dyDescent="0.25">
      <c r="A185" s="1488"/>
      <c r="B185" s="42" t="s">
        <v>15</v>
      </c>
      <c r="C185" s="334"/>
      <c r="D185" s="334"/>
      <c r="E185" s="334"/>
      <c r="F185" s="313"/>
      <c r="G185" s="335"/>
      <c r="H185" s="336"/>
      <c r="I185" s="1328"/>
      <c r="J185" s="1033"/>
      <c r="K185" s="649"/>
      <c r="L185" s="1031">
        <v>8790.08</v>
      </c>
      <c r="M185" s="83">
        <v>0</v>
      </c>
      <c r="N185" s="83">
        <v>612.4</v>
      </c>
      <c r="O185" s="83">
        <v>7188.28</v>
      </c>
      <c r="P185" s="83">
        <v>8177.68</v>
      </c>
      <c r="Q185" s="83">
        <f>Q186</f>
        <v>2205.3380000000002</v>
      </c>
      <c r="R185" s="83">
        <f t="shared" si="116"/>
        <v>0</v>
      </c>
      <c r="S185" s="83">
        <f t="shared" si="116"/>
        <v>0</v>
      </c>
      <c r="T185" s="83">
        <f t="shared" si="116"/>
        <v>0</v>
      </c>
      <c r="U185" s="83">
        <f t="shared" si="116"/>
        <v>2205.3380000000002</v>
      </c>
      <c r="V185" s="83">
        <f t="shared" si="116"/>
        <v>0</v>
      </c>
      <c r="W185" s="83">
        <f t="shared" si="116"/>
        <v>0</v>
      </c>
      <c r="X185" s="83">
        <f t="shared" si="116"/>
        <v>0</v>
      </c>
      <c r="Y185" s="83">
        <f t="shared" si="116"/>
        <v>0</v>
      </c>
      <c r="Z185" s="259"/>
      <c r="AA185" s="83">
        <f t="shared" si="116"/>
        <v>2205.337</v>
      </c>
      <c r="AB185" s="83">
        <f t="shared" si="116"/>
        <v>2205.337</v>
      </c>
      <c r="AC185" s="83">
        <f t="shared" si="116"/>
        <v>0</v>
      </c>
      <c r="AD185" s="83">
        <f>AD186</f>
        <v>0</v>
      </c>
      <c r="AE185" s="83">
        <f>AE186</f>
        <v>0</v>
      </c>
      <c r="AF185" s="83">
        <f t="shared" si="116"/>
        <v>0</v>
      </c>
      <c r="AG185" s="83">
        <f t="shared" si="116"/>
        <v>0</v>
      </c>
      <c r="AH185" s="83">
        <v>0</v>
      </c>
      <c r="AI185" s="83">
        <v>0</v>
      </c>
      <c r="AJ185" s="83">
        <v>0</v>
      </c>
      <c r="AK185" s="83">
        <v>0</v>
      </c>
      <c r="AL185" s="83">
        <v>0</v>
      </c>
      <c r="AM185" s="83">
        <v>0</v>
      </c>
      <c r="AN185" s="83">
        <v>0</v>
      </c>
      <c r="AO185" s="83">
        <v>0</v>
      </c>
      <c r="AP185" s="409"/>
      <c r="AQ185" s="259"/>
    </row>
    <row r="186" spans="1:43" s="266" customFormat="1" ht="27" hidden="1" customHeight="1" x14ac:dyDescent="0.25">
      <c r="A186" s="366"/>
      <c r="B186" s="252" t="s">
        <v>302</v>
      </c>
      <c r="C186" s="253"/>
      <c r="D186" s="253"/>
      <c r="E186" s="253"/>
      <c r="F186" s="363"/>
      <c r="G186" s="255"/>
      <c r="H186" s="256"/>
      <c r="I186" s="367"/>
      <c r="J186" s="533"/>
      <c r="K186" s="534"/>
      <c r="L186" s="258"/>
      <c r="M186" s="259"/>
      <c r="N186" s="259"/>
      <c r="O186" s="259"/>
      <c r="P186" s="259"/>
      <c r="Q186" s="259">
        <f>S186+U186</f>
        <v>2205.3380000000002</v>
      </c>
      <c r="R186" s="259"/>
      <c r="S186" s="259"/>
      <c r="T186" s="259"/>
      <c r="U186" s="259">
        <v>2205.3380000000002</v>
      </c>
      <c r="V186" s="259"/>
      <c r="W186" s="259"/>
      <c r="X186" s="259"/>
      <c r="Y186" s="259"/>
      <c r="Z186" s="259"/>
      <c r="AA186" s="259">
        <f>AB186</f>
        <v>2205.337</v>
      </c>
      <c r="AB186" s="259">
        <v>2205.337</v>
      </c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411"/>
      <c r="AQ186" s="259"/>
    </row>
    <row r="187" spans="1:43" s="327" customFormat="1" ht="43.5" customHeight="1" x14ac:dyDescent="0.25">
      <c r="A187" s="1398" t="s">
        <v>171</v>
      </c>
      <c r="B187" s="772" t="s">
        <v>172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1008">
        <f>L188+L194</f>
        <v>204849.53</v>
      </c>
      <c r="M187" s="1008">
        <f>M188+M194</f>
        <v>195485</v>
      </c>
      <c r="N187" s="1008">
        <f>N188+N194</f>
        <v>203676.84</v>
      </c>
      <c r="O187" s="1008">
        <f t="shared" ref="O187:AO187" si="117">O188</f>
        <v>1116.69</v>
      </c>
      <c r="P187" s="1008">
        <f>P188+P194</f>
        <v>0</v>
      </c>
      <c r="Q187" s="1008">
        <f t="shared" si="117"/>
        <v>0</v>
      </c>
      <c r="R187" s="1008">
        <f t="shared" si="117"/>
        <v>0</v>
      </c>
      <c r="S187" s="1008">
        <f t="shared" si="117"/>
        <v>3000</v>
      </c>
      <c r="T187" s="1008">
        <f t="shared" si="117"/>
        <v>0</v>
      </c>
      <c r="U187" s="1008">
        <f t="shared" si="117"/>
        <v>0</v>
      </c>
      <c r="V187" s="1008">
        <f t="shared" si="117"/>
        <v>0</v>
      </c>
      <c r="W187" s="1008">
        <f t="shared" si="117"/>
        <v>0</v>
      </c>
      <c r="X187" s="1008">
        <f t="shared" si="117"/>
        <v>0</v>
      </c>
      <c r="Y187" s="1008">
        <f t="shared" si="117"/>
        <v>0</v>
      </c>
      <c r="Z187" s="812">
        <v>0</v>
      </c>
      <c r="AA187" s="1008">
        <f t="shared" si="117"/>
        <v>0</v>
      </c>
      <c r="AB187" s="1008">
        <f t="shared" si="117"/>
        <v>0</v>
      </c>
      <c r="AC187" s="1008">
        <f t="shared" si="117"/>
        <v>0</v>
      </c>
      <c r="AD187" s="1008">
        <f t="shared" si="117"/>
        <v>0</v>
      </c>
      <c r="AE187" s="1008">
        <f t="shared" si="117"/>
        <v>0</v>
      </c>
      <c r="AF187" s="1008">
        <f t="shared" si="117"/>
        <v>0</v>
      </c>
      <c r="AG187" s="1008">
        <f t="shared" si="117"/>
        <v>0</v>
      </c>
      <c r="AH187" s="1008">
        <f t="shared" si="117"/>
        <v>0</v>
      </c>
      <c r="AI187" s="1008">
        <f t="shared" si="117"/>
        <v>0</v>
      </c>
      <c r="AJ187" s="1008">
        <f t="shared" si="117"/>
        <v>0</v>
      </c>
      <c r="AK187" s="1008">
        <f t="shared" si="117"/>
        <v>0</v>
      </c>
      <c r="AL187" s="1008">
        <f t="shared" si="117"/>
        <v>0</v>
      </c>
      <c r="AM187" s="1008">
        <f t="shared" si="117"/>
        <v>0</v>
      </c>
      <c r="AN187" s="1008">
        <f t="shared" si="117"/>
        <v>0</v>
      </c>
      <c r="AO187" s="1008">
        <f t="shared" si="117"/>
        <v>0</v>
      </c>
      <c r="AP187" s="813" t="s">
        <v>295</v>
      </c>
      <c r="AQ187" s="812">
        <v>0</v>
      </c>
    </row>
    <row r="188" spans="1:43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1033"/>
      <c r="K188" s="649"/>
      <c r="L188" s="1031">
        <v>9364.5300000000007</v>
      </c>
      <c r="M188" s="83">
        <v>0</v>
      </c>
      <c r="N188" s="83">
        <v>8191.84</v>
      </c>
      <c r="O188" s="83">
        <v>1116.69</v>
      </c>
      <c r="P188" s="83">
        <v>0</v>
      </c>
      <c r="Q188" s="83">
        <v>0</v>
      </c>
      <c r="R188" s="83">
        <f>P188</f>
        <v>0</v>
      </c>
      <c r="S188" s="83">
        <f>SUM(S189:S193)</f>
        <v>3000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259"/>
      <c r="AA188" s="83">
        <f>SUM(AA189:AA193)</f>
        <v>0</v>
      </c>
      <c r="AB188" s="83">
        <f t="shared" ref="AB188:AJ188" si="118">SUM(AB189:AB191)</f>
        <v>0</v>
      </c>
      <c r="AC188" s="83">
        <f t="shared" si="118"/>
        <v>0</v>
      </c>
      <c r="AD188" s="83">
        <f t="shared" si="118"/>
        <v>0</v>
      </c>
      <c r="AE188" s="83">
        <f>SUM(AE189:AE193)</f>
        <v>0</v>
      </c>
      <c r="AF188" s="83">
        <f t="shared" si="118"/>
        <v>0</v>
      </c>
      <c r="AG188" s="83">
        <f t="shared" si="118"/>
        <v>0</v>
      </c>
      <c r="AH188" s="83">
        <f t="shared" si="118"/>
        <v>0</v>
      </c>
      <c r="AI188" s="83">
        <f t="shared" si="118"/>
        <v>0</v>
      </c>
      <c r="AJ188" s="83">
        <f t="shared" si="118"/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15.75" hidden="1" x14ac:dyDescent="0.25">
      <c r="A189" s="324"/>
      <c r="B189" s="252" t="s">
        <v>233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83"/>
      <c r="Q189" s="259">
        <f>Y189</f>
        <v>0</v>
      </c>
      <c r="R189" s="259"/>
      <c r="S189" s="259"/>
      <c r="T189" s="259"/>
      <c r="U189" s="259"/>
      <c r="V189" s="259"/>
      <c r="W189" s="259"/>
      <c r="X189" s="259">
        <f>Y189</f>
        <v>0</v>
      </c>
      <c r="Y189" s="83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262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S190+U190+W190</f>
        <v>3000</v>
      </c>
      <c r="R190" s="259">
        <f>S190</f>
        <v>3000</v>
      </c>
      <c r="S190" s="259">
        <v>3000</v>
      </c>
      <c r="T190" s="259">
        <f>U190</f>
        <v>0</v>
      </c>
      <c r="U190" s="259">
        <v>0</v>
      </c>
      <c r="V190" s="259"/>
      <c r="W190" s="259">
        <v>0</v>
      </c>
      <c r="X190" s="259"/>
      <c r="Y190" s="259"/>
      <c r="Z190" s="259"/>
      <c r="AA190" s="259">
        <f>SUM(AB190:AC190)</f>
        <v>0</v>
      </c>
      <c r="AB190" s="259"/>
      <c r="AC190" s="259">
        <v>0</v>
      </c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263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v>0</v>
      </c>
      <c r="R191" s="259">
        <v>0</v>
      </c>
      <c r="S191" s="259">
        <v>0</v>
      </c>
      <c r="T191" s="259">
        <v>0</v>
      </c>
      <c r="U191" s="259">
        <v>0</v>
      </c>
      <c r="V191" s="259"/>
      <c r="W191" s="259"/>
      <c r="X191" s="259"/>
      <c r="Y191" s="259"/>
      <c r="Z191" s="259"/>
      <c r="AA191" s="259">
        <f>SUM(AB191:AC191)</f>
        <v>0</v>
      </c>
      <c r="AB191" s="259"/>
      <c r="AC191" s="259">
        <v>0</v>
      </c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s="266" customFormat="1" ht="15.75" hidden="1" x14ac:dyDescent="0.25">
      <c r="A192" s="324"/>
      <c r="B192" s="252" t="s">
        <v>292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259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259">
        <v>0</v>
      </c>
      <c r="Z192" s="259"/>
      <c r="AA192" s="259">
        <f>SUM(AB192:AE192)</f>
        <v>0</v>
      </c>
      <c r="AB192" s="259"/>
      <c r="AC192" s="259"/>
      <c r="AD192" s="259"/>
      <c r="AE192" s="259">
        <v>0</v>
      </c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293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Y193</f>
        <v>0</v>
      </c>
      <c r="R193" s="259"/>
      <c r="S193" s="259"/>
      <c r="T193" s="259"/>
      <c r="U193" s="259"/>
      <c r="V193" s="259"/>
      <c r="W193" s="259"/>
      <c r="X193" s="259">
        <f>Y193</f>
        <v>0</v>
      </c>
      <c r="Y193" s="259">
        <v>0</v>
      </c>
      <c r="Z193" s="259"/>
      <c r="AA193" s="259">
        <f>SUM(AB193:AE193)</f>
        <v>0</v>
      </c>
      <c r="AB193" s="259"/>
      <c r="AC193" s="259"/>
      <c r="AD193" s="259"/>
      <c r="AE193" s="259">
        <v>0</v>
      </c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ht="17.25" customHeight="1" x14ac:dyDescent="0.25">
      <c r="A194" s="1016"/>
      <c r="B194" s="42" t="s">
        <v>32</v>
      </c>
      <c r="C194" s="334"/>
      <c r="D194" s="334"/>
      <c r="E194" s="334"/>
      <c r="F194" s="313"/>
      <c r="G194" s="335"/>
      <c r="H194" s="336"/>
      <c r="I194" s="1012" t="s">
        <v>10</v>
      </c>
      <c r="J194" s="1033"/>
      <c r="K194" s="649"/>
      <c r="L194" s="1031">
        <v>195485</v>
      </c>
      <c r="M194" s="1031">
        <v>195485</v>
      </c>
      <c r="N194" s="1031">
        <v>195485</v>
      </c>
      <c r="O194" s="1031">
        <v>195485</v>
      </c>
      <c r="P194" s="1031">
        <v>0</v>
      </c>
      <c r="Q194" s="83"/>
      <c r="R194" s="83"/>
      <c r="S194" s="83"/>
      <c r="T194" s="83"/>
      <c r="U194" s="83"/>
      <c r="V194" s="83"/>
      <c r="W194" s="83"/>
      <c r="X194" s="83"/>
      <c r="Y194" s="83"/>
      <c r="Z194" s="259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s="327" customFormat="1" ht="25.5" x14ac:dyDescent="0.25">
      <c r="A195" s="1041"/>
      <c r="B195" s="772" t="s">
        <v>409</v>
      </c>
      <c r="C195" s="809"/>
      <c r="D195" s="809"/>
      <c r="E195" s="809"/>
      <c r="F195" s="312"/>
      <c r="G195" s="775"/>
      <c r="H195" s="810"/>
      <c r="I195" s="1043"/>
      <c r="J195" s="283"/>
      <c r="K195" s="811"/>
      <c r="L195" s="1008"/>
      <c r="M195" s="1008"/>
      <c r="N195" s="1008"/>
      <c r="O195" s="1008"/>
      <c r="P195" s="1008">
        <f>P196+P197</f>
        <v>12759.949999999999</v>
      </c>
      <c r="Q195" s="816">
        <v>0</v>
      </c>
      <c r="R195" s="816"/>
      <c r="S195" s="816"/>
      <c r="T195" s="816"/>
      <c r="U195" s="816"/>
      <c r="V195" s="816"/>
      <c r="W195" s="816"/>
      <c r="X195" s="816"/>
      <c r="Y195" s="816"/>
      <c r="Z195" s="817"/>
      <c r="AA195" s="816">
        <v>0</v>
      </c>
      <c r="AB195" s="816"/>
      <c r="AC195" s="816"/>
      <c r="AD195" s="816"/>
      <c r="AE195" s="816"/>
      <c r="AF195" s="816"/>
      <c r="AG195" s="816"/>
      <c r="AH195" s="816"/>
      <c r="AI195" s="816"/>
      <c r="AJ195" s="816"/>
      <c r="AK195" s="816"/>
      <c r="AL195" s="816"/>
      <c r="AM195" s="816"/>
      <c r="AN195" s="816"/>
      <c r="AO195" s="816"/>
      <c r="AP195" s="818"/>
      <c r="AQ195" s="817"/>
    </row>
    <row r="196" spans="1:43" ht="15.75" x14ac:dyDescent="0.25">
      <c r="A196" s="1016"/>
      <c r="B196" s="42" t="s">
        <v>39</v>
      </c>
      <c r="C196" s="334"/>
      <c r="D196" s="334"/>
      <c r="E196" s="334"/>
      <c r="F196" s="313"/>
      <c r="G196" s="335"/>
      <c r="H196" s="336"/>
      <c r="I196" s="1012"/>
      <c r="J196" s="1033"/>
      <c r="K196" s="649"/>
      <c r="L196" s="1031"/>
      <c r="M196" s="1031"/>
      <c r="N196" s="1031"/>
      <c r="O196" s="1031"/>
      <c r="P196" s="1031">
        <v>1652.72</v>
      </c>
      <c r="Q196" s="83">
        <v>0</v>
      </c>
      <c r="R196" s="83"/>
      <c r="S196" s="83"/>
      <c r="T196" s="83"/>
      <c r="U196" s="83"/>
      <c r="V196" s="83"/>
      <c r="W196" s="83"/>
      <c r="X196" s="83"/>
      <c r="Y196" s="83"/>
      <c r="Z196" s="259"/>
      <c r="AA196" s="83">
        <v>0</v>
      </c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409"/>
      <c r="AQ196" s="259"/>
    </row>
    <row r="197" spans="1:43" ht="15.75" x14ac:dyDescent="0.25">
      <c r="A197" s="1016"/>
      <c r="B197" s="42" t="s">
        <v>32</v>
      </c>
      <c r="C197" s="334"/>
      <c r="D197" s="334"/>
      <c r="E197" s="334"/>
      <c r="F197" s="313"/>
      <c r="G197" s="335"/>
      <c r="H197" s="336"/>
      <c r="I197" s="996"/>
      <c r="J197" s="1033"/>
      <c r="K197" s="649"/>
      <c r="L197" s="1031"/>
      <c r="M197" s="83"/>
      <c r="N197" s="83"/>
      <c r="O197" s="83"/>
      <c r="P197" s="83">
        <v>11107.23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83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83"/>
    </row>
    <row r="198" spans="1:43" s="327" customFormat="1" ht="15.75" x14ac:dyDescent="0.25">
      <c r="A198" s="1041"/>
      <c r="B198" s="772" t="s">
        <v>410</v>
      </c>
      <c r="C198" s="809"/>
      <c r="D198" s="809"/>
      <c r="E198" s="809"/>
      <c r="F198" s="312"/>
      <c r="G198" s="775"/>
      <c r="H198" s="810"/>
      <c r="I198" s="1043"/>
      <c r="J198" s="283"/>
      <c r="K198" s="811"/>
      <c r="L198" s="1008"/>
      <c r="M198" s="1008"/>
      <c r="N198" s="1008"/>
      <c r="O198" s="1008"/>
      <c r="P198" s="1008">
        <f>P199+P200</f>
        <v>21627.71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1016"/>
      <c r="B199" s="42" t="s">
        <v>39</v>
      </c>
      <c r="C199" s="334"/>
      <c r="D199" s="334"/>
      <c r="E199" s="334"/>
      <c r="F199" s="313"/>
      <c r="G199" s="335"/>
      <c r="H199" s="336"/>
      <c r="I199" s="1012"/>
      <c r="J199" s="1033"/>
      <c r="K199" s="649"/>
      <c r="L199" s="1031"/>
      <c r="M199" s="1031"/>
      <c r="N199" s="1031"/>
      <c r="O199" s="1031"/>
      <c r="P199" s="1031">
        <v>1821.34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1016"/>
      <c r="B200" s="42" t="s">
        <v>16</v>
      </c>
      <c r="C200" s="334"/>
      <c r="D200" s="334"/>
      <c r="E200" s="334"/>
      <c r="F200" s="313"/>
      <c r="G200" s="335"/>
      <c r="H200" s="336"/>
      <c r="I200" s="996"/>
      <c r="J200" s="1033"/>
      <c r="K200" s="649"/>
      <c r="L200" s="1031"/>
      <c r="M200" s="83"/>
      <c r="N200" s="83"/>
      <c r="O200" s="83"/>
      <c r="P200" s="83">
        <v>19806.37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25.5" x14ac:dyDescent="0.25">
      <c r="A201" s="1041"/>
      <c r="B201" s="772" t="s">
        <v>411</v>
      </c>
      <c r="C201" s="809"/>
      <c r="D201" s="809"/>
      <c r="E201" s="809"/>
      <c r="F201" s="312"/>
      <c r="G201" s="775"/>
      <c r="H201" s="810"/>
      <c r="I201" s="1043"/>
      <c r="J201" s="283"/>
      <c r="K201" s="811"/>
      <c r="L201" s="1008"/>
      <c r="M201" s="1008"/>
      <c r="N201" s="1008"/>
      <c r="O201" s="1008"/>
      <c r="P201" s="1008">
        <f>P202+P203</f>
        <v>12759.59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1016"/>
      <c r="B202" s="42" t="s">
        <v>39</v>
      </c>
      <c r="C202" s="334"/>
      <c r="D202" s="334"/>
      <c r="E202" s="334"/>
      <c r="F202" s="313"/>
      <c r="G202" s="335"/>
      <c r="H202" s="336"/>
      <c r="I202" s="1012"/>
      <c r="J202" s="1033"/>
      <c r="K202" s="649"/>
      <c r="L202" s="1031"/>
      <c r="M202" s="1031"/>
      <c r="N202" s="1031"/>
      <c r="O202" s="1031"/>
      <c r="P202" s="1031">
        <v>1652.36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1016"/>
      <c r="B203" s="42" t="s">
        <v>32</v>
      </c>
      <c r="C203" s="334"/>
      <c r="D203" s="334"/>
      <c r="E203" s="334"/>
      <c r="F203" s="313"/>
      <c r="G203" s="335"/>
      <c r="H203" s="336"/>
      <c r="I203" s="996"/>
      <c r="J203" s="1033"/>
      <c r="K203" s="649"/>
      <c r="L203" s="1031"/>
      <c r="M203" s="83"/>
      <c r="N203" s="83"/>
      <c r="O203" s="83"/>
      <c r="P203" s="83">
        <v>11107.23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ht="43.5" hidden="1" customHeight="1" x14ac:dyDescent="0.25">
      <c r="A204" s="1535" t="s">
        <v>24</v>
      </c>
      <c r="B204" s="1613" t="s">
        <v>206</v>
      </c>
      <c r="C204" s="1614"/>
      <c r="D204" s="1614"/>
      <c r="E204" s="1614"/>
      <c r="F204" s="1614"/>
      <c r="G204" s="1614"/>
      <c r="H204" s="1615"/>
      <c r="I204" s="23" t="s">
        <v>19</v>
      </c>
      <c r="J204" s="1033">
        <v>0</v>
      </c>
      <c r="K204" s="1033">
        <v>0</v>
      </c>
      <c r="L204" s="47">
        <v>0</v>
      </c>
      <c r="M204" s="47">
        <v>0</v>
      </c>
      <c r="N204" s="47">
        <v>0</v>
      </c>
      <c r="O204" s="47">
        <v>1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96"/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41.25" hidden="1" customHeight="1" x14ac:dyDescent="0.25">
      <c r="A205" s="1535"/>
      <c r="B205" s="1616"/>
      <c r="C205" s="1617"/>
      <c r="D205" s="1617"/>
      <c r="E205" s="1617"/>
      <c r="F205" s="1617"/>
      <c r="G205" s="1617"/>
      <c r="H205" s="1618"/>
      <c r="I205" s="23" t="s">
        <v>20</v>
      </c>
      <c r="J205" s="1033">
        <f>J208</f>
        <v>6379.79</v>
      </c>
      <c r="K205" s="1033">
        <f>K208</f>
        <v>0</v>
      </c>
      <c r="L205" s="47">
        <f t="shared" ref="L205:AK205" si="119">L208+L213+L219</f>
        <v>13097.62</v>
      </c>
      <c r="M205" s="47">
        <f t="shared" si="119"/>
        <v>4269.0300000000007</v>
      </c>
      <c r="N205" s="47">
        <f t="shared" si="119"/>
        <v>5370.84</v>
      </c>
      <c r="O205" s="47">
        <f t="shared" si="119"/>
        <v>3372.5</v>
      </c>
      <c r="P205" s="47">
        <f t="shared" si="119"/>
        <v>78556.570000000007</v>
      </c>
      <c r="Q205" s="47">
        <f t="shared" si="119"/>
        <v>0</v>
      </c>
      <c r="R205" s="47">
        <f t="shared" si="119"/>
        <v>0</v>
      </c>
      <c r="S205" s="47">
        <f t="shared" si="119"/>
        <v>0</v>
      </c>
      <c r="T205" s="47">
        <f t="shared" si="119"/>
        <v>753.46</v>
      </c>
      <c r="U205" s="47">
        <f t="shared" si="119"/>
        <v>753.46</v>
      </c>
      <c r="V205" s="47">
        <f t="shared" si="119"/>
        <v>4173.82</v>
      </c>
      <c r="W205" s="47">
        <f t="shared" si="119"/>
        <v>4173.82</v>
      </c>
      <c r="X205" s="47">
        <f t="shared" si="119"/>
        <v>0</v>
      </c>
      <c r="Y205" s="47">
        <f t="shared" si="119"/>
        <v>0</v>
      </c>
      <c r="Z205" s="96"/>
      <c r="AA205" s="47">
        <f t="shared" si="119"/>
        <v>0</v>
      </c>
      <c r="AB205" s="47">
        <f t="shared" si="119"/>
        <v>0</v>
      </c>
      <c r="AC205" s="47">
        <f t="shared" si="119"/>
        <v>753.46</v>
      </c>
      <c r="AD205" s="47">
        <f t="shared" si="119"/>
        <v>4900</v>
      </c>
      <c r="AE205" s="47">
        <f t="shared" si="119"/>
        <v>0</v>
      </c>
      <c r="AF205" s="47">
        <f t="shared" si="119"/>
        <v>0</v>
      </c>
      <c r="AG205" s="47">
        <f t="shared" si="119"/>
        <v>0</v>
      </c>
      <c r="AH205" s="47">
        <f t="shared" si="119"/>
        <v>0</v>
      </c>
      <c r="AI205" s="47">
        <f t="shared" si="119"/>
        <v>0</v>
      </c>
      <c r="AJ205" s="47">
        <f t="shared" si="119"/>
        <v>0</v>
      </c>
      <c r="AK205" s="47">
        <f t="shared" si="119"/>
        <v>78556.570000000007</v>
      </c>
      <c r="AL205" s="47">
        <f>AL208</f>
        <v>78556.570000000007</v>
      </c>
      <c r="AM205" s="47">
        <f>AM208</f>
        <v>0</v>
      </c>
      <c r="AN205" s="47">
        <f>AN208</f>
        <v>0</v>
      </c>
      <c r="AO205" s="47">
        <f>AO208</f>
        <v>0</v>
      </c>
      <c r="AP205" s="397"/>
      <c r="AQ205" s="96"/>
    </row>
    <row r="206" spans="1:43" ht="38.25" hidden="1" customHeight="1" x14ac:dyDescent="0.25">
      <c r="A206" s="1535"/>
      <c r="B206" s="1616"/>
      <c r="C206" s="1617"/>
      <c r="D206" s="1617"/>
      <c r="E206" s="1617"/>
      <c r="F206" s="1617"/>
      <c r="G206" s="1617"/>
      <c r="H206" s="1618"/>
      <c r="I206" s="23" t="s">
        <v>10</v>
      </c>
      <c r="J206" s="1033">
        <v>0</v>
      </c>
      <c r="K206" s="1033">
        <v>0</v>
      </c>
      <c r="L206" s="47">
        <f>L225+L227</f>
        <v>2305.4499999999998</v>
      </c>
      <c r="M206" s="47">
        <f>M225+M227</f>
        <v>1650.1</v>
      </c>
      <c r="N206" s="47">
        <f t="shared" ref="N206:AJ206" si="120">N225+N227</f>
        <v>0</v>
      </c>
      <c r="O206" s="47">
        <f t="shared" si="120"/>
        <v>0</v>
      </c>
      <c r="P206" s="47">
        <f t="shared" si="120"/>
        <v>0</v>
      </c>
      <c r="Q206" s="47">
        <f t="shared" si="120"/>
        <v>99.9</v>
      </c>
      <c r="R206" s="47">
        <f t="shared" si="120"/>
        <v>0</v>
      </c>
      <c r="S206" s="47">
        <f t="shared" si="120"/>
        <v>0</v>
      </c>
      <c r="T206" s="47">
        <f t="shared" si="120"/>
        <v>0</v>
      </c>
      <c r="U206" s="47">
        <f t="shared" si="120"/>
        <v>0</v>
      </c>
      <c r="V206" s="47">
        <f t="shared" si="120"/>
        <v>0</v>
      </c>
      <c r="W206" s="47">
        <f t="shared" si="120"/>
        <v>0</v>
      </c>
      <c r="X206" s="47">
        <f t="shared" si="120"/>
        <v>0</v>
      </c>
      <c r="Y206" s="47">
        <f t="shared" si="120"/>
        <v>0</v>
      </c>
      <c r="Z206" s="96"/>
      <c r="AA206" s="47">
        <f t="shared" si="120"/>
        <v>99.9</v>
      </c>
      <c r="AB206" s="47">
        <f t="shared" si="120"/>
        <v>0</v>
      </c>
      <c r="AC206" s="47">
        <f t="shared" si="120"/>
        <v>0</v>
      </c>
      <c r="AD206" s="47">
        <f t="shared" si="120"/>
        <v>0</v>
      </c>
      <c r="AE206" s="47">
        <f t="shared" si="120"/>
        <v>0</v>
      </c>
      <c r="AF206" s="47">
        <f t="shared" si="120"/>
        <v>0</v>
      </c>
      <c r="AG206" s="47">
        <f t="shared" si="120"/>
        <v>0</v>
      </c>
      <c r="AH206" s="47">
        <f t="shared" si="120"/>
        <v>0</v>
      </c>
      <c r="AI206" s="47">
        <f t="shared" si="120"/>
        <v>0</v>
      </c>
      <c r="AJ206" s="47">
        <f t="shared" si="120"/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397"/>
      <c r="AQ206" s="96"/>
    </row>
    <row r="207" spans="1:43" ht="25.5" hidden="1" x14ac:dyDescent="0.25">
      <c r="A207" s="1535"/>
      <c r="B207" s="1619"/>
      <c r="C207" s="1620"/>
      <c r="D207" s="1620"/>
      <c r="E207" s="1620"/>
      <c r="F207" s="1620"/>
      <c r="G207" s="1620"/>
      <c r="H207" s="1621"/>
      <c r="I207" s="23" t="s">
        <v>9</v>
      </c>
      <c r="J207" s="1033">
        <v>0</v>
      </c>
      <c r="K207" s="1033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s="327" customFormat="1" ht="33" customHeight="1" x14ac:dyDescent="0.25">
      <c r="A208" s="1450" t="s">
        <v>30</v>
      </c>
      <c r="B208" s="780" t="s">
        <v>173</v>
      </c>
      <c r="C208" s="1326">
        <v>300</v>
      </c>
      <c r="D208" s="1326">
        <v>570</v>
      </c>
      <c r="E208" s="1326"/>
      <c r="F208" s="1326"/>
      <c r="G208" s="778"/>
      <c r="H208" s="778"/>
      <c r="I208" s="1463" t="s">
        <v>20</v>
      </c>
      <c r="J208" s="1622">
        <v>6379.79</v>
      </c>
      <c r="K208" s="3">
        <v>0</v>
      </c>
      <c r="L208" s="3">
        <f t="shared" ref="L208:AJ208" si="121">L209+L212</f>
        <v>5597.58</v>
      </c>
      <c r="M208" s="3">
        <f t="shared" si="121"/>
        <v>0</v>
      </c>
      <c r="N208" s="3">
        <f t="shared" si="121"/>
        <v>5370.84</v>
      </c>
      <c r="O208" s="3">
        <f t="shared" si="121"/>
        <v>3372.5</v>
      </c>
      <c r="P208" s="3">
        <f t="shared" si="121"/>
        <v>78556.570000000007</v>
      </c>
      <c r="Q208" s="3">
        <f t="shared" si="121"/>
        <v>0</v>
      </c>
      <c r="R208" s="3">
        <f t="shared" si="121"/>
        <v>0</v>
      </c>
      <c r="S208" s="3">
        <f t="shared" si="121"/>
        <v>0</v>
      </c>
      <c r="T208" s="3">
        <f t="shared" si="121"/>
        <v>753.46</v>
      </c>
      <c r="U208" s="3">
        <f t="shared" si="121"/>
        <v>753.46</v>
      </c>
      <c r="V208" s="3">
        <f t="shared" si="121"/>
        <v>4173.82</v>
      </c>
      <c r="W208" s="3">
        <f t="shared" si="121"/>
        <v>4173.82</v>
      </c>
      <c r="X208" s="3">
        <f t="shared" si="121"/>
        <v>0</v>
      </c>
      <c r="Y208" s="3">
        <f t="shared" si="121"/>
        <v>0</v>
      </c>
      <c r="Z208" s="95">
        <v>0</v>
      </c>
      <c r="AA208" s="3">
        <f t="shared" si="121"/>
        <v>0</v>
      </c>
      <c r="AB208" s="3">
        <f t="shared" si="121"/>
        <v>0</v>
      </c>
      <c r="AC208" s="3">
        <f t="shared" si="121"/>
        <v>753.46</v>
      </c>
      <c r="AD208" s="3">
        <f t="shared" si="121"/>
        <v>4900</v>
      </c>
      <c r="AE208" s="3">
        <f t="shared" si="121"/>
        <v>0</v>
      </c>
      <c r="AF208" s="3">
        <f t="shared" si="121"/>
        <v>0</v>
      </c>
      <c r="AG208" s="3">
        <f t="shared" si="121"/>
        <v>0</v>
      </c>
      <c r="AH208" s="3">
        <f t="shared" si="121"/>
        <v>0</v>
      </c>
      <c r="AI208" s="3">
        <f t="shared" si="121"/>
        <v>0</v>
      </c>
      <c r="AJ208" s="3">
        <f t="shared" si="121"/>
        <v>0</v>
      </c>
      <c r="AK208" s="3">
        <f>P208-Q208</f>
        <v>78556.570000000007</v>
      </c>
      <c r="AL208" s="3">
        <f>AK208</f>
        <v>78556.570000000007</v>
      </c>
      <c r="AM208" s="318">
        <f>ROUND((Q208*100%/P208*100),2)</f>
        <v>0</v>
      </c>
      <c r="AN208" s="3">
        <f>AN209+AN212</f>
        <v>0</v>
      </c>
      <c r="AO208" s="3">
        <f>AO209+AO212</f>
        <v>0</v>
      </c>
      <c r="AP208" s="633" t="s">
        <v>245</v>
      </c>
      <c r="AQ208" s="95">
        <v>0</v>
      </c>
    </row>
    <row r="209" spans="1:43" x14ac:dyDescent="0.25">
      <c r="A209" s="1399"/>
      <c r="B209" s="1" t="s">
        <v>15</v>
      </c>
      <c r="C209" s="1327"/>
      <c r="D209" s="1327"/>
      <c r="E209" s="1327"/>
      <c r="F209" s="1327"/>
      <c r="G209" s="1013">
        <v>2019</v>
      </c>
      <c r="H209" s="1013">
        <v>2019</v>
      </c>
      <c r="I209" s="1464"/>
      <c r="J209" s="1623"/>
      <c r="K209" s="47"/>
      <c r="L209" s="47">
        <v>5597.58</v>
      </c>
      <c r="M209" s="50">
        <v>0</v>
      </c>
      <c r="N209" s="50">
        <v>5370.84</v>
      </c>
      <c r="O209" s="50">
        <v>0</v>
      </c>
      <c r="P209" s="447">
        <v>89.08</v>
      </c>
      <c r="Q209" s="447">
        <v>0</v>
      </c>
      <c r="R209" s="447">
        <f t="shared" ref="R209:AD209" si="122">SUM(R210:R211)</f>
        <v>0</v>
      </c>
      <c r="S209" s="447">
        <f t="shared" si="122"/>
        <v>0</v>
      </c>
      <c r="T209" s="447">
        <f t="shared" si="122"/>
        <v>753.46</v>
      </c>
      <c r="U209" s="447">
        <f t="shared" si="122"/>
        <v>753.46</v>
      </c>
      <c r="V209" s="447">
        <f t="shared" si="122"/>
        <v>4173.82</v>
      </c>
      <c r="W209" s="447">
        <f t="shared" si="122"/>
        <v>4173.82</v>
      </c>
      <c r="X209" s="447">
        <f t="shared" si="122"/>
        <v>0</v>
      </c>
      <c r="Y209" s="447">
        <f t="shared" si="122"/>
        <v>0</v>
      </c>
      <c r="Z209" s="584"/>
      <c r="AA209" s="447">
        <v>0</v>
      </c>
      <c r="AB209" s="447">
        <f t="shared" si="122"/>
        <v>0</v>
      </c>
      <c r="AC209" s="447">
        <f t="shared" si="122"/>
        <v>753.46</v>
      </c>
      <c r="AD209" s="447">
        <f t="shared" si="122"/>
        <v>4900</v>
      </c>
      <c r="AE209" s="50">
        <f t="shared" ref="AE209:AO209" si="123">SUM(AE211)</f>
        <v>0</v>
      </c>
      <c r="AF209" s="50">
        <f>SUM(AF211)</f>
        <v>0</v>
      </c>
      <c r="AG209" s="50">
        <f>SUM(AG211)</f>
        <v>0</v>
      </c>
      <c r="AH209" s="50">
        <f>SUM(AH211)</f>
        <v>0</v>
      </c>
      <c r="AI209" s="50">
        <f>SUM(AI211)</f>
        <v>0</v>
      </c>
      <c r="AJ209" s="50">
        <f>SUM(AJ211)</f>
        <v>0</v>
      </c>
      <c r="AK209" s="50">
        <f t="shared" si="123"/>
        <v>0</v>
      </c>
      <c r="AL209" s="50">
        <f t="shared" si="123"/>
        <v>0</v>
      </c>
      <c r="AM209" s="50">
        <f t="shared" si="123"/>
        <v>0</v>
      </c>
      <c r="AN209" s="50">
        <f t="shared" si="123"/>
        <v>0</v>
      </c>
      <c r="AO209" s="50">
        <f t="shared" si="123"/>
        <v>0</v>
      </c>
      <c r="AP209" s="412"/>
      <c r="AQ209" s="584"/>
    </row>
    <row r="210" spans="1:43" s="266" customFormat="1" hidden="1" x14ac:dyDescent="0.25">
      <c r="A210" s="1399"/>
      <c r="B210" s="92" t="s">
        <v>322</v>
      </c>
      <c r="C210" s="1327"/>
      <c r="D210" s="1327"/>
      <c r="E210" s="1327"/>
      <c r="F210" s="1327"/>
      <c r="G210" s="104"/>
      <c r="H210" s="104"/>
      <c r="I210" s="1464"/>
      <c r="J210" s="1623"/>
      <c r="K210" s="96"/>
      <c r="L210" s="96"/>
      <c r="M210" s="263"/>
      <c r="N210" s="263"/>
      <c r="O210" s="263"/>
      <c r="P210" s="584"/>
      <c r="Q210" s="584">
        <f>V210</f>
        <v>4173.82</v>
      </c>
      <c r="R210" s="584"/>
      <c r="S210" s="584"/>
      <c r="T210" s="584"/>
      <c r="U210" s="584"/>
      <c r="V210" s="584">
        <f>W210</f>
        <v>4173.82</v>
      </c>
      <c r="W210" s="584">
        <v>4173.82</v>
      </c>
      <c r="X210" s="584"/>
      <c r="Y210" s="584"/>
      <c r="Z210" s="584"/>
      <c r="AA210" s="584">
        <f>AD210</f>
        <v>4900</v>
      </c>
      <c r="AB210" s="584"/>
      <c r="AC210" s="584"/>
      <c r="AD210" s="584">
        <v>4900</v>
      </c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413"/>
      <c r="AQ210" s="584"/>
    </row>
    <row r="211" spans="1:43" s="266" customFormat="1" hidden="1" x14ac:dyDescent="0.25">
      <c r="A211" s="1399"/>
      <c r="B211" s="92" t="s">
        <v>267</v>
      </c>
      <c r="C211" s="1327"/>
      <c r="D211" s="1327"/>
      <c r="E211" s="1327"/>
      <c r="F211" s="1327"/>
      <c r="G211" s="104"/>
      <c r="H211" s="104"/>
      <c r="I211" s="1464"/>
      <c r="J211" s="1623"/>
      <c r="K211" s="96"/>
      <c r="L211" s="96"/>
      <c r="M211" s="263"/>
      <c r="N211" s="263"/>
      <c r="O211" s="263"/>
      <c r="P211" s="263"/>
      <c r="Q211" s="263">
        <f>S211+U211</f>
        <v>753.46</v>
      </c>
      <c r="R211" s="263"/>
      <c r="S211" s="263"/>
      <c r="T211" s="263">
        <f>U211</f>
        <v>753.46</v>
      </c>
      <c r="U211" s="263">
        <f>ROUND((904.153/1.2),2)</f>
        <v>753.46</v>
      </c>
      <c r="V211" s="263"/>
      <c r="W211" s="263"/>
      <c r="X211" s="263"/>
      <c r="Y211" s="263"/>
      <c r="Z211" s="263"/>
      <c r="AA211" s="263">
        <f>AC211</f>
        <v>753.46</v>
      </c>
      <c r="AB211" s="263"/>
      <c r="AC211" s="263">
        <v>753.46</v>
      </c>
      <c r="AD211" s="263"/>
      <c r="AE211" s="263"/>
      <c r="AF211" s="263">
        <f>SUM(AG211:AG211)</f>
        <v>0</v>
      </c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413"/>
      <c r="AQ211" s="263"/>
    </row>
    <row r="212" spans="1:43" ht="15.75" customHeight="1" x14ac:dyDescent="0.25">
      <c r="A212" s="1488"/>
      <c r="B212" s="1019" t="s">
        <v>16</v>
      </c>
      <c r="C212" s="1328"/>
      <c r="D212" s="1328"/>
      <c r="E212" s="1328"/>
      <c r="F212" s="1328"/>
      <c r="G212" s="1013">
        <v>2021</v>
      </c>
      <c r="H212" s="1013">
        <v>2021</v>
      </c>
      <c r="I212" s="1465"/>
      <c r="J212" s="1624"/>
      <c r="K212" s="47"/>
      <c r="L212" s="47">
        <v>0</v>
      </c>
      <c r="M212" s="50">
        <v>0</v>
      </c>
      <c r="N212" s="50">
        <v>0</v>
      </c>
      <c r="O212" s="50">
        <v>3372.5</v>
      </c>
      <c r="P212" s="50">
        <v>78467.490000000005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50">
        <v>0</v>
      </c>
      <c r="Y212" s="50">
        <v>0</v>
      </c>
      <c r="Z212" s="263"/>
      <c r="AA212" s="50">
        <v>0</v>
      </c>
      <c r="AB212" s="50">
        <v>0</v>
      </c>
      <c r="AC212" s="50">
        <v>0</v>
      </c>
      <c r="AD212" s="50">
        <v>0</v>
      </c>
      <c r="AE212" s="50">
        <v>0</v>
      </c>
      <c r="AF212" s="50">
        <v>0</v>
      </c>
      <c r="AG212" s="50">
        <v>0</v>
      </c>
      <c r="AH212" s="50">
        <v>0</v>
      </c>
      <c r="AI212" s="50">
        <v>0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412"/>
      <c r="AQ212" s="263"/>
    </row>
    <row r="213" spans="1:43" s="327" customFormat="1" ht="42" customHeight="1" x14ac:dyDescent="0.25">
      <c r="A213" s="1649" t="s">
        <v>174</v>
      </c>
      <c r="B213" s="780" t="s">
        <v>175</v>
      </c>
      <c r="C213" s="133"/>
      <c r="D213" s="133"/>
      <c r="E213" s="133"/>
      <c r="F213" s="133"/>
      <c r="G213" s="778"/>
      <c r="H213" s="778"/>
      <c r="I213" s="1651" t="s">
        <v>20</v>
      </c>
      <c r="J213" s="1014"/>
      <c r="K213" s="3"/>
      <c r="L213" s="3">
        <f>L214</f>
        <v>3750.02</v>
      </c>
      <c r="M213" s="3">
        <f>M214</f>
        <v>1639</v>
      </c>
      <c r="N213" s="3">
        <f t="shared" ref="N213:AO213" si="124">N214</f>
        <v>0</v>
      </c>
      <c r="O213" s="3">
        <f t="shared" si="124"/>
        <v>0</v>
      </c>
      <c r="P213" s="3">
        <f t="shared" si="124"/>
        <v>0</v>
      </c>
      <c r="Q213" s="3">
        <f t="shared" si="124"/>
        <v>0</v>
      </c>
      <c r="R213" s="3">
        <f t="shared" si="124"/>
        <v>0</v>
      </c>
      <c r="S213" s="3">
        <f t="shared" si="124"/>
        <v>0</v>
      </c>
      <c r="T213" s="3">
        <f t="shared" si="124"/>
        <v>0</v>
      </c>
      <c r="U213" s="3">
        <f t="shared" si="124"/>
        <v>0</v>
      </c>
      <c r="V213" s="3">
        <f t="shared" si="124"/>
        <v>0</v>
      </c>
      <c r="W213" s="3">
        <f t="shared" si="124"/>
        <v>0</v>
      </c>
      <c r="X213" s="3">
        <f t="shared" si="124"/>
        <v>0</v>
      </c>
      <c r="Y213" s="3">
        <f t="shared" si="124"/>
        <v>0</v>
      </c>
      <c r="Z213" s="95">
        <v>0</v>
      </c>
      <c r="AA213" s="3">
        <f t="shared" si="124"/>
        <v>0</v>
      </c>
      <c r="AB213" s="3">
        <f t="shared" si="124"/>
        <v>0</v>
      </c>
      <c r="AC213" s="3">
        <f t="shared" si="124"/>
        <v>0</v>
      </c>
      <c r="AD213" s="3">
        <f t="shared" si="124"/>
        <v>0</v>
      </c>
      <c r="AE213" s="3">
        <f t="shared" si="124"/>
        <v>0</v>
      </c>
      <c r="AF213" s="3">
        <f t="shared" si="124"/>
        <v>0</v>
      </c>
      <c r="AG213" s="3">
        <f t="shared" si="124"/>
        <v>0</v>
      </c>
      <c r="AH213" s="3">
        <f t="shared" si="124"/>
        <v>0</v>
      </c>
      <c r="AI213" s="3">
        <f t="shared" si="124"/>
        <v>0</v>
      </c>
      <c r="AJ213" s="3">
        <f t="shared" si="124"/>
        <v>0</v>
      </c>
      <c r="AK213" s="3">
        <f t="shared" si="124"/>
        <v>0</v>
      </c>
      <c r="AL213" s="3">
        <f t="shared" si="124"/>
        <v>0</v>
      </c>
      <c r="AM213" s="3">
        <f t="shared" si="124"/>
        <v>0</v>
      </c>
      <c r="AN213" s="3">
        <f t="shared" si="124"/>
        <v>0</v>
      </c>
      <c r="AO213" s="3">
        <f t="shared" si="124"/>
        <v>0</v>
      </c>
      <c r="AP213" s="633" t="s">
        <v>256</v>
      </c>
      <c r="AQ213" s="95">
        <v>0</v>
      </c>
    </row>
    <row r="214" spans="1:43" s="327" customFormat="1" ht="15.75" hidden="1" customHeight="1" x14ac:dyDescent="0.25">
      <c r="A214" s="1650"/>
      <c r="B214" s="772" t="s">
        <v>15</v>
      </c>
      <c r="C214" s="133"/>
      <c r="D214" s="133"/>
      <c r="E214" s="133"/>
      <c r="F214" s="133"/>
      <c r="G214" s="312"/>
      <c r="H214" s="999"/>
      <c r="I214" s="1652"/>
      <c r="J214" s="1014"/>
      <c r="K214" s="318"/>
      <c r="L214" s="3">
        <v>3750.02</v>
      </c>
      <c r="M214" s="3">
        <v>1639</v>
      </c>
      <c r="N214" s="3">
        <v>0</v>
      </c>
      <c r="O214" s="3">
        <v>0</v>
      </c>
      <c r="P214" s="3">
        <v>0</v>
      </c>
      <c r="Q214" s="819">
        <f>SUM(Q215:Q218)</f>
        <v>0</v>
      </c>
      <c r="R214" s="819">
        <f t="shared" ref="R214:AJ214" si="125">SUM(R215:R218)</f>
        <v>0</v>
      </c>
      <c r="S214" s="819">
        <f t="shared" si="125"/>
        <v>0</v>
      </c>
      <c r="T214" s="819">
        <f t="shared" si="125"/>
        <v>0</v>
      </c>
      <c r="U214" s="819">
        <f t="shared" si="125"/>
        <v>0</v>
      </c>
      <c r="V214" s="819">
        <f t="shared" si="125"/>
        <v>0</v>
      </c>
      <c r="W214" s="819">
        <f t="shared" si="125"/>
        <v>0</v>
      </c>
      <c r="X214" s="3">
        <v>0</v>
      </c>
      <c r="Y214" s="819">
        <f t="shared" si="125"/>
        <v>0</v>
      </c>
      <c r="Z214" s="820"/>
      <c r="AA214" s="819">
        <f t="shared" si="125"/>
        <v>0</v>
      </c>
      <c r="AB214" s="819">
        <f t="shared" si="125"/>
        <v>0</v>
      </c>
      <c r="AC214" s="819">
        <f t="shared" si="125"/>
        <v>0</v>
      </c>
      <c r="AD214" s="819">
        <f t="shared" si="125"/>
        <v>0</v>
      </c>
      <c r="AE214" s="819">
        <f t="shared" si="125"/>
        <v>0</v>
      </c>
      <c r="AF214" s="819">
        <f t="shared" si="125"/>
        <v>0</v>
      </c>
      <c r="AG214" s="819">
        <f t="shared" si="125"/>
        <v>0</v>
      </c>
      <c r="AH214" s="819">
        <f t="shared" si="125"/>
        <v>0</v>
      </c>
      <c r="AI214" s="819">
        <f t="shared" si="125"/>
        <v>0</v>
      </c>
      <c r="AJ214" s="819">
        <f t="shared" si="125"/>
        <v>0</v>
      </c>
      <c r="AK214" s="819">
        <f>SUM(AK215:AK218)</f>
        <v>0</v>
      </c>
      <c r="AL214" s="819">
        <f>SUM(AL215:AL218)</f>
        <v>0</v>
      </c>
      <c r="AM214" s="819">
        <f>SUM(AM215:AM218)</f>
        <v>0</v>
      </c>
      <c r="AN214" s="819">
        <f>SUM(AN215:AN218)</f>
        <v>0</v>
      </c>
      <c r="AO214" s="819">
        <f>SUM(AO215:AO218)</f>
        <v>0</v>
      </c>
      <c r="AP214" s="821"/>
      <c r="AQ214" s="820"/>
    </row>
    <row r="215" spans="1:43" s="827" customFormat="1" ht="15.75" hidden="1" customHeight="1" x14ac:dyDescent="0.25">
      <c r="A215" s="822"/>
      <c r="B215" s="823" t="s">
        <v>234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235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827" customFormat="1" ht="15.75" hidden="1" customHeight="1" x14ac:dyDescent="0.25">
      <c r="A217" s="822"/>
      <c r="B217" s="823" t="s">
        <v>236</v>
      </c>
      <c r="C217" s="369"/>
      <c r="D217" s="369"/>
      <c r="E217" s="369"/>
      <c r="F217" s="369"/>
      <c r="G217" s="254"/>
      <c r="H217" s="824"/>
      <c r="I217" s="825"/>
      <c r="J217" s="371"/>
      <c r="K217" s="372"/>
      <c r="L217" s="95"/>
      <c r="M217" s="95"/>
      <c r="N217" s="95"/>
      <c r="O217" s="95"/>
      <c r="P217" s="3"/>
      <c r="Q217" s="820">
        <f>Y217</f>
        <v>0</v>
      </c>
      <c r="R217" s="820"/>
      <c r="S217" s="820"/>
      <c r="T217" s="820"/>
      <c r="U217" s="820"/>
      <c r="V217" s="820"/>
      <c r="W217" s="820"/>
      <c r="X217" s="820">
        <v>0</v>
      </c>
      <c r="Y217" s="820">
        <v>0</v>
      </c>
      <c r="Z217" s="820"/>
      <c r="AA217" s="820">
        <v>0</v>
      </c>
      <c r="AB217" s="820">
        <v>0</v>
      </c>
      <c r="AC217" s="820"/>
      <c r="AD217" s="820"/>
      <c r="AE217" s="820"/>
      <c r="AF217" s="820"/>
      <c r="AG217" s="820"/>
      <c r="AH217" s="820"/>
      <c r="AI217" s="820"/>
      <c r="AJ217" s="820"/>
      <c r="AK217" s="820"/>
      <c r="AL217" s="820"/>
      <c r="AM217" s="820"/>
      <c r="AN217" s="820"/>
      <c r="AO217" s="820"/>
      <c r="AP217" s="826"/>
      <c r="AQ217" s="820"/>
    </row>
    <row r="218" spans="1:43" s="827" customFormat="1" ht="15.75" hidden="1" customHeight="1" x14ac:dyDescent="0.25">
      <c r="A218" s="822"/>
      <c r="B218" s="823" t="s">
        <v>237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327" customFormat="1" ht="40.5" customHeight="1" x14ac:dyDescent="0.25">
      <c r="A219" s="1040" t="s">
        <v>176</v>
      </c>
      <c r="B219" s="780" t="s">
        <v>177</v>
      </c>
      <c r="C219" s="133"/>
      <c r="D219" s="133"/>
      <c r="E219" s="133"/>
      <c r="F219" s="133"/>
      <c r="G219" s="778"/>
      <c r="H219" s="778"/>
      <c r="I219" s="1463" t="s">
        <v>20</v>
      </c>
      <c r="J219" s="1014"/>
      <c r="K219" s="3"/>
      <c r="L219" s="3">
        <f>L220</f>
        <v>3750.02</v>
      </c>
      <c r="M219" s="3">
        <f>M220</f>
        <v>2630.03</v>
      </c>
      <c r="N219" s="3">
        <f t="shared" ref="N219:AO219" si="126">N220</f>
        <v>0</v>
      </c>
      <c r="O219" s="3">
        <f t="shared" si="126"/>
        <v>0</v>
      </c>
      <c r="P219" s="3">
        <f t="shared" si="126"/>
        <v>0</v>
      </c>
      <c r="Q219" s="3">
        <f t="shared" si="126"/>
        <v>0</v>
      </c>
      <c r="R219" s="3">
        <f t="shared" si="126"/>
        <v>0</v>
      </c>
      <c r="S219" s="3">
        <f t="shared" si="126"/>
        <v>0</v>
      </c>
      <c r="T219" s="3">
        <f t="shared" si="126"/>
        <v>0</v>
      </c>
      <c r="U219" s="3">
        <f t="shared" si="126"/>
        <v>0</v>
      </c>
      <c r="V219" s="3">
        <f t="shared" si="126"/>
        <v>0</v>
      </c>
      <c r="W219" s="3">
        <f t="shared" si="126"/>
        <v>0</v>
      </c>
      <c r="X219" s="3">
        <f t="shared" si="126"/>
        <v>0</v>
      </c>
      <c r="Y219" s="3">
        <f t="shared" si="126"/>
        <v>0</v>
      </c>
      <c r="Z219" s="95">
        <v>0</v>
      </c>
      <c r="AA219" s="3">
        <f t="shared" si="126"/>
        <v>0</v>
      </c>
      <c r="AB219" s="3">
        <f t="shared" si="126"/>
        <v>0</v>
      </c>
      <c r="AC219" s="3">
        <f t="shared" si="126"/>
        <v>0</v>
      </c>
      <c r="AD219" s="3">
        <f t="shared" si="126"/>
        <v>0</v>
      </c>
      <c r="AE219" s="3">
        <f t="shared" si="126"/>
        <v>0</v>
      </c>
      <c r="AF219" s="3">
        <f t="shared" si="126"/>
        <v>0</v>
      </c>
      <c r="AG219" s="3">
        <f t="shared" si="126"/>
        <v>0</v>
      </c>
      <c r="AH219" s="3">
        <f t="shared" si="126"/>
        <v>0</v>
      </c>
      <c r="AI219" s="3">
        <f t="shared" si="126"/>
        <v>0</v>
      </c>
      <c r="AJ219" s="3">
        <f t="shared" si="126"/>
        <v>0</v>
      </c>
      <c r="AK219" s="3">
        <f t="shared" si="126"/>
        <v>0</v>
      </c>
      <c r="AL219" s="3">
        <f t="shared" si="126"/>
        <v>0</v>
      </c>
      <c r="AM219" s="3">
        <f t="shared" si="126"/>
        <v>0</v>
      </c>
      <c r="AN219" s="3">
        <f t="shared" si="126"/>
        <v>0</v>
      </c>
      <c r="AO219" s="3">
        <f t="shared" si="126"/>
        <v>0</v>
      </c>
      <c r="AP219" s="633" t="s">
        <v>256</v>
      </c>
      <c r="AQ219" s="95">
        <v>0</v>
      </c>
    </row>
    <row r="220" spans="1:43" ht="15.75" hidden="1" customHeight="1" x14ac:dyDescent="0.25">
      <c r="A220" s="1010"/>
      <c r="B220" s="42" t="s">
        <v>15</v>
      </c>
      <c r="C220" s="341"/>
      <c r="D220" s="341"/>
      <c r="E220" s="341"/>
      <c r="F220" s="341"/>
      <c r="G220" s="313"/>
      <c r="H220" s="1045"/>
      <c r="I220" s="1465"/>
      <c r="J220" s="1030"/>
      <c r="K220" s="4"/>
      <c r="L220" s="47">
        <v>3750.02</v>
      </c>
      <c r="M220" s="47">
        <v>2630.03</v>
      </c>
      <c r="N220" s="47">
        <v>0</v>
      </c>
      <c r="O220" s="47">
        <v>0</v>
      </c>
      <c r="P220" s="47">
        <v>0</v>
      </c>
      <c r="Q220" s="50">
        <f>SUM(Q221:Q224)</f>
        <v>0</v>
      </c>
      <c r="R220" s="50">
        <f t="shared" ref="R220:W220" si="127">SUM(R221:R224)</f>
        <v>0</v>
      </c>
      <c r="S220" s="50">
        <f t="shared" si="127"/>
        <v>0</v>
      </c>
      <c r="T220" s="50">
        <f t="shared" si="127"/>
        <v>0</v>
      </c>
      <c r="U220" s="50">
        <f t="shared" si="127"/>
        <v>0</v>
      </c>
      <c r="V220" s="50">
        <f t="shared" si="127"/>
        <v>0</v>
      </c>
      <c r="W220" s="50">
        <f t="shared" si="127"/>
        <v>0</v>
      </c>
      <c r="X220" s="47">
        <v>0</v>
      </c>
      <c r="Y220" s="50">
        <f t="shared" ref="Y220:AJ220" si="128">SUM(Y221:Y224)</f>
        <v>0</v>
      </c>
      <c r="Z220" s="263"/>
      <c r="AA220" s="50">
        <f t="shared" si="128"/>
        <v>0</v>
      </c>
      <c r="AB220" s="50">
        <f t="shared" si="128"/>
        <v>0</v>
      </c>
      <c r="AC220" s="50">
        <f t="shared" si="128"/>
        <v>0</v>
      </c>
      <c r="AD220" s="50">
        <f t="shared" si="128"/>
        <v>0</v>
      </c>
      <c r="AE220" s="50">
        <f t="shared" si="128"/>
        <v>0</v>
      </c>
      <c r="AF220" s="50">
        <f t="shared" si="128"/>
        <v>0</v>
      </c>
      <c r="AG220" s="50">
        <f t="shared" si="128"/>
        <v>0</v>
      </c>
      <c r="AH220" s="50">
        <f t="shared" si="128"/>
        <v>0</v>
      </c>
      <c r="AI220" s="50">
        <f t="shared" si="128"/>
        <v>0</v>
      </c>
      <c r="AJ220" s="50">
        <f t="shared" si="128"/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412"/>
      <c r="AQ220" s="263"/>
    </row>
    <row r="221" spans="1:43" s="266" customFormat="1" ht="15.75" hidden="1" customHeight="1" x14ac:dyDescent="0.25">
      <c r="A221" s="366"/>
      <c r="B221" s="252" t="s">
        <v>238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239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266" customFormat="1" ht="15.75" hidden="1" customHeight="1" x14ac:dyDescent="0.25">
      <c r="A223" s="366"/>
      <c r="B223" s="252" t="s">
        <v>234</v>
      </c>
      <c r="C223" s="453"/>
      <c r="D223" s="453"/>
      <c r="E223" s="453"/>
      <c r="F223" s="453"/>
      <c r="G223" s="363"/>
      <c r="H223" s="364"/>
      <c r="I223" s="370"/>
      <c r="J223" s="651"/>
      <c r="K223" s="268"/>
      <c r="L223" s="96"/>
      <c r="M223" s="96"/>
      <c r="N223" s="96"/>
      <c r="O223" s="96"/>
      <c r="P223" s="47"/>
      <c r="Q223" s="263">
        <f>Y223</f>
        <v>0</v>
      </c>
      <c r="R223" s="263"/>
      <c r="S223" s="263"/>
      <c r="T223" s="263"/>
      <c r="U223" s="263"/>
      <c r="V223" s="263"/>
      <c r="W223" s="263"/>
      <c r="X223" s="263">
        <v>0</v>
      </c>
      <c r="Y223" s="263">
        <v>0</v>
      </c>
      <c r="Z223" s="263"/>
      <c r="AA223" s="263">
        <v>0</v>
      </c>
      <c r="AB223" s="263">
        <v>0</v>
      </c>
      <c r="AC223" s="263"/>
      <c r="AD223" s="263"/>
      <c r="AE223" s="263"/>
      <c r="AF223" s="263"/>
      <c r="AG223" s="263"/>
      <c r="AH223" s="263"/>
      <c r="AI223" s="263"/>
      <c r="AJ223" s="263"/>
      <c r="AK223" s="263"/>
      <c r="AL223" s="263"/>
      <c r="AM223" s="263"/>
      <c r="AN223" s="263"/>
      <c r="AO223" s="263"/>
      <c r="AP223" s="413"/>
      <c r="AQ223" s="263"/>
    </row>
    <row r="224" spans="1:43" s="266" customFormat="1" ht="15.75" hidden="1" customHeight="1" x14ac:dyDescent="0.25">
      <c r="A224" s="366"/>
      <c r="B224" s="252" t="s">
        <v>237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327" customFormat="1" ht="59.25" customHeight="1" x14ac:dyDescent="0.25">
      <c r="A225" s="1040" t="s">
        <v>178</v>
      </c>
      <c r="B225" s="780" t="s">
        <v>180</v>
      </c>
      <c r="C225" s="133"/>
      <c r="D225" s="133"/>
      <c r="E225" s="133"/>
      <c r="F225" s="133"/>
      <c r="G225" s="778"/>
      <c r="H225" s="778"/>
      <c r="I225" s="1651" t="s">
        <v>181</v>
      </c>
      <c r="J225" s="1014"/>
      <c r="K225" s="3"/>
      <c r="L225" s="3">
        <f>L226</f>
        <v>962.68</v>
      </c>
      <c r="M225" s="3">
        <f>M226</f>
        <v>403.33</v>
      </c>
      <c r="N225" s="3">
        <f t="shared" ref="N225:AO225" si="129">N226</f>
        <v>0</v>
      </c>
      <c r="O225" s="3">
        <f t="shared" si="129"/>
        <v>0</v>
      </c>
      <c r="P225" s="3">
        <f t="shared" si="129"/>
        <v>0</v>
      </c>
      <c r="Q225" s="3">
        <f>Q226</f>
        <v>99.9</v>
      </c>
      <c r="R225" s="3">
        <f t="shared" si="129"/>
        <v>0</v>
      </c>
      <c r="S225" s="3">
        <f t="shared" si="129"/>
        <v>0</v>
      </c>
      <c r="T225" s="3">
        <f t="shared" si="129"/>
        <v>0</v>
      </c>
      <c r="U225" s="3">
        <f t="shared" si="129"/>
        <v>0</v>
      </c>
      <c r="V225" s="3">
        <f t="shared" si="129"/>
        <v>0</v>
      </c>
      <c r="W225" s="3">
        <f t="shared" si="129"/>
        <v>0</v>
      </c>
      <c r="X225" s="3">
        <f t="shared" si="129"/>
        <v>0</v>
      </c>
      <c r="Y225" s="3">
        <f t="shared" si="129"/>
        <v>0</v>
      </c>
      <c r="Z225" s="95">
        <v>0</v>
      </c>
      <c r="AA225" s="3">
        <f>AA226</f>
        <v>99.9</v>
      </c>
      <c r="AB225" s="3">
        <f t="shared" si="129"/>
        <v>0</v>
      </c>
      <c r="AC225" s="3">
        <f t="shared" si="129"/>
        <v>0</v>
      </c>
      <c r="AD225" s="3">
        <f t="shared" si="129"/>
        <v>0</v>
      </c>
      <c r="AE225" s="3">
        <f t="shared" si="129"/>
        <v>0</v>
      </c>
      <c r="AF225" s="3">
        <f t="shared" si="129"/>
        <v>0</v>
      </c>
      <c r="AG225" s="3">
        <f t="shared" si="129"/>
        <v>0</v>
      </c>
      <c r="AH225" s="3">
        <f t="shared" si="129"/>
        <v>0</v>
      </c>
      <c r="AI225" s="3">
        <f t="shared" si="129"/>
        <v>0</v>
      </c>
      <c r="AJ225" s="3">
        <f t="shared" si="129"/>
        <v>0</v>
      </c>
      <c r="AK225" s="3">
        <f t="shared" si="129"/>
        <v>0</v>
      </c>
      <c r="AL225" s="3">
        <f t="shared" si="129"/>
        <v>0</v>
      </c>
      <c r="AM225" s="3">
        <f t="shared" si="129"/>
        <v>0</v>
      </c>
      <c r="AN225" s="3">
        <f t="shared" si="129"/>
        <v>0</v>
      </c>
      <c r="AO225" s="3">
        <f t="shared" si="129"/>
        <v>0</v>
      </c>
      <c r="AP225" s="829" t="s">
        <v>207</v>
      </c>
      <c r="AQ225" s="95">
        <v>0</v>
      </c>
    </row>
    <row r="226" spans="1:43" ht="15.75" customHeight="1" x14ac:dyDescent="0.25">
      <c r="A226" s="1010"/>
      <c r="B226" s="42" t="s">
        <v>16</v>
      </c>
      <c r="C226" s="341"/>
      <c r="D226" s="341"/>
      <c r="E226" s="341"/>
      <c r="F226" s="341"/>
      <c r="G226" s="313"/>
      <c r="H226" s="1045"/>
      <c r="I226" s="1652"/>
      <c r="J226" s="1030"/>
      <c r="K226" s="4"/>
      <c r="L226" s="47">
        <v>962.68</v>
      </c>
      <c r="M226" s="47">
        <v>403.33</v>
      </c>
      <c r="N226" s="47">
        <v>0</v>
      </c>
      <c r="O226" s="50">
        <v>0</v>
      </c>
      <c r="P226" s="50">
        <v>0</v>
      </c>
      <c r="Q226" s="50">
        <v>99.9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263"/>
      <c r="AA226" s="50">
        <v>99.9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841"/>
      <c r="AQ226" s="263"/>
    </row>
    <row r="227" spans="1:43" s="327" customFormat="1" ht="29.25" customHeight="1" x14ac:dyDescent="0.25">
      <c r="A227" s="1040" t="s">
        <v>179</v>
      </c>
      <c r="B227" s="780" t="s">
        <v>182</v>
      </c>
      <c r="C227" s="133"/>
      <c r="D227" s="133"/>
      <c r="E227" s="133"/>
      <c r="F227" s="133"/>
      <c r="G227" s="778"/>
      <c r="H227" s="778"/>
      <c r="I227" s="1463" t="s">
        <v>181</v>
      </c>
      <c r="J227" s="1014"/>
      <c r="K227" s="3"/>
      <c r="L227" s="3">
        <f>L228</f>
        <v>1342.77</v>
      </c>
      <c r="M227" s="3">
        <f>M228</f>
        <v>1246.77</v>
      </c>
      <c r="N227" s="3">
        <f t="shared" ref="N227:AO229" si="130">N228</f>
        <v>0</v>
      </c>
      <c r="O227" s="3">
        <f t="shared" si="130"/>
        <v>0</v>
      </c>
      <c r="P227" s="3">
        <f t="shared" si="130"/>
        <v>0</v>
      </c>
      <c r="Q227" s="3">
        <f t="shared" si="130"/>
        <v>0</v>
      </c>
      <c r="R227" s="3">
        <f t="shared" si="130"/>
        <v>0</v>
      </c>
      <c r="S227" s="3">
        <f t="shared" si="130"/>
        <v>0</v>
      </c>
      <c r="T227" s="3">
        <f t="shared" si="130"/>
        <v>0</v>
      </c>
      <c r="U227" s="3">
        <f t="shared" si="130"/>
        <v>0</v>
      </c>
      <c r="V227" s="3">
        <f t="shared" si="130"/>
        <v>0</v>
      </c>
      <c r="W227" s="3">
        <f t="shared" si="130"/>
        <v>0</v>
      </c>
      <c r="X227" s="3">
        <f t="shared" si="130"/>
        <v>0</v>
      </c>
      <c r="Y227" s="3">
        <f t="shared" si="130"/>
        <v>0</v>
      </c>
      <c r="Z227" s="95">
        <v>0</v>
      </c>
      <c r="AA227" s="3">
        <f t="shared" si="130"/>
        <v>0</v>
      </c>
      <c r="AB227" s="3">
        <f t="shared" si="130"/>
        <v>0</v>
      </c>
      <c r="AC227" s="3">
        <f t="shared" si="130"/>
        <v>0</v>
      </c>
      <c r="AD227" s="3">
        <f t="shared" si="130"/>
        <v>0</v>
      </c>
      <c r="AE227" s="3">
        <f t="shared" si="130"/>
        <v>0</v>
      </c>
      <c r="AF227" s="3">
        <f t="shared" si="130"/>
        <v>0</v>
      </c>
      <c r="AG227" s="3">
        <f t="shared" si="130"/>
        <v>0</v>
      </c>
      <c r="AH227" s="3">
        <f t="shared" si="130"/>
        <v>0</v>
      </c>
      <c r="AI227" s="3">
        <f t="shared" si="130"/>
        <v>0</v>
      </c>
      <c r="AJ227" s="3">
        <f t="shared" si="130"/>
        <v>0</v>
      </c>
      <c r="AK227" s="3">
        <f t="shared" si="130"/>
        <v>0</v>
      </c>
      <c r="AL227" s="3">
        <f t="shared" si="130"/>
        <v>0</v>
      </c>
      <c r="AM227" s="3">
        <f t="shared" si="130"/>
        <v>0</v>
      </c>
      <c r="AN227" s="3">
        <f t="shared" si="130"/>
        <v>0</v>
      </c>
      <c r="AO227" s="3">
        <f t="shared" si="130"/>
        <v>0</v>
      </c>
      <c r="AP227" s="829" t="s">
        <v>207</v>
      </c>
      <c r="AQ227" s="95">
        <v>0</v>
      </c>
    </row>
    <row r="228" spans="1:43" ht="15.75" customHeight="1" x14ac:dyDescent="0.25">
      <c r="A228" s="1010"/>
      <c r="B228" s="42" t="s">
        <v>15</v>
      </c>
      <c r="C228" s="341"/>
      <c r="D228" s="341"/>
      <c r="E228" s="341"/>
      <c r="F228" s="341"/>
      <c r="G228" s="313"/>
      <c r="H228" s="1045"/>
      <c r="I228" s="1465"/>
      <c r="J228" s="1030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s="327" customFormat="1" ht="29.25" customHeight="1" x14ac:dyDescent="0.25">
      <c r="A229" s="1040" t="s">
        <v>179</v>
      </c>
      <c r="B229" s="780" t="s">
        <v>412</v>
      </c>
      <c r="C229" s="133"/>
      <c r="D229" s="133"/>
      <c r="E229" s="133"/>
      <c r="F229" s="133"/>
      <c r="G229" s="778"/>
      <c r="H229" s="778"/>
      <c r="I229" s="1463" t="s">
        <v>181</v>
      </c>
      <c r="J229" s="1014"/>
      <c r="K229" s="3"/>
      <c r="L229" s="3">
        <f>L230</f>
        <v>1342.77</v>
      </c>
      <c r="M229" s="3">
        <f>M230</f>
        <v>1246.77</v>
      </c>
      <c r="N229" s="3">
        <f t="shared" si="130"/>
        <v>0</v>
      </c>
      <c r="O229" s="3">
        <f t="shared" si="130"/>
        <v>0</v>
      </c>
      <c r="P229" s="3">
        <f t="shared" si="130"/>
        <v>2878.15</v>
      </c>
      <c r="Q229" s="3">
        <f t="shared" si="130"/>
        <v>0</v>
      </c>
      <c r="R229" s="3">
        <f t="shared" si="130"/>
        <v>0</v>
      </c>
      <c r="S229" s="3">
        <f t="shared" si="130"/>
        <v>0</v>
      </c>
      <c r="T229" s="3">
        <f t="shared" si="130"/>
        <v>0</v>
      </c>
      <c r="U229" s="3">
        <f t="shared" si="130"/>
        <v>0</v>
      </c>
      <c r="V229" s="3">
        <f t="shared" si="130"/>
        <v>0</v>
      </c>
      <c r="W229" s="3">
        <f t="shared" si="130"/>
        <v>0</v>
      </c>
      <c r="X229" s="3">
        <f t="shared" si="130"/>
        <v>0</v>
      </c>
      <c r="Y229" s="3">
        <f t="shared" si="130"/>
        <v>0</v>
      </c>
      <c r="Z229" s="95">
        <v>0</v>
      </c>
      <c r="AA229" s="3">
        <f t="shared" si="130"/>
        <v>0</v>
      </c>
      <c r="AB229" s="3">
        <f t="shared" si="130"/>
        <v>0</v>
      </c>
      <c r="AC229" s="3">
        <f t="shared" si="130"/>
        <v>0</v>
      </c>
      <c r="AD229" s="3">
        <f t="shared" si="130"/>
        <v>0</v>
      </c>
      <c r="AE229" s="3">
        <f t="shared" si="130"/>
        <v>0</v>
      </c>
      <c r="AF229" s="3">
        <f t="shared" si="130"/>
        <v>0</v>
      </c>
      <c r="AG229" s="3">
        <f t="shared" si="130"/>
        <v>0</v>
      </c>
      <c r="AH229" s="3">
        <f t="shared" si="130"/>
        <v>0</v>
      </c>
      <c r="AI229" s="3">
        <f t="shared" si="130"/>
        <v>0</v>
      </c>
      <c r="AJ229" s="3">
        <f t="shared" si="130"/>
        <v>0</v>
      </c>
      <c r="AK229" s="3">
        <f t="shared" si="130"/>
        <v>0</v>
      </c>
      <c r="AL229" s="3">
        <f t="shared" si="130"/>
        <v>0</v>
      </c>
      <c r="AM229" s="3">
        <f t="shared" si="130"/>
        <v>0</v>
      </c>
      <c r="AN229" s="3">
        <f t="shared" si="130"/>
        <v>0</v>
      </c>
      <c r="AO229" s="3">
        <f t="shared" si="130"/>
        <v>0</v>
      </c>
      <c r="AP229" s="829" t="s">
        <v>207</v>
      </c>
      <c r="AQ229" s="95">
        <v>0</v>
      </c>
    </row>
    <row r="230" spans="1:43" ht="15.75" customHeight="1" x14ac:dyDescent="0.25">
      <c r="A230" s="1010"/>
      <c r="B230" s="42" t="s">
        <v>16</v>
      </c>
      <c r="C230" s="341"/>
      <c r="D230" s="341"/>
      <c r="E230" s="341"/>
      <c r="F230" s="341"/>
      <c r="G230" s="313"/>
      <c r="H230" s="1045"/>
      <c r="I230" s="1465"/>
      <c r="J230" s="1030"/>
      <c r="K230" s="4"/>
      <c r="L230" s="47">
        <v>1342.77</v>
      </c>
      <c r="M230" s="47">
        <v>1246.77</v>
      </c>
      <c r="N230" s="50">
        <v>0</v>
      </c>
      <c r="O230" s="50">
        <v>0</v>
      </c>
      <c r="P230" s="47">
        <v>2878.15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47">
        <v>0</v>
      </c>
      <c r="Y230" s="50">
        <v>0</v>
      </c>
      <c r="Z230" s="263"/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412"/>
      <c r="AQ230" s="263"/>
    </row>
    <row r="231" spans="1:43" ht="54" hidden="1" customHeight="1" x14ac:dyDescent="0.25">
      <c r="A231" s="1332" t="s">
        <v>31</v>
      </c>
      <c r="B231" s="1613" t="s">
        <v>208</v>
      </c>
      <c r="C231" s="1614"/>
      <c r="D231" s="1614"/>
      <c r="E231" s="1614"/>
      <c r="F231" s="1614"/>
      <c r="G231" s="1614"/>
      <c r="H231" s="1615"/>
      <c r="I231" s="23" t="s">
        <v>19</v>
      </c>
      <c r="J231" s="1029">
        <v>0</v>
      </c>
      <c r="K231" s="1029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39.75" hidden="1" customHeight="1" x14ac:dyDescent="0.25">
      <c r="A232" s="1333"/>
      <c r="B232" s="1616"/>
      <c r="C232" s="1617"/>
      <c r="D232" s="1617"/>
      <c r="E232" s="1617"/>
      <c r="F232" s="1617"/>
      <c r="G232" s="1617"/>
      <c r="H232" s="1618"/>
      <c r="I232" s="23" t="s">
        <v>20</v>
      </c>
      <c r="J232" s="1029">
        <f>K232+L232</f>
        <v>6696.7899999999991</v>
      </c>
      <c r="K232" s="1029">
        <f>K238+K257+K260+K267</f>
        <v>0</v>
      </c>
      <c r="L232" s="47">
        <f t="shared" ref="L232:AE232" si="131">L238</f>
        <v>6696.7899999999991</v>
      </c>
      <c r="M232" s="47">
        <f t="shared" si="131"/>
        <v>0</v>
      </c>
      <c r="N232" s="47">
        <f t="shared" si="131"/>
        <v>2081.9299999999998</v>
      </c>
      <c r="O232" s="47">
        <f t="shared" si="131"/>
        <v>4372.5</v>
      </c>
      <c r="P232" s="47">
        <f t="shared" si="131"/>
        <v>0</v>
      </c>
      <c r="Q232" s="47">
        <f t="shared" si="131"/>
        <v>75</v>
      </c>
      <c r="R232" s="47">
        <f t="shared" si="131"/>
        <v>0</v>
      </c>
      <c r="S232" s="47">
        <f t="shared" si="131"/>
        <v>0</v>
      </c>
      <c r="T232" s="47">
        <f t="shared" si="131"/>
        <v>0</v>
      </c>
      <c r="U232" s="47">
        <f t="shared" si="131"/>
        <v>0</v>
      </c>
      <c r="V232" s="47">
        <f t="shared" si="131"/>
        <v>0</v>
      </c>
      <c r="W232" s="47">
        <f t="shared" si="131"/>
        <v>0</v>
      </c>
      <c r="X232" s="47">
        <f t="shared" si="131"/>
        <v>0</v>
      </c>
      <c r="Y232" s="47">
        <f t="shared" si="131"/>
        <v>0</v>
      </c>
      <c r="Z232" s="96"/>
      <c r="AA232" s="47">
        <f t="shared" si="131"/>
        <v>75</v>
      </c>
      <c r="AB232" s="47">
        <f t="shared" si="131"/>
        <v>0</v>
      </c>
      <c r="AC232" s="47">
        <f t="shared" si="131"/>
        <v>0</v>
      </c>
      <c r="AD232" s="47">
        <f t="shared" si="131"/>
        <v>0</v>
      </c>
      <c r="AE232" s="47">
        <f t="shared" si="131"/>
        <v>0</v>
      </c>
      <c r="AF232" s="47">
        <f t="shared" ref="AF232:AO232" si="132">AF238+AF257+AF260+AF267+AF269</f>
        <v>0</v>
      </c>
      <c r="AG232" s="47">
        <f t="shared" si="132"/>
        <v>0</v>
      </c>
      <c r="AH232" s="47">
        <f t="shared" si="132"/>
        <v>0</v>
      </c>
      <c r="AI232" s="47">
        <f t="shared" si="132"/>
        <v>0</v>
      </c>
      <c r="AJ232" s="47">
        <f t="shared" si="132"/>
        <v>0</v>
      </c>
      <c r="AK232" s="47">
        <f t="shared" si="132"/>
        <v>40144.92</v>
      </c>
      <c r="AL232" s="47">
        <f t="shared" si="132"/>
        <v>40144.92</v>
      </c>
      <c r="AM232" s="47" t="e">
        <f t="shared" si="132"/>
        <v>#DIV/0!</v>
      </c>
      <c r="AN232" s="47">
        <f t="shared" si="132"/>
        <v>0</v>
      </c>
      <c r="AO232" s="47">
        <f t="shared" si="132"/>
        <v>0</v>
      </c>
      <c r="AP232" s="397"/>
      <c r="AQ232" s="96"/>
    </row>
    <row r="233" spans="1:43" ht="26.25" hidden="1" customHeight="1" x14ac:dyDescent="0.25">
      <c r="A233" s="1333"/>
      <c r="B233" s="1616"/>
      <c r="C233" s="1617"/>
      <c r="D233" s="1617"/>
      <c r="E233" s="1617"/>
      <c r="F233" s="1617"/>
      <c r="G233" s="1617"/>
      <c r="H233" s="1618"/>
      <c r="I233" s="23" t="s">
        <v>10</v>
      </c>
      <c r="J233" s="1029">
        <v>0</v>
      </c>
      <c r="K233" s="1029">
        <v>0</v>
      </c>
      <c r="L233" s="47">
        <f>M233+N233+O233</f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96"/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397"/>
      <c r="AQ233" s="96"/>
    </row>
    <row r="234" spans="1:43" ht="25.5" hidden="1" x14ac:dyDescent="0.25">
      <c r="A234" s="1334"/>
      <c r="B234" s="1619"/>
      <c r="C234" s="1620"/>
      <c r="D234" s="1620"/>
      <c r="E234" s="1620"/>
      <c r="F234" s="1620"/>
      <c r="G234" s="1620"/>
      <c r="H234" s="1621"/>
      <c r="I234" s="23" t="s">
        <v>9</v>
      </c>
      <c r="J234" s="1029">
        <v>0</v>
      </c>
      <c r="K234" s="1029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s="327" customFormat="1" ht="29.25" customHeight="1" x14ac:dyDescent="0.25">
      <c r="A235" s="1040" t="s">
        <v>179</v>
      </c>
      <c r="B235" s="780" t="s">
        <v>413</v>
      </c>
      <c r="C235" s="133"/>
      <c r="D235" s="133"/>
      <c r="E235" s="133"/>
      <c r="F235" s="133"/>
      <c r="G235" s="778"/>
      <c r="H235" s="778"/>
      <c r="I235" s="1463" t="s">
        <v>181</v>
      </c>
      <c r="J235" s="1014"/>
      <c r="K235" s="3"/>
      <c r="L235" s="3">
        <f>L236</f>
        <v>1342.77</v>
      </c>
      <c r="M235" s="3">
        <f>M236</f>
        <v>1246.77</v>
      </c>
      <c r="N235" s="3">
        <f t="shared" ref="N235:AO235" si="133">N236</f>
        <v>0</v>
      </c>
      <c r="O235" s="3">
        <f t="shared" si="133"/>
        <v>0</v>
      </c>
      <c r="P235" s="3">
        <f t="shared" si="133"/>
        <v>4959</v>
      </c>
      <c r="Q235" s="3">
        <f t="shared" si="133"/>
        <v>0</v>
      </c>
      <c r="R235" s="3">
        <f t="shared" si="133"/>
        <v>0</v>
      </c>
      <c r="S235" s="3">
        <f t="shared" si="133"/>
        <v>0</v>
      </c>
      <c r="T235" s="3">
        <f t="shared" si="133"/>
        <v>0</v>
      </c>
      <c r="U235" s="3">
        <f t="shared" si="133"/>
        <v>0</v>
      </c>
      <c r="V235" s="3">
        <f t="shared" si="133"/>
        <v>0</v>
      </c>
      <c r="W235" s="3">
        <f t="shared" si="133"/>
        <v>0</v>
      </c>
      <c r="X235" s="3">
        <f t="shared" si="133"/>
        <v>0</v>
      </c>
      <c r="Y235" s="3">
        <f t="shared" si="133"/>
        <v>0</v>
      </c>
      <c r="Z235" s="95">
        <v>0</v>
      </c>
      <c r="AA235" s="3">
        <f t="shared" si="133"/>
        <v>0</v>
      </c>
      <c r="AB235" s="3">
        <f t="shared" si="133"/>
        <v>0</v>
      </c>
      <c r="AC235" s="3">
        <f t="shared" si="133"/>
        <v>0</v>
      </c>
      <c r="AD235" s="3">
        <f t="shared" si="133"/>
        <v>0</v>
      </c>
      <c r="AE235" s="3">
        <f t="shared" si="133"/>
        <v>0</v>
      </c>
      <c r="AF235" s="3">
        <f t="shared" si="133"/>
        <v>0</v>
      </c>
      <c r="AG235" s="3">
        <f t="shared" si="133"/>
        <v>0</v>
      </c>
      <c r="AH235" s="3">
        <f t="shared" si="133"/>
        <v>0</v>
      </c>
      <c r="AI235" s="3">
        <f t="shared" si="133"/>
        <v>0</v>
      </c>
      <c r="AJ235" s="3">
        <f t="shared" si="133"/>
        <v>0</v>
      </c>
      <c r="AK235" s="3">
        <f t="shared" si="133"/>
        <v>0</v>
      </c>
      <c r="AL235" s="3">
        <f t="shared" si="133"/>
        <v>0</v>
      </c>
      <c r="AM235" s="3">
        <f t="shared" si="133"/>
        <v>0</v>
      </c>
      <c r="AN235" s="3">
        <f t="shared" si="133"/>
        <v>0</v>
      </c>
      <c r="AO235" s="3">
        <f t="shared" si="133"/>
        <v>0</v>
      </c>
      <c r="AP235" s="829" t="s">
        <v>207</v>
      </c>
      <c r="AQ235" s="95">
        <v>0</v>
      </c>
    </row>
    <row r="236" spans="1:43" ht="15.75" customHeight="1" x14ac:dyDescent="0.25">
      <c r="A236" s="1010"/>
      <c r="B236" s="42" t="s">
        <v>39</v>
      </c>
      <c r="C236" s="341"/>
      <c r="D236" s="341"/>
      <c r="E236" s="341"/>
      <c r="F236" s="341"/>
      <c r="G236" s="313"/>
      <c r="H236" s="1045"/>
      <c r="I236" s="1465"/>
      <c r="J236" s="1030"/>
      <c r="K236" s="4"/>
      <c r="L236" s="47">
        <v>1342.77</v>
      </c>
      <c r="M236" s="47">
        <v>1246.77</v>
      </c>
      <c r="N236" s="50">
        <v>0</v>
      </c>
      <c r="O236" s="50">
        <v>0</v>
      </c>
      <c r="P236" s="47">
        <v>4959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47">
        <v>0</v>
      </c>
      <c r="Y236" s="50">
        <v>0</v>
      </c>
      <c r="Z236" s="263"/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412"/>
      <c r="AQ236" s="263"/>
    </row>
    <row r="237" spans="1:43" ht="15.75" x14ac:dyDescent="0.25">
      <c r="A237" s="997"/>
      <c r="B237" s="42" t="s">
        <v>16</v>
      </c>
      <c r="C237" s="1025"/>
      <c r="D237" s="1025"/>
      <c r="E237" s="1025"/>
      <c r="F237" s="1025"/>
      <c r="G237" s="1025"/>
      <c r="H237" s="1026"/>
      <c r="I237" s="1011"/>
      <c r="J237" s="1029"/>
      <c r="K237" s="1029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96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"/>
      <c r="AN237" s="47"/>
      <c r="AO237" s="47"/>
      <c r="AP237" s="397"/>
      <c r="AQ237" s="96"/>
    </row>
    <row r="238" spans="1:43" s="327" customFormat="1" ht="30" customHeight="1" x14ac:dyDescent="0.25">
      <c r="A238" s="1344" t="s">
        <v>50</v>
      </c>
      <c r="B238" s="830" t="s">
        <v>183</v>
      </c>
      <c r="C238" s="1658"/>
      <c r="D238" s="1326"/>
      <c r="E238" s="1326"/>
      <c r="F238" s="1644">
        <v>150000</v>
      </c>
      <c r="G238" s="1326">
        <v>2019</v>
      </c>
      <c r="H238" s="1326">
        <v>2019</v>
      </c>
      <c r="I238" s="1326" t="s">
        <v>20</v>
      </c>
      <c r="J238" s="1653">
        <v>4914.5600000000004</v>
      </c>
      <c r="K238" s="3"/>
      <c r="L238" s="3">
        <f t="shared" ref="L238:P238" si="134">L241+L239</f>
        <v>6696.7899999999991</v>
      </c>
      <c r="M238" s="3">
        <f t="shared" si="134"/>
        <v>0</v>
      </c>
      <c r="N238" s="3">
        <f t="shared" si="134"/>
        <v>2081.9299999999998</v>
      </c>
      <c r="O238" s="3">
        <f t="shared" si="134"/>
        <v>4372.5</v>
      </c>
      <c r="P238" s="3">
        <f t="shared" si="134"/>
        <v>0</v>
      </c>
      <c r="Q238" s="3">
        <f>Q239+Q241</f>
        <v>75</v>
      </c>
      <c r="R238" s="3">
        <f t="shared" ref="R238:AA238" si="135">R239+R241</f>
        <v>0</v>
      </c>
      <c r="S238" s="3">
        <f t="shared" si="135"/>
        <v>0</v>
      </c>
      <c r="T238" s="3">
        <f t="shared" si="135"/>
        <v>0</v>
      </c>
      <c r="U238" s="3">
        <f t="shared" si="135"/>
        <v>0</v>
      </c>
      <c r="V238" s="3">
        <f t="shared" si="135"/>
        <v>0</v>
      </c>
      <c r="W238" s="3">
        <f t="shared" si="135"/>
        <v>0</v>
      </c>
      <c r="X238" s="3">
        <f t="shared" si="135"/>
        <v>0</v>
      </c>
      <c r="Y238" s="3">
        <f t="shared" si="135"/>
        <v>0</v>
      </c>
      <c r="Z238" s="3">
        <f t="shared" si="135"/>
        <v>0</v>
      </c>
      <c r="AA238" s="3">
        <f t="shared" si="135"/>
        <v>75</v>
      </c>
      <c r="AB238" s="3">
        <f t="shared" ref="AB238:AJ238" si="136">AB241+AB239</f>
        <v>0</v>
      </c>
      <c r="AC238" s="3">
        <f t="shared" si="136"/>
        <v>0</v>
      </c>
      <c r="AD238" s="3">
        <f t="shared" si="136"/>
        <v>0</v>
      </c>
      <c r="AE238" s="3">
        <f t="shared" si="136"/>
        <v>0</v>
      </c>
      <c r="AF238" s="3">
        <f t="shared" si="136"/>
        <v>0</v>
      </c>
      <c r="AG238" s="3">
        <f t="shared" si="136"/>
        <v>0</v>
      </c>
      <c r="AH238" s="3">
        <f t="shared" si="136"/>
        <v>0</v>
      </c>
      <c r="AI238" s="3">
        <f t="shared" si="136"/>
        <v>0</v>
      </c>
      <c r="AJ238" s="3">
        <f t="shared" si="136"/>
        <v>0</v>
      </c>
      <c r="AK238" s="3">
        <f>P238-Q238</f>
        <v>-75</v>
      </c>
      <c r="AL238" s="3">
        <f>AK238</f>
        <v>-75</v>
      </c>
      <c r="AM238" s="318" t="e">
        <f>ROUND((Q238*100%/P238*100),2)</f>
        <v>#DIV/0!</v>
      </c>
      <c r="AN238" s="3">
        <f>AN241</f>
        <v>0</v>
      </c>
      <c r="AO238" s="3">
        <f>AO241</f>
        <v>0</v>
      </c>
      <c r="AP238" s="633"/>
      <c r="AQ238" s="95">
        <v>45</v>
      </c>
    </row>
    <row r="239" spans="1:43" ht="19.5" customHeight="1" x14ac:dyDescent="0.25">
      <c r="A239" s="1345"/>
      <c r="B239" s="1" t="s">
        <v>15</v>
      </c>
      <c r="C239" s="1659"/>
      <c r="D239" s="1327"/>
      <c r="E239" s="1327"/>
      <c r="F239" s="1645"/>
      <c r="G239" s="1327"/>
      <c r="H239" s="1327"/>
      <c r="I239" s="1327"/>
      <c r="J239" s="1654"/>
      <c r="K239" s="47"/>
      <c r="L239" s="47">
        <f>SUM(M239:O239)</f>
        <v>2081.9299999999998</v>
      </c>
      <c r="M239" s="4">
        <v>0</v>
      </c>
      <c r="N239" s="4">
        <v>2081.9299999999998</v>
      </c>
      <c r="O239" s="4">
        <f t="shared" ref="O239:AO239" si="137">O240</f>
        <v>0</v>
      </c>
      <c r="P239" s="4">
        <f t="shared" si="137"/>
        <v>0</v>
      </c>
      <c r="Q239" s="4">
        <f t="shared" si="137"/>
        <v>75</v>
      </c>
      <c r="R239" s="4">
        <f t="shared" si="137"/>
        <v>0</v>
      </c>
      <c r="S239" s="4">
        <f t="shared" si="137"/>
        <v>0</v>
      </c>
      <c r="T239" s="4">
        <f t="shared" si="137"/>
        <v>0</v>
      </c>
      <c r="U239" s="4">
        <f t="shared" si="137"/>
        <v>0</v>
      </c>
      <c r="V239" s="4">
        <f t="shared" si="137"/>
        <v>0</v>
      </c>
      <c r="W239" s="4">
        <f t="shared" si="137"/>
        <v>0</v>
      </c>
      <c r="X239" s="4">
        <f t="shared" si="137"/>
        <v>0</v>
      </c>
      <c r="Y239" s="4">
        <f t="shared" si="137"/>
        <v>0</v>
      </c>
      <c r="Z239" s="268"/>
      <c r="AA239" s="4">
        <f t="shared" si="137"/>
        <v>75</v>
      </c>
      <c r="AB239" s="4">
        <f t="shared" si="137"/>
        <v>0</v>
      </c>
      <c r="AC239" s="4">
        <f t="shared" si="137"/>
        <v>0</v>
      </c>
      <c r="AD239" s="4">
        <f t="shared" si="137"/>
        <v>0</v>
      </c>
      <c r="AE239" s="4">
        <f t="shared" si="137"/>
        <v>0</v>
      </c>
      <c r="AF239" s="4">
        <f t="shared" si="137"/>
        <v>0</v>
      </c>
      <c r="AG239" s="4">
        <f t="shared" si="137"/>
        <v>0</v>
      </c>
      <c r="AH239" s="4">
        <v>0</v>
      </c>
      <c r="AI239" s="4">
        <v>0</v>
      </c>
      <c r="AJ239" s="4">
        <v>0</v>
      </c>
      <c r="AK239" s="4">
        <f t="shared" si="137"/>
        <v>0</v>
      </c>
      <c r="AL239" s="4">
        <f t="shared" si="137"/>
        <v>0</v>
      </c>
      <c r="AM239" s="4">
        <f t="shared" si="137"/>
        <v>0</v>
      </c>
      <c r="AN239" s="4">
        <f t="shared" si="137"/>
        <v>0</v>
      </c>
      <c r="AO239" s="4">
        <f t="shared" si="137"/>
        <v>0</v>
      </c>
      <c r="AP239" s="1004"/>
      <c r="AQ239" s="268"/>
    </row>
    <row r="240" spans="1:43" s="266" customFormat="1" hidden="1" x14ac:dyDescent="0.25">
      <c r="A240" s="1345"/>
      <c r="B240" s="92" t="s">
        <v>250</v>
      </c>
      <c r="C240" s="1659"/>
      <c r="D240" s="1327"/>
      <c r="E240" s="1327"/>
      <c r="F240" s="1645"/>
      <c r="G240" s="1327"/>
      <c r="H240" s="1327"/>
      <c r="I240" s="1327"/>
      <c r="J240" s="1654"/>
      <c r="K240" s="96"/>
      <c r="L240" s="96">
        <f>SUM(M240:O240)</f>
        <v>0</v>
      </c>
      <c r="M240" s="268">
        <v>0</v>
      </c>
      <c r="N240" s="263"/>
      <c r="O240" s="263"/>
      <c r="P240" s="263">
        <f>R240+T240</f>
        <v>0</v>
      </c>
      <c r="Q240" s="263">
        <v>75</v>
      </c>
      <c r="R240" s="263">
        <f>S240</f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/>
      <c r="AA240" s="263">
        <v>75</v>
      </c>
      <c r="AB240" s="263">
        <v>0</v>
      </c>
      <c r="AC240" s="263">
        <v>0</v>
      </c>
      <c r="AD240" s="263"/>
      <c r="AE240" s="263"/>
      <c r="AF240" s="263"/>
      <c r="AG240" s="263"/>
      <c r="AH240" s="263"/>
      <c r="AI240" s="263"/>
      <c r="AJ240" s="263"/>
      <c r="AK240" s="263"/>
      <c r="AL240" s="263"/>
      <c r="AM240" s="263"/>
      <c r="AN240" s="263"/>
      <c r="AO240" s="263"/>
      <c r="AP240" s="413"/>
      <c r="AQ240" s="263"/>
    </row>
    <row r="241" spans="1:43" ht="18" customHeight="1" x14ac:dyDescent="0.25">
      <c r="A241" s="1346"/>
      <c r="B241" s="575" t="s">
        <v>16</v>
      </c>
      <c r="C241" s="1356"/>
      <c r="D241" s="1356"/>
      <c r="E241" s="1327"/>
      <c r="F241" s="1357"/>
      <c r="G241" s="1327"/>
      <c r="H241" s="1327"/>
      <c r="I241" s="1327"/>
      <c r="J241" s="1655"/>
      <c r="K241" s="47">
        <v>0</v>
      </c>
      <c r="L241" s="47">
        <v>4614.8599999999997</v>
      </c>
      <c r="M241" s="4">
        <v>0</v>
      </c>
      <c r="N241" s="4">
        <v>0</v>
      </c>
      <c r="O241" s="4">
        <v>4372.5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268"/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1004"/>
      <c r="AQ241" s="268"/>
    </row>
    <row r="242" spans="1:43" s="327" customFormat="1" ht="21" customHeight="1" x14ac:dyDescent="0.25">
      <c r="A242" s="998"/>
      <c r="B242" s="830" t="s">
        <v>414</v>
      </c>
      <c r="C242" s="654"/>
      <c r="D242" s="654"/>
      <c r="E242" s="341"/>
      <c r="F242" s="831"/>
      <c r="G242" s="341"/>
      <c r="H242" s="1046"/>
      <c r="I242" s="995"/>
      <c r="J242" s="1044"/>
      <c r="K242" s="3"/>
      <c r="L242" s="3">
        <f t="shared" ref="L242:O242" si="138">L245+L243</f>
        <v>2081.9299999999998</v>
      </c>
      <c r="M242" s="3">
        <f t="shared" si="138"/>
        <v>0</v>
      </c>
      <c r="N242" s="3">
        <f t="shared" si="138"/>
        <v>2081.9299999999998</v>
      </c>
      <c r="O242" s="3">
        <f t="shared" si="138"/>
        <v>0</v>
      </c>
      <c r="P242" s="3">
        <f>SUM(P243:P244)</f>
        <v>2.7</v>
      </c>
      <c r="Q242" s="3">
        <f>SUM(Q243:Q244)</f>
        <v>0</v>
      </c>
      <c r="R242" s="3">
        <f t="shared" ref="R242:AA242" si="139">SUM(R243:R244)</f>
        <v>0</v>
      </c>
      <c r="S242" s="3">
        <f t="shared" si="139"/>
        <v>0</v>
      </c>
      <c r="T242" s="3">
        <f t="shared" si="139"/>
        <v>0</v>
      </c>
      <c r="U242" s="3">
        <f t="shared" si="139"/>
        <v>0</v>
      </c>
      <c r="V242" s="3">
        <f t="shared" si="139"/>
        <v>0</v>
      </c>
      <c r="W242" s="3">
        <f t="shared" si="139"/>
        <v>0</v>
      </c>
      <c r="X242" s="3">
        <f t="shared" si="139"/>
        <v>0</v>
      </c>
      <c r="Y242" s="3">
        <f t="shared" si="139"/>
        <v>0</v>
      </c>
      <c r="Z242" s="3">
        <f t="shared" si="139"/>
        <v>0</v>
      </c>
      <c r="AA242" s="3">
        <f t="shared" si="139"/>
        <v>0</v>
      </c>
      <c r="AB242" s="3">
        <f t="shared" ref="AB242:AJ242" si="140">AB245+AB243</f>
        <v>0</v>
      </c>
      <c r="AC242" s="3">
        <f t="shared" si="140"/>
        <v>0</v>
      </c>
      <c r="AD242" s="3">
        <f t="shared" si="140"/>
        <v>0</v>
      </c>
      <c r="AE242" s="3">
        <f t="shared" si="140"/>
        <v>0</v>
      </c>
      <c r="AF242" s="3">
        <f t="shared" si="140"/>
        <v>0</v>
      </c>
      <c r="AG242" s="3">
        <f t="shared" si="140"/>
        <v>0</v>
      </c>
      <c r="AH242" s="3">
        <f t="shared" si="140"/>
        <v>0</v>
      </c>
      <c r="AI242" s="3">
        <f t="shared" si="140"/>
        <v>0</v>
      </c>
      <c r="AJ242" s="3">
        <f t="shared" si="140"/>
        <v>0</v>
      </c>
      <c r="AK242" s="3">
        <f>P242-Q242</f>
        <v>2.7</v>
      </c>
      <c r="AL242" s="3">
        <f>AK242</f>
        <v>2.7</v>
      </c>
      <c r="AM242" s="318">
        <f>ROUND((Q242*100%/P242*100),2)</f>
        <v>0</v>
      </c>
      <c r="AN242" s="3">
        <f>AN245</f>
        <v>0</v>
      </c>
      <c r="AO242" s="3">
        <f>AO245</f>
        <v>0</v>
      </c>
      <c r="AP242" s="633"/>
      <c r="AQ242" s="95">
        <v>45</v>
      </c>
    </row>
    <row r="243" spans="1:43" ht="19.5" customHeight="1" x14ac:dyDescent="0.25">
      <c r="A243" s="998"/>
      <c r="B243" s="1" t="s">
        <v>15</v>
      </c>
      <c r="C243" s="654"/>
      <c r="D243" s="654"/>
      <c r="E243" s="341"/>
      <c r="F243" s="831"/>
      <c r="G243" s="341"/>
      <c r="H243" s="1046"/>
      <c r="I243" s="995"/>
      <c r="J243" s="1044"/>
      <c r="K243" s="47"/>
      <c r="L243" s="47">
        <f>SUM(M243:O243)</f>
        <v>2081.9299999999998</v>
      </c>
      <c r="M243" s="4">
        <v>0</v>
      </c>
      <c r="N243" s="4">
        <v>2081.9299999999998</v>
      </c>
      <c r="O243" s="4">
        <f t="shared" ref="O243:AO243" si="141">O244</f>
        <v>0</v>
      </c>
      <c r="P243" s="4">
        <v>2.7</v>
      </c>
      <c r="Q243" s="4">
        <v>0</v>
      </c>
      <c r="R243" s="4">
        <f t="shared" si="141"/>
        <v>0</v>
      </c>
      <c r="S243" s="4">
        <f t="shared" si="141"/>
        <v>0</v>
      </c>
      <c r="T243" s="4">
        <f t="shared" si="141"/>
        <v>0</v>
      </c>
      <c r="U243" s="4">
        <f t="shared" si="141"/>
        <v>0</v>
      </c>
      <c r="V243" s="4">
        <f t="shared" si="141"/>
        <v>0</v>
      </c>
      <c r="W243" s="4">
        <f t="shared" si="141"/>
        <v>0</v>
      </c>
      <c r="X243" s="4">
        <f t="shared" si="141"/>
        <v>0</v>
      </c>
      <c r="Y243" s="4">
        <f t="shared" si="141"/>
        <v>0</v>
      </c>
      <c r="Z243" s="268"/>
      <c r="AA243" s="4">
        <v>0</v>
      </c>
      <c r="AB243" s="4">
        <f t="shared" si="141"/>
        <v>0</v>
      </c>
      <c r="AC243" s="4">
        <f t="shared" si="141"/>
        <v>0</v>
      </c>
      <c r="AD243" s="4">
        <f t="shared" si="141"/>
        <v>0</v>
      </c>
      <c r="AE243" s="4">
        <f t="shared" si="141"/>
        <v>0</v>
      </c>
      <c r="AF243" s="4">
        <f t="shared" si="141"/>
        <v>0</v>
      </c>
      <c r="AG243" s="4">
        <f t="shared" si="141"/>
        <v>0</v>
      </c>
      <c r="AH243" s="4">
        <v>0</v>
      </c>
      <c r="AI243" s="4">
        <v>0</v>
      </c>
      <c r="AJ243" s="4">
        <v>0</v>
      </c>
      <c r="AK243" s="4">
        <f t="shared" si="141"/>
        <v>0</v>
      </c>
      <c r="AL243" s="4">
        <f t="shared" si="141"/>
        <v>0</v>
      </c>
      <c r="AM243" s="4">
        <f t="shared" si="141"/>
        <v>0</v>
      </c>
      <c r="AN243" s="4">
        <f t="shared" si="141"/>
        <v>0</v>
      </c>
      <c r="AO243" s="4">
        <f t="shared" si="141"/>
        <v>0</v>
      </c>
      <c r="AP243" s="1004"/>
      <c r="AQ243" s="268"/>
    </row>
    <row r="244" spans="1:43" ht="18" customHeight="1" x14ac:dyDescent="0.25">
      <c r="A244" s="998"/>
      <c r="B244" s="575" t="s">
        <v>16</v>
      </c>
      <c r="C244" s="654"/>
      <c r="D244" s="654"/>
      <c r="E244" s="341"/>
      <c r="F244" s="831"/>
      <c r="G244" s="341"/>
      <c r="H244" s="1046"/>
      <c r="I244" s="995"/>
      <c r="J244" s="1044"/>
      <c r="K244" s="4"/>
      <c r="L244" s="4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268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1004"/>
      <c r="AQ244" s="268"/>
    </row>
    <row r="245" spans="1:43" ht="54" hidden="1" customHeight="1" x14ac:dyDescent="0.25">
      <c r="A245" s="1332" t="s">
        <v>139</v>
      </c>
      <c r="B245" s="1613" t="s">
        <v>209</v>
      </c>
      <c r="C245" s="1614"/>
      <c r="D245" s="1614"/>
      <c r="E245" s="1614"/>
      <c r="F245" s="1614"/>
      <c r="G245" s="1614"/>
      <c r="H245" s="1615"/>
      <c r="I245" s="23" t="s">
        <v>19</v>
      </c>
      <c r="J245" s="1029">
        <v>0</v>
      </c>
      <c r="K245" s="1029">
        <v>0</v>
      </c>
      <c r="L245" s="47">
        <f>M245+N245+O245</f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96"/>
      <c r="AA245" s="47">
        <v>0</v>
      </c>
      <c r="AB245" s="47">
        <v>0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397"/>
      <c r="AQ245" s="96"/>
    </row>
    <row r="246" spans="1:43" ht="39.75" hidden="1" customHeight="1" x14ac:dyDescent="0.25">
      <c r="A246" s="1333"/>
      <c r="B246" s="1616"/>
      <c r="C246" s="1617"/>
      <c r="D246" s="1617"/>
      <c r="E246" s="1617"/>
      <c r="F246" s="1617"/>
      <c r="G246" s="1617"/>
      <c r="H246" s="1618"/>
      <c r="I246" s="23" t="s">
        <v>20</v>
      </c>
      <c r="J246" s="1029" t="e">
        <f>K246+L246</f>
        <v>#REF!</v>
      </c>
      <c r="K246" s="1029" t="e">
        <f>#REF!+K289+K301+K302</f>
        <v>#REF!</v>
      </c>
      <c r="L246" s="47">
        <f t="shared" ref="L246:AM246" si="142">L249+L252++L257+L261+L267+L269+L273+L278+L285+L289</f>
        <v>333768.50999999995</v>
      </c>
      <c r="M246" s="47">
        <f t="shared" si="142"/>
        <v>31936.59</v>
      </c>
      <c r="N246" s="47">
        <f t="shared" si="142"/>
        <v>80827.610000000015</v>
      </c>
      <c r="O246" s="47">
        <f t="shared" si="142"/>
        <v>46251.09</v>
      </c>
      <c r="P246" s="47">
        <f t="shared" si="142"/>
        <v>53453.89</v>
      </c>
      <c r="Q246" s="47">
        <f t="shared" si="142"/>
        <v>1828.65</v>
      </c>
      <c r="R246" s="47">
        <f t="shared" si="142"/>
        <v>784.17799999999988</v>
      </c>
      <c r="S246" s="47">
        <f t="shared" si="142"/>
        <v>784.17799999999988</v>
      </c>
      <c r="T246" s="47">
        <f t="shared" si="142"/>
        <v>3249.636</v>
      </c>
      <c r="U246" s="47">
        <f t="shared" si="142"/>
        <v>3253.0360000000001</v>
      </c>
      <c r="V246" s="47">
        <f t="shared" si="142"/>
        <v>157.59</v>
      </c>
      <c r="W246" s="47">
        <f t="shared" si="142"/>
        <v>1096.5039999999999</v>
      </c>
      <c r="X246" s="47">
        <f t="shared" si="142"/>
        <v>0</v>
      </c>
      <c r="Y246" s="47">
        <f t="shared" si="142"/>
        <v>0</v>
      </c>
      <c r="Z246" s="96"/>
      <c r="AA246" s="47">
        <f t="shared" si="142"/>
        <v>1870</v>
      </c>
      <c r="AB246" s="47">
        <f t="shared" si="142"/>
        <v>0</v>
      </c>
      <c r="AC246" s="47">
        <f t="shared" si="142"/>
        <v>2488.15</v>
      </c>
      <c r="AD246" s="47">
        <f t="shared" si="142"/>
        <v>64858.980889999999</v>
      </c>
      <c r="AE246" s="47">
        <f t="shared" si="142"/>
        <v>0</v>
      </c>
      <c r="AF246" s="47">
        <f t="shared" si="142"/>
        <v>0</v>
      </c>
      <c r="AG246" s="47">
        <f t="shared" si="142"/>
        <v>0</v>
      </c>
      <c r="AH246" s="47">
        <f t="shared" si="142"/>
        <v>0</v>
      </c>
      <c r="AI246" s="47">
        <f t="shared" si="142"/>
        <v>0</v>
      </c>
      <c r="AJ246" s="47">
        <f t="shared" si="142"/>
        <v>0</v>
      </c>
      <c r="AK246" s="47">
        <f t="shared" si="142"/>
        <v>44126.939999999995</v>
      </c>
      <c r="AL246" s="47">
        <f t="shared" si="142"/>
        <v>44126.939999999995</v>
      </c>
      <c r="AM246" s="47">
        <f t="shared" si="142"/>
        <v>0</v>
      </c>
      <c r="AN246" s="47">
        <f>AN249+AN252++AN257+AN260+AN267+AN269+AN273+AN278+AN285+AN288</f>
        <v>0</v>
      </c>
      <c r="AO246" s="47">
        <f>AO249+AO252++AO257+AO260+AO267+AO269+AO273+AO278+AO285+AO288</f>
        <v>0</v>
      </c>
      <c r="AP246" s="397"/>
      <c r="AQ246" s="96"/>
    </row>
    <row r="247" spans="1:43" ht="26.25" hidden="1" customHeight="1" x14ac:dyDescent="0.25">
      <c r="A247" s="1333"/>
      <c r="B247" s="1616"/>
      <c r="C247" s="1617"/>
      <c r="D247" s="1617"/>
      <c r="E247" s="1617"/>
      <c r="F247" s="1617"/>
      <c r="G247" s="1617"/>
      <c r="H247" s="1618"/>
      <c r="I247" s="23" t="s">
        <v>10</v>
      </c>
      <c r="J247" s="1029">
        <v>0</v>
      </c>
      <c r="K247" s="1029">
        <v>0</v>
      </c>
      <c r="L247" s="47">
        <f t="shared" ref="L247:AM247" si="143">L264+L265+L293</f>
        <v>297742.64</v>
      </c>
      <c r="M247" s="47">
        <f t="shared" si="143"/>
        <v>295242.64</v>
      </c>
      <c r="N247" s="47">
        <f t="shared" si="143"/>
        <v>297742.64</v>
      </c>
      <c r="O247" s="47">
        <f t="shared" si="143"/>
        <v>297742.64</v>
      </c>
      <c r="P247" s="47">
        <f t="shared" si="143"/>
        <v>0</v>
      </c>
      <c r="Q247" s="47">
        <f t="shared" si="143"/>
        <v>54059.400939999992</v>
      </c>
      <c r="R247" s="47">
        <f t="shared" si="143"/>
        <v>21705.95</v>
      </c>
      <c r="S247" s="47">
        <f t="shared" si="143"/>
        <v>21705.95</v>
      </c>
      <c r="T247" s="47">
        <f t="shared" si="143"/>
        <v>21705.95</v>
      </c>
      <c r="U247" s="47">
        <f t="shared" si="143"/>
        <v>21705.95</v>
      </c>
      <c r="V247" s="47">
        <f t="shared" si="143"/>
        <v>50383.255000000005</v>
      </c>
      <c r="W247" s="47">
        <f t="shared" si="143"/>
        <v>50383.255000000005</v>
      </c>
      <c r="X247" s="47">
        <f t="shared" si="143"/>
        <v>21705.95</v>
      </c>
      <c r="Y247" s="47">
        <f t="shared" si="143"/>
        <v>21705.95</v>
      </c>
      <c r="Z247" s="96"/>
      <c r="AA247" s="47">
        <f t="shared" si="143"/>
        <v>61445.743409999995</v>
      </c>
      <c r="AB247" s="47">
        <f t="shared" si="143"/>
        <v>17522.268</v>
      </c>
      <c r="AC247" s="47">
        <f t="shared" si="143"/>
        <v>32099.796000000002</v>
      </c>
      <c r="AD247" s="47">
        <f t="shared" si="143"/>
        <v>83597.849889999998</v>
      </c>
      <c r="AE247" s="47">
        <f t="shared" si="143"/>
        <v>0</v>
      </c>
      <c r="AF247" s="47">
        <f t="shared" si="143"/>
        <v>0</v>
      </c>
      <c r="AG247" s="47">
        <f t="shared" si="143"/>
        <v>0</v>
      </c>
      <c r="AH247" s="47">
        <f t="shared" si="143"/>
        <v>0</v>
      </c>
      <c r="AI247" s="47">
        <f t="shared" si="143"/>
        <v>0</v>
      </c>
      <c r="AJ247" s="47">
        <f t="shared" si="143"/>
        <v>0</v>
      </c>
      <c r="AK247" s="47">
        <f t="shared" si="143"/>
        <v>0</v>
      </c>
      <c r="AL247" s="47">
        <f t="shared" si="143"/>
        <v>0</v>
      </c>
      <c r="AM247" s="47">
        <f t="shared" si="143"/>
        <v>0</v>
      </c>
      <c r="AN247" s="47">
        <v>0</v>
      </c>
      <c r="AO247" s="47">
        <v>0</v>
      </c>
      <c r="AP247" s="397"/>
      <c r="AQ247" s="96"/>
    </row>
    <row r="248" spans="1:43" ht="25.5" hidden="1" x14ac:dyDescent="0.25">
      <c r="A248" s="1334"/>
      <c r="B248" s="1619"/>
      <c r="C248" s="1620"/>
      <c r="D248" s="1620"/>
      <c r="E248" s="1620"/>
      <c r="F248" s="1620"/>
      <c r="G248" s="1620"/>
      <c r="H248" s="1621"/>
      <c r="I248" s="23" t="s">
        <v>9</v>
      </c>
      <c r="J248" s="1029">
        <v>0</v>
      </c>
      <c r="K248" s="1029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1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s="327" customFormat="1" ht="27.75" customHeight="1" x14ac:dyDescent="0.25">
      <c r="A249" s="1450" t="s">
        <v>184</v>
      </c>
      <c r="B249" s="780" t="s">
        <v>89</v>
      </c>
      <c r="C249" s="133"/>
      <c r="D249" s="133"/>
      <c r="E249" s="133"/>
      <c r="F249" s="133"/>
      <c r="G249" s="778"/>
      <c r="H249" s="778"/>
      <c r="I249" s="1463" t="s">
        <v>20</v>
      </c>
      <c r="J249" s="1014"/>
      <c r="K249" s="3"/>
      <c r="L249" s="3">
        <f>L250</f>
        <v>5195.03</v>
      </c>
      <c r="M249" s="3">
        <f>M250</f>
        <v>0</v>
      </c>
      <c r="N249" s="3">
        <f t="shared" ref="N249:AO250" si="144">N250</f>
        <v>5037.4399999999996</v>
      </c>
      <c r="O249" s="3">
        <f t="shared" si="144"/>
        <v>0</v>
      </c>
      <c r="P249" s="3">
        <v>416.03</v>
      </c>
      <c r="Q249" s="3">
        <v>0</v>
      </c>
      <c r="R249" s="3">
        <f t="shared" si="144"/>
        <v>0</v>
      </c>
      <c r="S249" s="3">
        <f t="shared" si="144"/>
        <v>0</v>
      </c>
      <c r="T249" s="3">
        <f t="shared" si="144"/>
        <v>0</v>
      </c>
      <c r="U249" s="3">
        <f t="shared" si="144"/>
        <v>0</v>
      </c>
      <c r="V249" s="3">
        <f t="shared" si="144"/>
        <v>157.59</v>
      </c>
      <c r="W249" s="3">
        <f t="shared" si="144"/>
        <v>1096.5039999999999</v>
      </c>
      <c r="X249" s="3">
        <f t="shared" si="144"/>
        <v>0</v>
      </c>
      <c r="Y249" s="3">
        <f t="shared" si="144"/>
        <v>0</v>
      </c>
      <c r="Z249" s="3">
        <v>0</v>
      </c>
      <c r="AA249" s="3">
        <v>0</v>
      </c>
      <c r="AB249" s="3">
        <f t="shared" si="144"/>
        <v>0</v>
      </c>
      <c r="AC249" s="3">
        <f t="shared" si="144"/>
        <v>0</v>
      </c>
      <c r="AD249" s="3">
        <f t="shared" si="144"/>
        <v>1096.5039999999999</v>
      </c>
      <c r="AE249" s="3">
        <f t="shared" si="144"/>
        <v>0</v>
      </c>
      <c r="AF249" s="3">
        <f t="shared" si="144"/>
        <v>0</v>
      </c>
      <c r="AG249" s="3">
        <f t="shared" si="144"/>
        <v>0</v>
      </c>
      <c r="AH249" s="3">
        <f t="shared" si="144"/>
        <v>0</v>
      </c>
      <c r="AI249" s="3">
        <f t="shared" si="144"/>
        <v>0</v>
      </c>
      <c r="AJ249" s="3">
        <f t="shared" si="144"/>
        <v>0</v>
      </c>
      <c r="AK249" s="3">
        <f t="shared" si="144"/>
        <v>0</v>
      </c>
      <c r="AL249" s="3">
        <f t="shared" si="144"/>
        <v>0</v>
      </c>
      <c r="AM249" s="3">
        <f t="shared" si="144"/>
        <v>0</v>
      </c>
      <c r="AN249" s="3">
        <f t="shared" si="144"/>
        <v>0</v>
      </c>
      <c r="AO249" s="3">
        <f t="shared" si="144"/>
        <v>0</v>
      </c>
      <c r="AP249" s="633"/>
      <c r="AQ249" s="3">
        <v>0</v>
      </c>
    </row>
    <row r="250" spans="1:43" ht="15.75" hidden="1" customHeight="1" x14ac:dyDescent="0.25">
      <c r="A250" s="1656"/>
      <c r="B250" s="47" t="s">
        <v>15</v>
      </c>
      <c r="C250" s="341"/>
      <c r="D250" s="341"/>
      <c r="E250" s="341"/>
      <c r="F250" s="341"/>
      <c r="G250" s="313"/>
      <c r="H250" s="1045"/>
      <c r="I250" s="1465"/>
      <c r="J250" s="1030"/>
      <c r="K250" s="4"/>
      <c r="L250" s="47">
        <v>5195.03</v>
      </c>
      <c r="M250" s="50">
        <v>0</v>
      </c>
      <c r="N250" s="50">
        <v>5037.4399999999996</v>
      </c>
      <c r="O250" s="50">
        <v>0</v>
      </c>
      <c r="P250" s="50">
        <v>157.59</v>
      </c>
      <c r="Q250" s="447">
        <f>Q251</f>
        <v>1096.5039999999999</v>
      </c>
      <c r="R250" s="447">
        <f t="shared" si="144"/>
        <v>0</v>
      </c>
      <c r="S250" s="447">
        <f t="shared" si="144"/>
        <v>0</v>
      </c>
      <c r="T250" s="447">
        <f t="shared" si="144"/>
        <v>0</v>
      </c>
      <c r="U250" s="447">
        <f t="shared" si="144"/>
        <v>0</v>
      </c>
      <c r="V250" s="447">
        <f t="shared" si="144"/>
        <v>157.59</v>
      </c>
      <c r="W250" s="447">
        <f t="shared" si="144"/>
        <v>1096.5039999999999</v>
      </c>
      <c r="X250" s="447">
        <f t="shared" si="144"/>
        <v>0</v>
      </c>
      <c r="Y250" s="447">
        <f t="shared" si="144"/>
        <v>0</v>
      </c>
      <c r="Z250" s="584"/>
      <c r="AA250" s="447">
        <f t="shared" si="144"/>
        <v>1096.5039999999999</v>
      </c>
      <c r="AB250" s="447">
        <f t="shared" si="144"/>
        <v>0</v>
      </c>
      <c r="AC250" s="447">
        <f t="shared" si="144"/>
        <v>0</v>
      </c>
      <c r="AD250" s="447">
        <f t="shared" si="144"/>
        <v>1096.5039999999999</v>
      </c>
      <c r="AE250" s="447">
        <f t="shared" si="144"/>
        <v>0</v>
      </c>
      <c r="AF250" s="447">
        <f t="shared" si="144"/>
        <v>0</v>
      </c>
      <c r="AG250" s="447">
        <f t="shared" si="144"/>
        <v>0</v>
      </c>
      <c r="AH250" s="447">
        <f t="shared" si="144"/>
        <v>0</v>
      </c>
      <c r="AI250" s="447">
        <f t="shared" si="144"/>
        <v>0</v>
      </c>
      <c r="AJ250" s="447">
        <v>0</v>
      </c>
      <c r="AK250" s="447">
        <v>0</v>
      </c>
      <c r="AL250" s="447">
        <v>0</v>
      </c>
      <c r="AM250" s="50">
        <v>0</v>
      </c>
      <c r="AN250" s="50">
        <v>0</v>
      </c>
      <c r="AO250" s="50">
        <v>0</v>
      </c>
      <c r="AP250" s="412"/>
      <c r="AQ250" s="584"/>
    </row>
    <row r="251" spans="1:43" s="266" customFormat="1" ht="15.75" hidden="1" customHeight="1" x14ac:dyDescent="0.25">
      <c r="A251" s="1657"/>
      <c r="B251" s="96" t="s">
        <v>323</v>
      </c>
      <c r="C251" s="453"/>
      <c r="D251" s="453"/>
      <c r="E251" s="453"/>
      <c r="F251" s="453"/>
      <c r="G251" s="363"/>
      <c r="H251" s="364"/>
      <c r="I251" s="370"/>
      <c r="J251" s="651"/>
      <c r="K251" s="268"/>
      <c r="L251" s="96"/>
      <c r="M251" s="263"/>
      <c r="N251" s="263"/>
      <c r="O251" s="263"/>
      <c r="P251" s="263"/>
      <c r="Q251" s="584">
        <f>W251</f>
        <v>1096.5039999999999</v>
      </c>
      <c r="R251" s="584"/>
      <c r="S251" s="584"/>
      <c r="T251" s="584"/>
      <c r="U251" s="584"/>
      <c r="V251" s="584">
        <v>157.59</v>
      </c>
      <c r="W251" s="584">
        <v>1096.5039999999999</v>
      </c>
      <c r="X251" s="584"/>
      <c r="Y251" s="584"/>
      <c r="Z251" s="584"/>
      <c r="AA251" s="584">
        <f>AD251</f>
        <v>1096.5039999999999</v>
      </c>
      <c r="AB251" s="584"/>
      <c r="AC251" s="584"/>
      <c r="AD251" s="584">
        <v>1096.5039999999999</v>
      </c>
      <c r="AE251" s="584"/>
      <c r="AF251" s="584"/>
      <c r="AG251" s="584"/>
      <c r="AH251" s="584"/>
      <c r="AI251" s="584"/>
      <c r="AJ251" s="584"/>
      <c r="AK251" s="584"/>
      <c r="AL251" s="584"/>
      <c r="AM251" s="263"/>
      <c r="AN251" s="263"/>
      <c r="AO251" s="263"/>
      <c r="AP251" s="413"/>
      <c r="AQ251" s="584"/>
    </row>
    <row r="252" spans="1:43" s="327" customFormat="1" ht="28.5" customHeight="1" x14ac:dyDescent="0.25">
      <c r="A252" s="1450" t="s">
        <v>185</v>
      </c>
      <c r="B252" s="780" t="s">
        <v>187</v>
      </c>
      <c r="C252" s="133"/>
      <c r="D252" s="133"/>
      <c r="E252" s="133"/>
      <c r="F252" s="133"/>
      <c r="G252" s="778"/>
      <c r="H252" s="778"/>
      <c r="I252" s="1463" t="s">
        <v>20</v>
      </c>
      <c r="J252" s="1014"/>
      <c r="K252" s="3"/>
      <c r="L252" s="3">
        <f>L253+L256</f>
        <v>134036.41</v>
      </c>
      <c r="M252" s="3">
        <f t="shared" ref="M252:AO252" si="145">M253+M256</f>
        <v>1825.11</v>
      </c>
      <c r="N252" s="3">
        <f t="shared" si="145"/>
        <v>57476.200000000004</v>
      </c>
      <c r="O252" s="3">
        <f t="shared" si="145"/>
        <v>0</v>
      </c>
      <c r="P252" s="3">
        <f t="shared" si="145"/>
        <v>8907.52</v>
      </c>
      <c r="Q252" s="3">
        <f t="shared" si="145"/>
        <v>0</v>
      </c>
      <c r="R252" s="3">
        <f t="shared" si="145"/>
        <v>0</v>
      </c>
      <c r="S252" s="3">
        <f t="shared" si="145"/>
        <v>0</v>
      </c>
      <c r="T252" s="3">
        <f t="shared" si="145"/>
        <v>0</v>
      </c>
      <c r="U252" s="3">
        <f t="shared" si="145"/>
        <v>0</v>
      </c>
      <c r="V252" s="3">
        <f t="shared" si="145"/>
        <v>0</v>
      </c>
      <c r="W252" s="3">
        <f t="shared" si="145"/>
        <v>0</v>
      </c>
      <c r="X252" s="3">
        <f t="shared" si="145"/>
        <v>0</v>
      </c>
      <c r="Y252" s="3">
        <f t="shared" si="145"/>
        <v>0</v>
      </c>
      <c r="Z252" s="95">
        <v>0</v>
      </c>
      <c r="AA252" s="3">
        <f>AA253+AA256</f>
        <v>0</v>
      </c>
      <c r="AB252" s="3">
        <f t="shared" si="145"/>
        <v>0</v>
      </c>
      <c r="AC252" s="3">
        <f t="shared" si="145"/>
        <v>0</v>
      </c>
      <c r="AD252" s="3">
        <f t="shared" si="145"/>
        <v>0</v>
      </c>
      <c r="AE252" s="3">
        <f t="shared" si="145"/>
        <v>0</v>
      </c>
      <c r="AF252" s="3">
        <f t="shared" si="145"/>
        <v>0</v>
      </c>
      <c r="AG252" s="3">
        <f t="shared" si="145"/>
        <v>0</v>
      </c>
      <c r="AH252" s="3">
        <f t="shared" si="145"/>
        <v>0</v>
      </c>
      <c r="AI252" s="3">
        <f t="shared" si="145"/>
        <v>0</v>
      </c>
      <c r="AJ252" s="3">
        <f t="shared" si="145"/>
        <v>0</v>
      </c>
      <c r="AK252" s="3">
        <f t="shared" si="145"/>
        <v>0</v>
      </c>
      <c r="AL252" s="3">
        <f t="shared" si="145"/>
        <v>0</v>
      </c>
      <c r="AM252" s="3">
        <f t="shared" si="145"/>
        <v>0</v>
      </c>
      <c r="AN252" s="3">
        <f t="shared" si="145"/>
        <v>0</v>
      </c>
      <c r="AO252" s="3">
        <f t="shared" si="145"/>
        <v>0</v>
      </c>
      <c r="AP252" s="633" t="s">
        <v>256</v>
      </c>
      <c r="AQ252" s="95">
        <v>0</v>
      </c>
    </row>
    <row r="253" spans="1:43" ht="15.75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1045"/>
      <c r="I253" s="1464"/>
      <c r="J253" s="1030"/>
      <c r="K253" s="4"/>
      <c r="L253" s="47">
        <v>2401.5100000000002</v>
      </c>
      <c r="M253" s="47">
        <v>1825.11</v>
      </c>
      <c r="N253" s="47">
        <v>576.4</v>
      </c>
      <c r="O253" s="47">
        <v>0</v>
      </c>
      <c r="P253" s="47">
        <v>0</v>
      </c>
      <c r="Q253" s="47">
        <f>SUM(Q254:Q255)</f>
        <v>0</v>
      </c>
      <c r="R253" s="50">
        <f>SUM(R254:R255)</f>
        <v>0</v>
      </c>
      <c r="S253" s="50">
        <f t="shared" ref="S253:Y253" si="146">SUM(S254:S255)</f>
        <v>0</v>
      </c>
      <c r="T253" s="50">
        <f t="shared" si="146"/>
        <v>0</v>
      </c>
      <c r="U253" s="50">
        <f t="shared" si="146"/>
        <v>0</v>
      </c>
      <c r="V253" s="50">
        <f t="shared" si="146"/>
        <v>0</v>
      </c>
      <c r="W253" s="50">
        <f t="shared" si="146"/>
        <v>0</v>
      </c>
      <c r="X253" s="447">
        <f t="shared" si="146"/>
        <v>0</v>
      </c>
      <c r="Y253" s="447">
        <f t="shared" si="146"/>
        <v>0</v>
      </c>
      <c r="Z253" s="584"/>
      <c r="AA253" s="447">
        <f>AA254+AA255</f>
        <v>0</v>
      </c>
      <c r="AB253" s="50">
        <f>AB254+AB255</f>
        <v>0</v>
      </c>
      <c r="AC253" s="50">
        <f>AC254+AC255</f>
        <v>0</v>
      </c>
      <c r="AD253" s="50">
        <f>AD254+AD255</f>
        <v>0</v>
      </c>
      <c r="AE253" s="50">
        <f>AE254</f>
        <v>0</v>
      </c>
      <c r="AF253" s="50">
        <v>0</v>
      </c>
      <c r="AG253" s="50">
        <v>0</v>
      </c>
      <c r="AH253" s="50">
        <v>0</v>
      </c>
      <c r="AI253" s="50"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6"/>
      <c r="B254" s="452" t="s">
        <v>267</v>
      </c>
      <c r="C254" s="453"/>
      <c r="D254" s="453"/>
      <c r="E254" s="453"/>
      <c r="F254" s="453"/>
      <c r="G254" s="453"/>
      <c r="H254" s="454"/>
      <c r="I254" s="1464"/>
      <c r="J254" s="651"/>
      <c r="K254" s="268"/>
      <c r="L254" s="96"/>
      <c r="M254" s="268"/>
      <c r="N254" s="268"/>
      <c r="O254" s="268"/>
      <c r="P254" s="268">
        <f>Q254</f>
        <v>0</v>
      </c>
      <c r="Q254" s="455">
        <f>S254+U254+W254</f>
        <v>0</v>
      </c>
      <c r="R254" s="455"/>
      <c r="S254" s="455"/>
      <c r="T254" s="455">
        <v>0</v>
      </c>
      <c r="U254" s="455">
        <v>0</v>
      </c>
      <c r="V254" s="455"/>
      <c r="W254" s="455"/>
      <c r="X254" s="455"/>
      <c r="Y254" s="455"/>
      <c r="Z254" s="455"/>
      <c r="AA254" s="455">
        <f>SUM(AB254:AE254)</f>
        <v>0</v>
      </c>
      <c r="AB254" s="455"/>
      <c r="AC254" s="455">
        <v>0</v>
      </c>
      <c r="AD254" s="455">
        <v>0</v>
      </c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6"/>
      <c r="AQ254" s="455"/>
    </row>
    <row r="255" spans="1:43" s="266" customFormat="1" ht="15.75" hidden="1" customHeight="1" x14ac:dyDescent="0.25">
      <c r="A255" s="1656"/>
      <c r="B255" s="452" t="s">
        <v>271</v>
      </c>
      <c r="C255" s="453"/>
      <c r="D255" s="453"/>
      <c r="E255" s="453"/>
      <c r="F255" s="453"/>
      <c r="G255" s="453"/>
      <c r="H255" s="454"/>
      <c r="I255" s="1464"/>
      <c r="J255" s="651"/>
      <c r="K255" s="268"/>
      <c r="L255" s="96"/>
      <c r="M255" s="268"/>
      <c r="N255" s="268"/>
      <c r="O255" s="268"/>
      <c r="P255" s="268"/>
      <c r="Q255" s="489">
        <f>S255+U255+W255+Y255</f>
        <v>0</v>
      </c>
      <c r="R255" s="489"/>
      <c r="S255" s="489"/>
      <c r="T255" s="489"/>
      <c r="U255" s="489"/>
      <c r="V255" s="489">
        <f>W255</f>
        <v>0</v>
      </c>
      <c r="W255" s="489">
        <v>0</v>
      </c>
      <c r="X255" s="489">
        <f>Y255</f>
        <v>0</v>
      </c>
      <c r="Y255" s="489">
        <v>0</v>
      </c>
      <c r="Z255" s="489"/>
      <c r="AA255" s="489">
        <f>SUM(AB255:AE255)</f>
        <v>0</v>
      </c>
      <c r="AB255" s="489"/>
      <c r="AC255" s="489"/>
      <c r="AD255" s="489">
        <v>0</v>
      </c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6"/>
      <c r="AQ255" s="489"/>
    </row>
    <row r="256" spans="1:43" ht="15.75" customHeight="1" x14ac:dyDescent="0.25">
      <c r="A256" s="1657"/>
      <c r="B256" s="340" t="s">
        <v>32</v>
      </c>
      <c r="C256" s="341"/>
      <c r="D256" s="341"/>
      <c r="E256" s="341"/>
      <c r="F256" s="341"/>
      <c r="G256" s="341"/>
      <c r="H256" s="1046"/>
      <c r="I256" s="1662"/>
      <c r="J256" s="1030"/>
      <c r="K256" s="4"/>
      <c r="L256" s="47">
        <v>131634.9</v>
      </c>
      <c r="M256" s="343">
        <v>0</v>
      </c>
      <c r="N256" s="47">
        <v>56899.8</v>
      </c>
      <c r="O256" s="343">
        <v>0</v>
      </c>
      <c r="P256" s="47">
        <v>8907.52</v>
      </c>
      <c r="Q256" s="47">
        <v>0</v>
      </c>
      <c r="R256" s="343">
        <v>0</v>
      </c>
      <c r="S256" s="343">
        <v>0</v>
      </c>
      <c r="T256" s="343">
        <v>0</v>
      </c>
      <c r="U256" s="343">
        <v>0</v>
      </c>
      <c r="V256" s="343">
        <v>0</v>
      </c>
      <c r="W256" s="343">
        <v>0</v>
      </c>
      <c r="X256" s="343">
        <v>0</v>
      </c>
      <c r="Y256" s="343">
        <v>0</v>
      </c>
      <c r="Z256" s="455"/>
      <c r="AA256" s="343">
        <v>0</v>
      </c>
      <c r="AB256" s="343">
        <v>0</v>
      </c>
      <c r="AC256" s="343">
        <v>0</v>
      </c>
      <c r="AD256" s="343">
        <v>0</v>
      </c>
      <c r="AE256" s="343">
        <v>0</v>
      </c>
      <c r="AF256" s="343">
        <v>0</v>
      </c>
      <c r="AG256" s="343">
        <v>0</v>
      </c>
      <c r="AH256" s="343">
        <v>0</v>
      </c>
      <c r="AI256" s="343">
        <v>0</v>
      </c>
      <c r="AJ256" s="343">
        <v>0</v>
      </c>
      <c r="AK256" s="343">
        <v>0</v>
      </c>
      <c r="AL256" s="343">
        <v>0</v>
      </c>
      <c r="AM256" s="343">
        <v>0</v>
      </c>
      <c r="AN256" s="343">
        <v>0</v>
      </c>
      <c r="AO256" s="343">
        <v>0</v>
      </c>
      <c r="AP256" s="415"/>
      <c r="AQ256" s="455"/>
    </row>
    <row r="257" spans="1:43" s="327" customFormat="1" ht="27.75" customHeight="1" x14ac:dyDescent="0.25">
      <c r="A257" s="1473" t="s">
        <v>186</v>
      </c>
      <c r="B257" s="780" t="s">
        <v>210</v>
      </c>
      <c r="C257" s="1018"/>
      <c r="D257" s="1018"/>
      <c r="E257" s="1018">
        <v>300</v>
      </c>
      <c r="F257" s="1018"/>
      <c r="G257" s="1018">
        <v>2019</v>
      </c>
      <c r="H257" s="1018">
        <v>2019</v>
      </c>
      <c r="I257" s="1493" t="s">
        <v>20</v>
      </c>
      <c r="J257" s="52">
        <f>K257+L257</f>
        <v>27019.38</v>
      </c>
      <c r="K257" s="3">
        <v>0</v>
      </c>
      <c r="L257" s="3">
        <f>L258</f>
        <v>27019.38</v>
      </c>
      <c r="M257" s="3">
        <f>M258</f>
        <v>27019.38</v>
      </c>
      <c r="N257" s="318">
        <v>0</v>
      </c>
      <c r="O257" s="318">
        <v>0</v>
      </c>
      <c r="P257" s="318">
        <f>P258</f>
        <v>0</v>
      </c>
      <c r="Q257" s="318">
        <f>Q258</f>
        <v>0</v>
      </c>
      <c r="R257" s="318">
        <f t="shared" ref="R257:AO258" si="147">R258</f>
        <v>0</v>
      </c>
      <c r="S257" s="318">
        <f t="shared" si="147"/>
        <v>0</v>
      </c>
      <c r="T257" s="318">
        <f t="shared" si="147"/>
        <v>0</v>
      </c>
      <c r="U257" s="318">
        <f t="shared" si="147"/>
        <v>0</v>
      </c>
      <c r="V257" s="318">
        <f t="shared" si="147"/>
        <v>0</v>
      </c>
      <c r="W257" s="318">
        <f t="shared" si="147"/>
        <v>0</v>
      </c>
      <c r="X257" s="318">
        <f t="shared" si="147"/>
        <v>0</v>
      </c>
      <c r="Y257" s="318">
        <f t="shared" si="147"/>
        <v>0</v>
      </c>
      <c r="Z257" s="372">
        <v>0</v>
      </c>
      <c r="AA257" s="318">
        <f t="shared" si="147"/>
        <v>0</v>
      </c>
      <c r="AB257" s="318">
        <f t="shared" si="147"/>
        <v>0</v>
      </c>
      <c r="AC257" s="318">
        <f t="shared" si="147"/>
        <v>0</v>
      </c>
      <c r="AD257" s="318">
        <f t="shared" si="147"/>
        <v>0</v>
      </c>
      <c r="AE257" s="318">
        <f t="shared" si="147"/>
        <v>0</v>
      </c>
      <c r="AF257" s="318">
        <f t="shared" si="147"/>
        <v>0</v>
      </c>
      <c r="AG257" s="318">
        <f t="shared" si="147"/>
        <v>0</v>
      </c>
      <c r="AH257" s="318">
        <f t="shared" si="147"/>
        <v>0</v>
      </c>
      <c r="AI257" s="318">
        <f t="shared" si="147"/>
        <v>0</v>
      </c>
      <c r="AJ257" s="318">
        <f t="shared" si="147"/>
        <v>0</v>
      </c>
      <c r="AK257" s="318">
        <f t="shared" si="147"/>
        <v>0</v>
      </c>
      <c r="AL257" s="318">
        <f t="shared" si="147"/>
        <v>0</v>
      </c>
      <c r="AM257" s="318">
        <f t="shared" si="147"/>
        <v>0</v>
      </c>
      <c r="AN257" s="318">
        <f t="shared" si="147"/>
        <v>0</v>
      </c>
      <c r="AO257" s="318">
        <f t="shared" si="147"/>
        <v>0</v>
      </c>
      <c r="AP257" s="783" t="s">
        <v>273</v>
      </c>
      <c r="AQ257" s="372">
        <v>0</v>
      </c>
    </row>
    <row r="258" spans="1:43" ht="19.5" hidden="1" customHeight="1" x14ac:dyDescent="0.25">
      <c r="A258" s="1663"/>
      <c r="B258" s="1" t="s">
        <v>211</v>
      </c>
      <c r="C258" s="1013"/>
      <c r="D258" s="1013"/>
      <c r="E258" s="1013"/>
      <c r="F258" s="1013"/>
      <c r="G258" s="1013"/>
      <c r="H258" s="1013"/>
      <c r="I258" s="1494"/>
      <c r="J258" s="6"/>
      <c r="K258" s="47"/>
      <c r="L258" s="47">
        <v>27019.38</v>
      </c>
      <c r="M258" s="47">
        <v>27019.38</v>
      </c>
      <c r="N258" s="47">
        <v>0</v>
      </c>
      <c r="O258" s="47">
        <v>0</v>
      </c>
      <c r="P258" s="4">
        <v>0</v>
      </c>
      <c r="Q258" s="4">
        <f>Q259</f>
        <v>0</v>
      </c>
      <c r="R258" s="4">
        <f t="shared" si="147"/>
        <v>0</v>
      </c>
      <c r="S258" s="4">
        <f t="shared" si="147"/>
        <v>0</v>
      </c>
      <c r="T258" s="4">
        <f t="shared" si="147"/>
        <v>0</v>
      </c>
      <c r="U258" s="4">
        <f t="shared" si="147"/>
        <v>0</v>
      </c>
      <c r="V258" s="4">
        <f t="shared" si="147"/>
        <v>0</v>
      </c>
      <c r="W258" s="4">
        <f t="shared" si="147"/>
        <v>0</v>
      </c>
      <c r="X258" s="4">
        <v>0</v>
      </c>
      <c r="Y258" s="4">
        <f t="shared" si="147"/>
        <v>0</v>
      </c>
      <c r="Z258" s="268"/>
      <c r="AA258" s="4">
        <f t="shared" si="147"/>
        <v>0</v>
      </c>
      <c r="AB258" s="4">
        <f t="shared" si="147"/>
        <v>0</v>
      </c>
      <c r="AC258" s="4">
        <f t="shared" si="147"/>
        <v>0</v>
      </c>
      <c r="AD258" s="4">
        <f t="shared" si="147"/>
        <v>0</v>
      </c>
      <c r="AE258" s="4">
        <f t="shared" si="147"/>
        <v>0</v>
      </c>
      <c r="AF258" s="4">
        <f>AF259</f>
        <v>0</v>
      </c>
      <c r="AG258" s="4">
        <f t="shared" si="147"/>
        <v>0</v>
      </c>
      <c r="AH258" s="4">
        <f t="shared" si="147"/>
        <v>0</v>
      </c>
      <c r="AI258" s="4">
        <f t="shared" si="147"/>
        <v>0</v>
      </c>
      <c r="AJ258" s="4">
        <f t="shared" si="147"/>
        <v>0</v>
      </c>
      <c r="AK258" s="4">
        <f t="shared" si="147"/>
        <v>0</v>
      </c>
      <c r="AL258" s="4">
        <f t="shared" si="147"/>
        <v>0</v>
      </c>
      <c r="AM258" s="4">
        <f t="shared" si="147"/>
        <v>0</v>
      </c>
      <c r="AN258" s="4">
        <f t="shared" si="147"/>
        <v>0</v>
      </c>
      <c r="AO258" s="4">
        <f t="shared" si="147"/>
        <v>0</v>
      </c>
      <c r="AP258" s="417"/>
      <c r="AQ258" s="268"/>
    </row>
    <row r="259" spans="1:43" s="266" customFormat="1" ht="15.75" hidden="1" x14ac:dyDescent="0.25">
      <c r="A259" s="267"/>
      <c r="B259" s="102" t="s">
        <v>253</v>
      </c>
      <c r="C259" s="104"/>
      <c r="D259" s="104"/>
      <c r="E259" s="104"/>
      <c r="F259" s="104"/>
      <c r="G259" s="104"/>
      <c r="H259" s="104"/>
      <c r="I259" s="102"/>
      <c r="J259" s="106"/>
      <c r="K259" s="96"/>
      <c r="L259" s="96"/>
      <c r="M259" s="268"/>
      <c r="N259" s="268"/>
      <c r="O259" s="268"/>
      <c r="P259" s="268">
        <f>Q259</f>
        <v>0</v>
      </c>
      <c r="Q259" s="268">
        <f>S259+U259+W259</f>
        <v>0</v>
      </c>
      <c r="R259" s="268">
        <f>S259</f>
        <v>0</v>
      </c>
      <c r="S259" s="268">
        <v>0</v>
      </c>
      <c r="T259" s="268">
        <v>0</v>
      </c>
      <c r="U259" s="268">
        <v>0</v>
      </c>
      <c r="V259" s="268">
        <f>W259</f>
        <v>0</v>
      </c>
      <c r="W259" s="268">
        <v>0</v>
      </c>
      <c r="X259" s="268">
        <v>0</v>
      </c>
      <c r="Y259" s="268">
        <v>0</v>
      </c>
      <c r="Z259" s="268"/>
      <c r="AA259" s="268">
        <f>SUM(AB259:AC259)</f>
        <v>0</v>
      </c>
      <c r="AB259" s="268">
        <v>0</v>
      </c>
      <c r="AC259" s="268">
        <v>0</v>
      </c>
      <c r="AD259" s="268">
        <v>0</v>
      </c>
      <c r="AE259" s="268"/>
      <c r="AF259" s="268">
        <f>SUM(AG259:AI259)</f>
        <v>0</v>
      </c>
      <c r="AG259" s="268"/>
      <c r="AH259" s="268">
        <v>0</v>
      </c>
      <c r="AI259" s="268">
        <v>0</v>
      </c>
      <c r="AJ259" s="268"/>
      <c r="AK259" s="96"/>
      <c r="AL259" s="96"/>
      <c r="AM259" s="96"/>
      <c r="AN259" s="268"/>
      <c r="AO259" s="268"/>
      <c r="AP259" s="418"/>
      <c r="AQ259" s="268"/>
    </row>
    <row r="260" spans="1:43" s="327" customFormat="1" ht="40.5" customHeight="1" x14ac:dyDescent="0.25">
      <c r="A260" s="832" t="s">
        <v>188</v>
      </c>
      <c r="B260" s="780" t="s">
        <v>289</v>
      </c>
      <c r="C260" s="1018">
        <v>63</v>
      </c>
      <c r="D260" s="1018">
        <v>250</v>
      </c>
      <c r="E260" s="1018">
        <v>250</v>
      </c>
      <c r="F260" s="1018"/>
      <c r="G260" s="1018">
        <v>2019</v>
      </c>
      <c r="H260" s="1018">
        <v>2019</v>
      </c>
      <c r="I260" s="780"/>
      <c r="J260" s="52">
        <f>K260+L260</f>
        <v>36691.870000000003</v>
      </c>
      <c r="K260" s="3">
        <v>0</v>
      </c>
      <c r="L260" s="3">
        <f>L261+L264+L265</f>
        <v>36691.870000000003</v>
      </c>
      <c r="M260" s="3">
        <f>M261+M264+M265</f>
        <v>31392.57</v>
      </c>
      <c r="N260" s="3">
        <f>N261+N264+N265</f>
        <v>33892.57</v>
      </c>
      <c r="O260" s="3">
        <f>O261+O264+O265</f>
        <v>33892.57</v>
      </c>
      <c r="P260" s="3">
        <f>P261+P264+P265</f>
        <v>0</v>
      </c>
      <c r="Q260" s="3">
        <f>Q261+Q265</f>
        <v>0</v>
      </c>
      <c r="R260" s="3">
        <f t="shared" ref="R260:AI260" si="148">R261+R265</f>
        <v>138.15199999999999</v>
      </c>
      <c r="S260" s="3">
        <f t="shared" si="148"/>
        <v>138.15199999999999</v>
      </c>
      <c r="T260" s="3">
        <f t="shared" si="148"/>
        <v>2350</v>
      </c>
      <c r="U260" s="3">
        <f t="shared" si="148"/>
        <v>2350</v>
      </c>
      <c r="V260" s="3">
        <f t="shared" si="148"/>
        <v>28677.305</v>
      </c>
      <c r="W260" s="3">
        <f t="shared" si="148"/>
        <v>28677.305</v>
      </c>
      <c r="X260" s="3">
        <f t="shared" si="148"/>
        <v>0</v>
      </c>
      <c r="Y260" s="3">
        <f t="shared" si="148"/>
        <v>0</v>
      </c>
      <c r="Z260" s="3">
        <f t="shared" si="148"/>
        <v>0</v>
      </c>
      <c r="AA260" s="3">
        <f t="shared" si="148"/>
        <v>0</v>
      </c>
      <c r="AB260" s="3">
        <f t="shared" si="148"/>
        <v>0</v>
      </c>
      <c r="AC260" s="3">
        <f t="shared" si="148"/>
        <v>17468.748</v>
      </c>
      <c r="AD260" s="3">
        <f t="shared" si="148"/>
        <v>19862.373</v>
      </c>
      <c r="AE260" s="3">
        <f t="shared" si="148"/>
        <v>0</v>
      </c>
      <c r="AF260" s="3">
        <f t="shared" si="148"/>
        <v>0</v>
      </c>
      <c r="AG260" s="3">
        <f t="shared" si="148"/>
        <v>0</v>
      </c>
      <c r="AH260" s="3">
        <f t="shared" si="148"/>
        <v>0</v>
      </c>
      <c r="AI260" s="3">
        <f t="shared" si="148"/>
        <v>0</v>
      </c>
      <c r="AJ260" s="3">
        <v>0</v>
      </c>
      <c r="AK260" s="3">
        <f>P260-Q260</f>
        <v>0</v>
      </c>
      <c r="AL260" s="3">
        <f>AK260</f>
        <v>0</v>
      </c>
      <c r="AM260" s="318" t="e">
        <f>ROUND((Q260*100%/P260*100),2)</f>
        <v>#DIV/0!</v>
      </c>
      <c r="AN260" s="3">
        <v>0</v>
      </c>
      <c r="AO260" s="3">
        <v>0</v>
      </c>
      <c r="AP260" s="633"/>
      <c r="AQ260" s="95">
        <f>76.182+4641.965+15.332</f>
        <v>4733.4790000000003</v>
      </c>
    </row>
    <row r="261" spans="1:43" ht="33.75" x14ac:dyDescent="0.25">
      <c r="A261" s="1015"/>
      <c r="B261" s="47" t="s">
        <v>15</v>
      </c>
      <c r="C261" s="1013"/>
      <c r="D261" s="1013"/>
      <c r="E261" s="1013"/>
      <c r="F261" s="1013"/>
      <c r="G261" s="1013"/>
      <c r="H261" s="1013"/>
      <c r="I261" s="481" t="s">
        <v>20</v>
      </c>
      <c r="J261" s="462"/>
      <c r="K261" s="47"/>
      <c r="L261" s="47">
        <v>2799.3</v>
      </c>
      <c r="M261" s="4"/>
      <c r="N261" s="4">
        <v>0</v>
      </c>
      <c r="O261" s="4"/>
      <c r="P261" s="4">
        <v>0</v>
      </c>
      <c r="Q261" s="4">
        <v>0</v>
      </c>
      <c r="R261" s="4">
        <f t="shared" ref="R261:AE261" si="149">SUM(R262:R263)</f>
        <v>138.15199999999999</v>
      </c>
      <c r="S261" s="4">
        <f t="shared" si="149"/>
        <v>138.15199999999999</v>
      </c>
      <c r="T261" s="4">
        <f t="shared" si="149"/>
        <v>2350</v>
      </c>
      <c r="U261" s="4">
        <f t="shared" si="149"/>
        <v>2350</v>
      </c>
      <c r="V261" s="4">
        <f t="shared" si="149"/>
        <v>0</v>
      </c>
      <c r="W261" s="4">
        <f t="shared" si="149"/>
        <v>0</v>
      </c>
      <c r="X261" s="4">
        <f t="shared" si="149"/>
        <v>0</v>
      </c>
      <c r="Y261" s="4">
        <f t="shared" si="149"/>
        <v>0</v>
      </c>
      <c r="Z261" s="268"/>
      <c r="AA261" s="4">
        <v>0</v>
      </c>
      <c r="AB261" s="4">
        <f t="shared" si="149"/>
        <v>0</v>
      </c>
      <c r="AC261" s="4">
        <f t="shared" si="149"/>
        <v>2488.15</v>
      </c>
      <c r="AD261" s="4">
        <f t="shared" si="149"/>
        <v>0</v>
      </c>
      <c r="AE261" s="4">
        <f t="shared" si="149"/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1004"/>
      <c r="AQ261" s="268"/>
    </row>
    <row r="262" spans="1:43" s="266" customFormat="1" ht="15.75" hidden="1" x14ac:dyDescent="0.25">
      <c r="A262" s="267"/>
      <c r="B262" s="102" t="s">
        <v>303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R262+T262</f>
        <v>138.15199999999999</v>
      </c>
      <c r="Q262" s="268">
        <f>S262</f>
        <v>138.15199999999999</v>
      </c>
      <c r="R262" s="268">
        <f>S262</f>
        <v>138.15199999999999</v>
      </c>
      <c r="S262" s="268">
        <v>138.15199999999999</v>
      </c>
      <c r="T262" s="268">
        <f>U262</f>
        <v>0</v>
      </c>
      <c r="U262" s="268">
        <v>0</v>
      </c>
      <c r="V262" s="268"/>
      <c r="W262" s="268"/>
      <c r="X262" s="268"/>
      <c r="Y262" s="268">
        <v>0</v>
      </c>
      <c r="Z262" s="268"/>
      <c r="AA262" s="268">
        <f>AC262</f>
        <v>138.15</v>
      </c>
      <c r="AB262" s="268">
        <v>0</v>
      </c>
      <c r="AC262" s="268">
        <v>138.15</v>
      </c>
      <c r="AD262" s="268"/>
      <c r="AE262" s="268">
        <v>0</v>
      </c>
      <c r="AF262" s="268"/>
      <c r="AG262" s="268"/>
      <c r="AH262" s="268"/>
      <c r="AI262" s="268"/>
      <c r="AJ262" s="268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8"/>
      <c r="AQ262" s="268"/>
    </row>
    <row r="263" spans="1:43" s="266" customFormat="1" ht="15.75" hidden="1" x14ac:dyDescent="0.25">
      <c r="A263" s="490"/>
      <c r="B263" s="102" t="s">
        <v>311</v>
      </c>
      <c r="C263" s="104"/>
      <c r="D263" s="104"/>
      <c r="E263" s="104"/>
      <c r="F263" s="104"/>
      <c r="G263" s="104"/>
      <c r="H263" s="104"/>
      <c r="I263" s="92"/>
      <c r="J263" s="442"/>
      <c r="K263" s="96"/>
      <c r="L263" s="96"/>
      <c r="M263" s="268"/>
      <c r="N263" s="268"/>
      <c r="O263" s="268"/>
      <c r="P263" s="268"/>
      <c r="Q263" s="268">
        <f>Y263+U263</f>
        <v>2350</v>
      </c>
      <c r="R263" s="268"/>
      <c r="S263" s="268"/>
      <c r="T263" s="268">
        <f>U263</f>
        <v>2350</v>
      </c>
      <c r="U263" s="268">
        <v>2350</v>
      </c>
      <c r="V263" s="268"/>
      <c r="W263" s="268"/>
      <c r="X263" s="268"/>
      <c r="Y263" s="268">
        <v>0</v>
      </c>
      <c r="Z263" s="268"/>
      <c r="AA263" s="268">
        <f>AI263+AE263</f>
        <v>0</v>
      </c>
      <c r="AB263" s="268"/>
      <c r="AC263" s="268">
        <v>2350</v>
      </c>
      <c r="AD263" s="268"/>
      <c r="AE263" s="268">
        <v>0</v>
      </c>
      <c r="AF263" s="268"/>
      <c r="AG263" s="268"/>
      <c r="AH263" s="268"/>
      <c r="AI263" s="268"/>
      <c r="AJ263" s="268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8"/>
      <c r="AQ263" s="268"/>
    </row>
    <row r="264" spans="1:43" ht="15.75" x14ac:dyDescent="0.25">
      <c r="A264" s="1015"/>
      <c r="B264" s="47" t="s">
        <v>15</v>
      </c>
      <c r="C264" s="1013"/>
      <c r="D264" s="1013"/>
      <c r="E264" s="1013"/>
      <c r="F264" s="1013"/>
      <c r="G264" s="1013"/>
      <c r="H264" s="1013"/>
      <c r="I264" s="1493" t="s">
        <v>10</v>
      </c>
      <c r="J264" s="462"/>
      <c r="K264" s="47"/>
      <c r="L264" s="47">
        <v>2500</v>
      </c>
      <c r="M264" s="4"/>
      <c r="N264" s="4">
        <v>2500</v>
      </c>
      <c r="O264" s="4">
        <v>2500</v>
      </c>
      <c r="P264" s="4">
        <v>0</v>
      </c>
      <c r="Q264" s="4">
        <v>0</v>
      </c>
      <c r="R264" s="4">
        <v>0</v>
      </c>
      <c r="S264" s="4">
        <v>0</v>
      </c>
      <c r="T264" s="4"/>
      <c r="U264" s="4"/>
      <c r="V264" s="4"/>
      <c r="W264" s="4"/>
      <c r="X264" s="4"/>
      <c r="Y264" s="4"/>
      <c r="Z264" s="268"/>
      <c r="AA264" s="4">
        <v>0</v>
      </c>
      <c r="AB264" s="4">
        <v>0</v>
      </c>
      <c r="AC264" s="4"/>
      <c r="AD264" s="4"/>
      <c r="AE264" s="4"/>
      <c r="AF264" s="4">
        <v>0</v>
      </c>
      <c r="AG264" s="4">
        <v>0</v>
      </c>
      <c r="AH264" s="4"/>
      <c r="AI264" s="4"/>
      <c r="AJ264" s="4"/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417"/>
      <c r="AQ264" s="268"/>
    </row>
    <row r="265" spans="1:43" ht="15.75" x14ac:dyDescent="0.25">
      <c r="A265" s="1015"/>
      <c r="B265" s="1" t="s">
        <v>16</v>
      </c>
      <c r="C265" s="1013"/>
      <c r="D265" s="1013"/>
      <c r="E265" s="1013"/>
      <c r="F265" s="1013"/>
      <c r="G265" s="1013"/>
      <c r="H265" s="1013"/>
      <c r="I265" s="1494"/>
      <c r="J265" s="462"/>
      <c r="K265" s="47"/>
      <c r="L265" s="47">
        <v>31392.57</v>
      </c>
      <c r="M265" s="47">
        <v>31392.57</v>
      </c>
      <c r="N265" s="47">
        <v>31392.57</v>
      </c>
      <c r="O265" s="47">
        <v>31392.57</v>
      </c>
      <c r="P265" s="47">
        <v>0</v>
      </c>
      <c r="Q265" s="4">
        <v>0</v>
      </c>
      <c r="R265" s="4">
        <f t="shared" ref="R265:AI265" si="150">R266</f>
        <v>0</v>
      </c>
      <c r="S265" s="4">
        <f t="shared" si="150"/>
        <v>0</v>
      </c>
      <c r="T265" s="4">
        <f t="shared" si="150"/>
        <v>0</v>
      </c>
      <c r="U265" s="4">
        <f t="shared" si="150"/>
        <v>0</v>
      </c>
      <c r="V265" s="4">
        <f t="shared" si="150"/>
        <v>28677.305</v>
      </c>
      <c r="W265" s="4">
        <f t="shared" si="150"/>
        <v>28677.305</v>
      </c>
      <c r="X265" s="4">
        <f t="shared" si="150"/>
        <v>0</v>
      </c>
      <c r="Y265" s="4">
        <f t="shared" si="150"/>
        <v>0</v>
      </c>
      <c r="Z265" s="268"/>
      <c r="AA265" s="4">
        <v>0</v>
      </c>
      <c r="AB265" s="4">
        <f t="shared" si="150"/>
        <v>0</v>
      </c>
      <c r="AC265" s="4">
        <f t="shared" si="150"/>
        <v>14980.598</v>
      </c>
      <c r="AD265" s="4">
        <f t="shared" si="150"/>
        <v>19862.373</v>
      </c>
      <c r="AE265" s="4">
        <f t="shared" si="150"/>
        <v>0</v>
      </c>
      <c r="AF265" s="4">
        <f t="shared" si="150"/>
        <v>0</v>
      </c>
      <c r="AG265" s="4">
        <f t="shared" si="150"/>
        <v>0</v>
      </c>
      <c r="AH265" s="4">
        <f t="shared" si="150"/>
        <v>0</v>
      </c>
      <c r="AI265" s="4">
        <f t="shared" si="150"/>
        <v>0</v>
      </c>
      <c r="AJ265" s="4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7"/>
      <c r="AQ265" s="268"/>
    </row>
    <row r="266" spans="1:43" s="266" customFormat="1" ht="15.75" hidden="1" x14ac:dyDescent="0.25">
      <c r="A266" s="490"/>
      <c r="B266" s="102" t="s">
        <v>316</v>
      </c>
      <c r="C266" s="104"/>
      <c r="D266" s="104"/>
      <c r="E266" s="104"/>
      <c r="F266" s="104"/>
      <c r="G266" s="104"/>
      <c r="H266" s="104"/>
      <c r="I266" s="575"/>
      <c r="J266" s="442"/>
      <c r="K266" s="96"/>
      <c r="L266" s="96"/>
      <c r="M266" s="268"/>
      <c r="N266" s="268"/>
      <c r="O266" s="268"/>
      <c r="P266" s="268"/>
      <c r="Q266" s="268">
        <f>W266</f>
        <v>28677.305</v>
      </c>
      <c r="R266" s="268"/>
      <c r="S266" s="268"/>
      <c r="T266" s="268"/>
      <c r="U266" s="268"/>
      <c r="V266" s="268">
        <f>W266</f>
        <v>28677.305</v>
      </c>
      <c r="W266" s="268">
        <v>28677.305</v>
      </c>
      <c r="X266" s="268"/>
      <c r="Y266" s="268"/>
      <c r="Z266" s="268"/>
      <c r="AA266" s="268">
        <f>AC266+AD266</f>
        <v>34842.970999999998</v>
      </c>
      <c r="AB266" s="268"/>
      <c r="AC266" s="268">
        <v>14980.598</v>
      </c>
      <c r="AD266" s="268">
        <v>19862.373</v>
      </c>
      <c r="AE266" s="268"/>
      <c r="AF266" s="268"/>
      <c r="AG266" s="268"/>
      <c r="AH266" s="268"/>
      <c r="AI266" s="268"/>
      <c r="AJ266" s="268"/>
      <c r="AK266" s="96"/>
      <c r="AL266" s="96"/>
      <c r="AM266" s="96"/>
      <c r="AN266" s="268"/>
      <c r="AO266" s="268"/>
      <c r="AP266" s="418"/>
      <c r="AQ266" s="268"/>
    </row>
    <row r="267" spans="1:43" s="327" customFormat="1" ht="18.75" customHeight="1" x14ac:dyDescent="0.25">
      <c r="A267" s="1358" t="s">
        <v>189</v>
      </c>
      <c r="B267" s="609" t="s">
        <v>35</v>
      </c>
      <c r="C267" s="1661">
        <v>500</v>
      </c>
      <c r="D267" s="1661" t="s">
        <v>43</v>
      </c>
      <c r="E267" s="1661">
        <v>850</v>
      </c>
      <c r="F267" s="1660">
        <v>20400</v>
      </c>
      <c r="G267" s="807"/>
      <c r="H267" s="807"/>
      <c r="I267" s="1326" t="s">
        <v>20</v>
      </c>
      <c r="J267" s="1622">
        <v>6942.46</v>
      </c>
      <c r="K267" s="3">
        <v>0</v>
      </c>
      <c r="L267" s="3">
        <f>L268</f>
        <v>6462.97</v>
      </c>
      <c r="M267" s="318">
        <f>M268</f>
        <v>0</v>
      </c>
      <c r="N267" s="318">
        <f>N268</f>
        <v>0</v>
      </c>
      <c r="O267" s="318">
        <f>O268</f>
        <v>6942.46</v>
      </c>
      <c r="P267" s="318">
        <v>0</v>
      </c>
      <c r="Q267" s="318">
        <v>0</v>
      </c>
      <c r="R267" s="318">
        <v>0</v>
      </c>
      <c r="S267" s="318">
        <v>0</v>
      </c>
      <c r="T267" s="318">
        <v>0</v>
      </c>
      <c r="U267" s="318">
        <v>0</v>
      </c>
      <c r="V267" s="318">
        <v>0</v>
      </c>
      <c r="W267" s="318">
        <v>0</v>
      </c>
      <c r="X267" s="318">
        <v>0</v>
      </c>
      <c r="Y267" s="318">
        <v>0</v>
      </c>
      <c r="Z267" s="372">
        <v>0</v>
      </c>
      <c r="AA267" s="318">
        <v>0</v>
      </c>
      <c r="AB267" s="318">
        <v>0</v>
      </c>
      <c r="AC267" s="318">
        <v>0</v>
      </c>
      <c r="AD267" s="318">
        <v>0</v>
      </c>
      <c r="AE267" s="318">
        <v>0</v>
      </c>
      <c r="AF267" s="318">
        <v>0</v>
      </c>
      <c r="AG267" s="318">
        <v>0</v>
      </c>
      <c r="AH267" s="318">
        <v>0</v>
      </c>
      <c r="AI267" s="318">
        <v>0</v>
      </c>
      <c r="AJ267" s="318">
        <v>0</v>
      </c>
      <c r="AK267" s="3">
        <f>P267-Q267</f>
        <v>0</v>
      </c>
      <c r="AL267" s="3">
        <f>AK267</f>
        <v>0</v>
      </c>
      <c r="AM267" s="3">
        <v>0</v>
      </c>
      <c r="AN267" s="318">
        <v>0</v>
      </c>
      <c r="AO267" s="318">
        <v>0</v>
      </c>
      <c r="AP267" s="833"/>
      <c r="AQ267" s="372">
        <v>0</v>
      </c>
    </row>
    <row r="268" spans="1:43" ht="15" hidden="1" customHeight="1" x14ac:dyDescent="0.25">
      <c r="A268" s="1361"/>
      <c r="B268" s="1" t="s">
        <v>15</v>
      </c>
      <c r="C268" s="1661"/>
      <c r="D268" s="1661"/>
      <c r="E268" s="1661"/>
      <c r="F268" s="1661"/>
      <c r="G268" s="1013">
        <v>2021</v>
      </c>
      <c r="H268" s="1013">
        <v>2021</v>
      </c>
      <c r="I268" s="1328"/>
      <c r="J268" s="1624"/>
      <c r="K268" s="47"/>
      <c r="L268" s="47">
        <v>6462.97</v>
      </c>
      <c r="M268" s="47">
        <v>0</v>
      </c>
      <c r="N268" s="47">
        <v>0</v>
      </c>
      <c r="O268" s="47">
        <v>6942.46</v>
      </c>
      <c r="P268" s="47">
        <v>6462.97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96"/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327" customFormat="1" ht="28.5" customHeight="1" x14ac:dyDescent="0.25">
      <c r="A269" s="1358" t="s">
        <v>190</v>
      </c>
      <c r="B269" s="780" t="s">
        <v>191</v>
      </c>
      <c r="C269" s="1660"/>
      <c r="D269" s="1660"/>
      <c r="E269" s="1660"/>
      <c r="F269" s="1660">
        <v>80</v>
      </c>
      <c r="G269" s="807"/>
      <c r="H269" s="807"/>
      <c r="I269" s="1326" t="s">
        <v>20</v>
      </c>
      <c r="J269" s="52">
        <f>L269</f>
        <v>45265.81</v>
      </c>
      <c r="K269" s="52"/>
      <c r="L269" s="3">
        <f t="shared" ref="L269:AO269" si="151">L270+L272</f>
        <v>45265.81</v>
      </c>
      <c r="M269" s="3">
        <f t="shared" si="151"/>
        <v>33.479999999999997</v>
      </c>
      <c r="N269" s="3">
        <f t="shared" si="151"/>
        <v>7044.44</v>
      </c>
      <c r="O269" s="3">
        <f t="shared" si="151"/>
        <v>11467.37</v>
      </c>
      <c r="P269" s="3">
        <f t="shared" si="151"/>
        <v>40219.919999999998</v>
      </c>
      <c r="Q269" s="3">
        <f t="shared" si="151"/>
        <v>0</v>
      </c>
      <c r="R269" s="3">
        <f t="shared" si="151"/>
        <v>0</v>
      </c>
      <c r="S269" s="3">
        <f t="shared" si="151"/>
        <v>0</v>
      </c>
      <c r="T269" s="3">
        <f t="shared" si="151"/>
        <v>27</v>
      </c>
      <c r="U269" s="3">
        <f t="shared" si="151"/>
        <v>27</v>
      </c>
      <c r="V269" s="3">
        <f t="shared" si="151"/>
        <v>0</v>
      </c>
      <c r="W269" s="3">
        <f t="shared" si="151"/>
        <v>0</v>
      </c>
      <c r="X269" s="3">
        <f t="shared" si="151"/>
        <v>0</v>
      </c>
      <c r="Y269" s="3">
        <f t="shared" si="151"/>
        <v>0</v>
      </c>
      <c r="Z269" s="95">
        <v>0</v>
      </c>
      <c r="AA269" s="3">
        <f t="shared" si="151"/>
        <v>0</v>
      </c>
      <c r="AB269" s="3">
        <f>AB270+AB272</f>
        <v>0</v>
      </c>
      <c r="AC269" s="3">
        <f>AC270+AC272</f>
        <v>0</v>
      </c>
      <c r="AD269" s="3">
        <f>AD270+AD272</f>
        <v>27</v>
      </c>
      <c r="AE269" s="3">
        <f>AE270+AE272</f>
        <v>0</v>
      </c>
      <c r="AF269" s="3">
        <f t="shared" si="151"/>
        <v>0</v>
      </c>
      <c r="AG269" s="3">
        <f t="shared" si="151"/>
        <v>0</v>
      </c>
      <c r="AH269" s="3">
        <f t="shared" si="151"/>
        <v>0</v>
      </c>
      <c r="AI269" s="3">
        <f t="shared" si="151"/>
        <v>0</v>
      </c>
      <c r="AJ269" s="3">
        <f t="shared" si="151"/>
        <v>0</v>
      </c>
      <c r="AK269" s="3">
        <f>P269-Q269</f>
        <v>40219.919999999998</v>
      </c>
      <c r="AL269" s="3">
        <f>AK269</f>
        <v>40219.919999999998</v>
      </c>
      <c r="AM269" s="318">
        <v>0</v>
      </c>
      <c r="AN269" s="3">
        <f t="shared" si="151"/>
        <v>0</v>
      </c>
      <c r="AO269" s="3">
        <f t="shared" si="151"/>
        <v>0</v>
      </c>
      <c r="AP269" s="834"/>
      <c r="AQ269" s="95">
        <v>0</v>
      </c>
    </row>
    <row r="270" spans="1:43" ht="17.25" customHeight="1" x14ac:dyDescent="0.25">
      <c r="A270" s="1359"/>
      <c r="B270" s="1" t="s">
        <v>15</v>
      </c>
      <c r="C270" s="1661"/>
      <c r="D270" s="1661"/>
      <c r="E270" s="1661"/>
      <c r="F270" s="1661"/>
      <c r="G270" s="1013">
        <v>2019</v>
      </c>
      <c r="H270" s="1013">
        <v>2019</v>
      </c>
      <c r="I270" s="1327"/>
      <c r="J270" s="6">
        <f>L270</f>
        <v>7077.92</v>
      </c>
      <c r="K270" s="6"/>
      <c r="L270" s="47">
        <v>7077.92</v>
      </c>
      <c r="M270" s="47">
        <v>33.479999999999997</v>
      </c>
      <c r="N270" s="47">
        <v>7044.44</v>
      </c>
      <c r="O270" s="47">
        <v>0</v>
      </c>
      <c r="P270" s="47">
        <v>0</v>
      </c>
      <c r="Q270" s="47">
        <v>0</v>
      </c>
      <c r="R270" s="47">
        <f t="shared" ref="R270:AD270" si="152">SUM(R271)</f>
        <v>0</v>
      </c>
      <c r="S270" s="47">
        <f t="shared" si="152"/>
        <v>0</v>
      </c>
      <c r="T270" s="47">
        <f t="shared" si="152"/>
        <v>27</v>
      </c>
      <c r="U270" s="47">
        <f t="shared" si="152"/>
        <v>27</v>
      </c>
      <c r="V270" s="47">
        <f t="shared" si="152"/>
        <v>0</v>
      </c>
      <c r="W270" s="47">
        <f t="shared" si="152"/>
        <v>0</v>
      </c>
      <c r="X270" s="47">
        <f t="shared" si="152"/>
        <v>0</v>
      </c>
      <c r="Y270" s="47">
        <f t="shared" si="152"/>
        <v>0</v>
      </c>
      <c r="Z270" s="96"/>
      <c r="AA270" s="47">
        <v>0</v>
      </c>
      <c r="AB270" s="47">
        <f t="shared" si="152"/>
        <v>0</v>
      </c>
      <c r="AC270" s="47">
        <f t="shared" si="152"/>
        <v>0</v>
      </c>
      <c r="AD270" s="47">
        <f t="shared" si="152"/>
        <v>27</v>
      </c>
      <c r="AE270" s="47">
        <v>0</v>
      </c>
      <c r="AF270" s="47">
        <f>AF271</f>
        <v>0</v>
      </c>
      <c r="AG270" s="47">
        <f>AG271</f>
        <v>0</v>
      </c>
      <c r="AH270" s="47">
        <f>AH271</f>
        <v>0</v>
      </c>
      <c r="AI270" s="47">
        <f>AI271</f>
        <v>0</v>
      </c>
      <c r="AJ270" s="47">
        <f>AJ271</f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266" customFormat="1" ht="25.5" hidden="1" customHeight="1" x14ac:dyDescent="0.25">
      <c r="A271" s="1359"/>
      <c r="B271" s="102" t="s">
        <v>267</v>
      </c>
      <c r="C271" s="576"/>
      <c r="D271" s="576"/>
      <c r="E271" s="576"/>
      <c r="F271" s="576"/>
      <c r="G271" s="104"/>
      <c r="H271" s="104"/>
      <c r="I271" s="1327"/>
      <c r="J271" s="106"/>
      <c r="K271" s="106"/>
      <c r="L271" s="96"/>
      <c r="M271" s="96"/>
      <c r="N271" s="96"/>
      <c r="O271" s="96"/>
      <c r="P271" s="96">
        <f>R271</f>
        <v>0</v>
      </c>
      <c r="Q271" s="96">
        <f>S271+U271</f>
        <v>27</v>
      </c>
      <c r="R271" s="96">
        <v>0</v>
      </c>
      <c r="S271" s="96">
        <v>0</v>
      </c>
      <c r="T271" s="96">
        <f>U271</f>
        <v>27</v>
      </c>
      <c r="U271" s="96">
        <f>ROUND((32.4/1.2),2)</f>
        <v>27</v>
      </c>
      <c r="V271" s="96"/>
      <c r="W271" s="96"/>
      <c r="X271" s="96"/>
      <c r="Y271" s="96"/>
      <c r="Z271" s="96"/>
      <c r="AA271" s="96">
        <f>AD271</f>
        <v>27</v>
      </c>
      <c r="AB271" s="96">
        <v>0</v>
      </c>
      <c r="AC271" s="96"/>
      <c r="AD271" s="96">
        <v>27</v>
      </c>
      <c r="AE271" s="96"/>
      <c r="AF271" s="96">
        <f>SUM(AG271:AG271)</f>
        <v>0</v>
      </c>
      <c r="AG271" s="96"/>
      <c r="AH271" s="96"/>
      <c r="AI271" s="96"/>
      <c r="AJ271" s="96"/>
      <c r="AK271" s="96"/>
      <c r="AL271" s="96"/>
      <c r="AM271" s="96"/>
      <c r="AN271" s="96"/>
      <c r="AO271" s="96"/>
      <c r="AP271" s="421"/>
      <c r="AQ271" s="96"/>
    </row>
    <row r="272" spans="1:43" ht="17.25" customHeight="1" x14ac:dyDescent="0.25">
      <c r="A272" s="1361"/>
      <c r="B272" s="1" t="s">
        <v>16</v>
      </c>
      <c r="C272" s="1047"/>
      <c r="D272" s="1047"/>
      <c r="E272" s="1047"/>
      <c r="F272" s="1047"/>
      <c r="G272" s="1013">
        <v>2020</v>
      </c>
      <c r="H272" s="1013">
        <v>2021</v>
      </c>
      <c r="I272" s="1328"/>
      <c r="J272" s="6">
        <f>L272</f>
        <v>38187.89</v>
      </c>
      <c r="K272" s="6"/>
      <c r="L272" s="47">
        <v>38187.89</v>
      </c>
      <c r="M272" s="47">
        <v>0</v>
      </c>
      <c r="N272" s="47">
        <v>0</v>
      </c>
      <c r="O272" s="47">
        <v>11467.37</v>
      </c>
      <c r="P272" s="47">
        <v>40219.919999999998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96"/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19"/>
      <c r="AQ272" s="96"/>
    </row>
    <row r="273" spans="1:44" s="327" customFormat="1" ht="39.75" customHeight="1" x14ac:dyDescent="0.25">
      <c r="A273" s="1358" t="s">
        <v>192</v>
      </c>
      <c r="B273" s="772" t="s">
        <v>166</v>
      </c>
      <c r="C273" s="1660"/>
      <c r="D273" s="1660"/>
      <c r="E273" s="1660"/>
      <c r="F273" s="1660">
        <v>80</v>
      </c>
      <c r="G273" s="807"/>
      <c r="H273" s="807"/>
      <c r="I273" s="1326" t="s">
        <v>20</v>
      </c>
      <c r="J273" s="52">
        <f>L273</f>
        <v>94875.549999999988</v>
      </c>
      <c r="K273" s="52"/>
      <c r="L273" s="3">
        <f t="shared" ref="L273:O273" si="153">L274+L277</f>
        <v>94875.549999999988</v>
      </c>
      <c r="M273" s="3">
        <f t="shared" si="153"/>
        <v>2761.44</v>
      </c>
      <c r="N273" s="3">
        <f t="shared" si="153"/>
        <v>9629.68</v>
      </c>
      <c r="O273" s="3">
        <f t="shared" si="153"/>
        <v>22469.279999999999</v>
      </c>
      <c r="P273" s="3">
        <v>3907.02</v>
      </c>
      <c r="Q273" s="3">
        <v>0</v>
      </c>
      <c r="R273" s="3">
        <f t="shared" ref="R273:Y273" si="154">R274+R277</f>
        <v>646.02599999999995</v>
      </c>
      <c r="S273" s="3">
        <f t="shared" si="154"/>
        <v>646.02599999999995</v>
      </c>
      <c r="T273" s="3">
        <f t="shared" si="154"/>
        <v>872.63599999999997</v>
      </c>
      <c r="U273" s="3">
        <f t="shared" si="154"/>
        <v>872.63599999999997</v>
      </c>
      <c r="V273" s="3">
        <f t="shared" si="154"/>
        <v>0</v>
      </c>
      <c r="W273" s="3">
        <f t="shared" si="154"/>
        <v>0</v>
      </c>
      <c r="X273" s="3">
        <f t="shared" si="154"/>
        <v>0</v>
      </c>
      <c r="Y273" s="3">
        <f t="shared" si="154"/>
        <v>0</v>
      </c>
      <c r="Z273" s="3">
        <v>0</v>
      </c>
      <c r="AA273" s="3">
        <f>AA274+AA277</f>
        <v>0</v>
      </c>
      <c r="AB273" s="3">
        <f>AB274+AB277</f>
        <v>0</v>
      </c>
      <c r="AC273" s="3">
        <f t="shared" ref="AC273:AJ273" si="155">AC274+AC277</f>
        <v>0</v>
      </c>
      <c r="AD273" s="3">
        <f t="shared" si="155"/>
        <v>0</v>
      </c>
      <c r="AE273" s="3">
        <f t="shared" si="155"/>
        <v>0</v>
      </c>
      <c r="AF273" s="3">
        <f t="shared" si="155"/>
        <v>0</v>
      </c>
      <c r="AG273" s="3">
        <f t="shared" si="155"/>
        <v>0</v>
      </c>
      <c r="AH273" s="3">
        <f t="shared" si="155"/>
        <v>0</v>
      </c>
      <c r="AI273" s="3">
        <f t="shared" si="155"/>
        <v>0</v>
      </c>
      <c r="AJ273" s="3">
        <f t="shared" si="155"/>
        <v>0</v>
      </c>
      <c r="AK273" s="3">
        <f>P273-Q273</f>
        <v>3907.02</v>
      </c>
      <c r="AL273" s="3">
        <f>AK273</f>
        <v>3907.02</v>
      </c>
      <c r="AM273" s="3">
        <f>ROUND((Q273*100%/P273*100),2)</f>
        <v>0</v>
      </c>
      <c r="AN273" s="3">
        <f>AN274+AN277</f>
        <v>0</v>
      </c>
      <c r="AO273" s="3">
        <f>AO274+AO277</f>
        <v>0</v>
      </c>
      <c r="AP273" s="633" t="s">
        <v>256</v>
      </c>
      <c r="AQ273" s="3">
        <v>0</v>
      </c>
    </row>
    <row r="274" spans="1:44" ht="16.5" hidden="1" customHeight="1" x14ac:dyDescent="0.25">
      <c r="A274" s="1359"/>
      <c r="B274" s="42" t="s">
        <v>15</v>
      </c>
      <c r="C274" s="1661"/>
      <c r="D274" s="1661"/>
      <c r="E274" s="1661"/>
      <c r="F274" s="1661"/>
      <c r="G274" s="313"/>
      <c r="H274" s="1045"/>
      <c r="I274" s="1327"/>
      <c r="J274" s="1031"/>
      <c r="K274" s="47"/>
      <c r="L274" s="47">
        <v>5734.87</v>
      </c>
      <c r="M274" s="47">
        <v>2761.44</v>
      </c>
      <c r="N274" s="47">
        <v>105.99</v>
      </c>
      <c r="O274" s="47">
        <v>0</v>
      </c>
      <c r="P274" s="47">
        <v>0</v>
      </c>
      <c r="Q274" s="47">
        <f>SUM(Q275:Q277)</f>
        <v>1518.6619999999998</v>
      </c>
      <c r="R274" s="47">
        <f>S274</f>
        <v>646.02599999999995</v>
      </c>
      <c r="S274" s="47">
        <f>SUM(S275:S277)</f>
        <v>646.02599999999995</v>
      </c>
      <c r="T274" s="47">
        <f>SUM(T275:T277)</f>
        <v>872.63599999999997</v>
      </c>
      <c r="U274" s="47">
        <f>SUM(U275:U277)</f>
        <v>872.63599999999997</v>
      </c>
      <c r="V274" s="47">
        <f>SUM(V275:V277)</f>
        <v>0</v>
      </c>
      <c r="W274" s="47">
        <f>SUM(W275:W277)</f>
        <v>0</v>
      </c>
      <c r="X274" s="47">
        <v>0</v>
      </c>
      <c r="Y274" s="47">
        <f t="shared" ref="Y274:AE274" si="156">SUM(Y275:Y277)</f>
        <v>0</v>
      </c>
      <c r="Z274" s="96"/>
      <c r="AA274" s="47">
        <f t="shared" si="156"/>
        <v>0</v>
      </c>
      <c r="AB274" s="47">
        <f t="shared" si="156"/>
        <v>0</v>
      </c>
      <c r="AC274" s="47">
        <f t="shared" si="156"/>
        <v>0</v>
      </c>
      <c r="AD274" s="47">
        <f t="shared" si="156"/>
        <v>0</v>
      </c>
      <c r="AE274" s="47">
        <f t="shared" si="156"/>
        <v>0</v>
      </c>
      <c r="AF274" s="47">
        <f>SUM(AF275)</f>
        <v>0</v>
      </c>
      <c r="AG274" s="47">
        <f>SUM(AG275)</f>
        <v>0</v>
      </c>
      <c r="AH274" s="47">
        <f>SUM(AH275)</f>
        <v>0</v>
      </c>
      <c r="AI274" s="47">
        <f>SUM(AI275)</f>
        <v>0</v>
      </c>
      <c r="AJ274" s="47">
        <f>SUM(AJ275)</f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397"/>
      <c r="AQ274" s="96"/>
    </row>
    <row r="275" spans="1:44" s="266" customFormat="1" ht="16.5" hidden="1" customHeight="1" x14ac:dyDescent="0.25">
      <c r="A275" s="1359"/>
      <c r="B275" s="252" t="s">
        <v>228</v>
      </c>
      <c r="C275" s="363"/>
      <c r="D275" s="363"/>
      <c r="E275" s="363"/>
      <c r="F275" s="363"/>
      <c r="G275" s="363"/>
      <c r="H275" s="364"/>
      <c r="I275" s="1327"/>
      <c r="J275" s="258"/>
      <c r="K275" s="96"/>
      <c r="L275" s="96"/>
      <c r="M275" s="96"/>
      <c r="N275" s="96"/>
      <c r="O275" s="96"/>
      <c r="P275" s="47"/>
      <c r="Q275" s="96">
        <f>S275+U275</f>
        <v>1518.6619999999998</v>
      </c>
      <c r="R275" s="96">
        <v>0</v>
      </c>
      <c r="S275" s="96">
        <v>646.02599999999995</v>
      </c>
      <c r="T275" s="96">
        <f>U275</f>
        <v>872.63599999999997</v>
      </c>
      <c r="U275" s="96">
        <v>872.63599999999997</v>
      </c>
      <c r="V275" s="96"/>
      <c r="W275" s="96"/>
      <c r="X275" s="96">
        <v>0</v>
      </c>
      <c r="Y275" s="96">
        <v>0</v>
      </c>
      <c r="Z275" s="96"/>
      <c r="AA275" s="96">
        <v>0</v>
      </c>
      <c r="AB275" s="96">
        <v>0</v>
      </c>
      <c r="AC275" s="96"/>
      <c r="AD275" s="96"/>
      <c r="AE275" s="96">
        <v>0</v>
      </c>
      <c r="AF275" s="96">
        <f>SUM(AG275:AG275)</f>
        <v>0</v>
      </c>
      <c r="AG275" s="96"/>
      <c r="AH275" s="96"/>
      <c r="AI275" s="96"/>
      <c r="AJ275" s="96"/>
      <c r="AK275" s="96">
        <v>0</v>
      </c>
      <c r="AL275" s="96">
        <v>0</v>
      </c>
      <c r="AM275" s="96">
        <v>0</v>
      </c>
      <c r="AN275" s="96">
        <v>0</v>
      </c>
      <c r="AO275" s="96">
        <v>0</v>
      </c>
      <c r="AP275" s="405"/>
      <c r="AQ275" s="96"/>
    </row>
    <row r="276" spans="1:44" s="266" customFormat="1" ht="16.5" hidden="1" customHeight="1" x14ac:dyDescent="0.25">
      <c r="A276" s="1359"/>
      <c r="B276" s="252" t="s">
        <v>267</v>
      </c>
      <c r="C276" s="363"/>
      <c r="D276" s="363"/>
      <c r="E276" s="363"/>
      <c r="F276" s="363"/>
      <c r="G276" s="363"/>
      <c r="H276" s="364"/>
      <c r="I276" s="1327"/>
      <c r="J276" s="258"/>
      <c r="K276" s="96"/>
      <c r="L276" s="96"/>
      <c r="M276" s="96"/>
      <c r="N276" s="96"/>
      <c r="O276" s="96"/>
      <c r="P276" s="96">
        <f>R276+T276</f>
        <v>0</v>
      </c>
      <c r="Q276" s="96">
        <f>S276+U276</f>
        <v>0</v>
      </c>
      <c r="R276" s="96">
        <v>0</v>
      </c>
      <c r="S276" s="96">
        <v>0</v>
      </c>
      <c r="T276" s="96">
        <f>U276</f>
        <v>0</v>
      </c>
      <c r="U276" s="96">
        <v>0</v>
      </c>
      <c r="V276" s="96"/>
      <c r="W276" s="96"/>
      <c r="X276" s="96"/>
      <c r="Y276" s="96"/>
      <c r="Z276" s="96"/>
      <c r="AA276" s="96">
        <f>SUM(AB276:AD276)</f>
        <v>0</v>
      </c>
      <c r="AB276" s="96"/>
      <c r="AC276" s="96">
        <v>0</v>
      </c>
      <c r="AD276" s="96">
        <v>0</v>
      </c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405"/>
      <c r="AQ276" s="96"/>
    </row>
    <row r="277" spans="1:44" ht="0.75" hidden="1" customHeight="1" x14ac:dyDescent="0.25">
      <c r="A277" s="1361"/>
      <c r="B277" s="1" t="s">
        <v>16</v>
      </c>
      <c r="C277" s="1047"/>
      <c r="D277" s="1047"/>
      <c r="E277" s="1047"/>
      <c r="F277" s="1047"/>
      <c r="G277" s="1013">
        <v>2020</v>
      </c>
      <c r="H277" s="1013">
        <v>2021</v>
      </c>
      <c r="I277" s="1328"/>
      <c r="J277" s="6">
        <f>L277</f>
        <v>89140.68</v>
      </c>
      <c r="K277" s="6"/>
      <c r="L277" s="47">
        <v>89140.68</v>
      </c>
      <c r="M277" s="47">
        <v>0</v>
      </c>
      <c r="N277" s="47">
        <v>9523.69</v>
      </c>
      <c r="O277" s="47">
        <v>22469.279999999999</v>
      </c>
      <c r="P277" s="47">
        <v>2605.9899999999998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96"/>
      <c r="AA277" s="47">
        <v>0</v>
      </c>
      <c r="AB277" s="47">
        <v>0</v>
      </c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44" s="327" customFormat="1" ht="41.25" customHeight="1" x14ac:dyDescent="0.25">
      <c r="A278" s="1358" t="s">
        <v>193</v>
      </c>
      <c r="B278" s="772" t="s">
        <v>163</v>
      </c>
      <c r="C278" s="1660"/>
      <c r="D278" s="1660"/>
      <c r="E278" s="1660"/>
      <c r="F278" s="1660">
        <v>81</v>
      </c>
      <c r="G278" s="807"/>
      <c r="H278" s="807"/>
      <c r="I278" s="1326" t="s">
        <v>20</v>
      </c>
      <c r="J278" s="52">
        <f>L278</f>
        <v>5513.9</v>
      </c>
      <c r="K278" s="52"/>
      <c r="L278" s="3">
        <f t="shared" ref="L278:AA278" si="157">L279+L284</f>
        <v>5513.9</v>
      </c>
      <c r="M278" s="3">
        <f t="shared" si="157"/>
        <v>297.18</v>
      </c>
      <c r="N278" s="3">
        <f t="shared" si="157"/>
        <v>1639.85</v>
      </c>
      <c r="O278" s="3">
        <f t="shared" si="157"/>
        <v>0</v>
      </c>
      <c r="P278" s="3">
        <f t="shared" si="157"/>
        <v>0</v>
      </c>
      <c r="Q278" s="3">
        <f t="shared" si="157"/>
        <v>0</v>
      </c>
      <c r="R278" s="3">
        <f t="shared" si="157"/>
        <v>0</v>
      </c>
      <c r="S278" s="3">
        <f t="shared" si="157"/>
        <v>0</v>
      </c>
      <c r="T278" s="3">
        <f t="shared" si="157"/>
        <v>0</v>
      </c>
      <c r="U278" s="3">
        <f t="shared" si="157"/>
        <v>0</v>
      </c>
      <c r="V278" s="3">
        <f t="shared" si="157"/>
        <v>0</v>
      </c>
      <c r="W278" s="3">
        <f t="shared" si="157"/>
        <v>0</v>
      </c>
      <c r="X278" s="3">
        <f t="shared" si="157"/>
        <v>0</v>
      </c>
      <c r="Y278" s="3">
        <f t="shared" si="157"/>
        <v>0</v>
      </c>
      <c r="Z278" s="95">
        <v>0</v>
      </c>
      <c r="AA278" s="3">
        <f t="shared" si="157"/>
        <v>0</v>
      </c>
      <c r="AB278" s="3">
        <f>AB279+AB284</f>
        <v>0</v>
      </c>
      <c r="AC278" s="3">
        <f t="shared" ref="AC278:AJ278" si="158">AC279+AC284</f>
        <v>0</v>
      </c>
      <c r="AD278" s="3">
        <f t="shared" si="158"/>
        <v>0</v>
      </c>
      <c r="AE278" s="3">
        <f t="shared" si="158"/>
        <v>0</v>
      </c>
      <c r="AF278" s="3">
        <f t="shared" si="158"/>
        <v>0</v>
      </c>
      <c r="AG278" s="3">
        <f t="shared" si="158"/>
        <v>0</v>
      </c>
      <c r="AH278" s="3">
        <f t="shared" si="158"/>
        <v>0</v>
      </c>
      <c r="AI278" s="3">
        <f t="shared" si="158"/>
        <v>0</v>
      </c>
      <c r="AJ278" s="3">
        <f t="shared" si="158"/>
        <v>0</v>
      </c>
      <c r="AK278" s="3">
        <f>P278-Q278</f>
        <v>0</v>
      </c>
      <c r="AL278" s="3">
        <f>AK278</f>
        <v>0</v>
      </c>
      <c r="AM278" s="3">
        <v>0</v>
      </c>
      <c r="AN278" s="3">
        <f>AN279+AN284</f>
        <v>0</v>
      </c>
      <c r="AO278" s="3">
        <f>AO279+AO284</f>
        <v>0</v>
      </c>
      <c r="AP278" s="633" t="s">
        <v>256</v>
      </c>
      <c r="AQ278" s="95">
        <v>0</v>
      </c>
    </row>
    <row r="279" spans="1:44" ht="17.25" hidden="1" customHeight="1" x14ac:dyDescent="0.25">
      <c r="A279" s="1359"/>
      <c r="B279" s="1" t="s">
        <v>15</v>
      </c>
      <c r="C279" s="1661"/>
      <c r="D279" s="1661"/>
      <c r="E279" s="1661"/>
      <c r="F279" s="1661"/>
      <c r="G279" s="1013">
        <v>2021</v>
      </c>
      <c r="H279" s="1013">
        <v>2023</v>
      </c>
      <c r="I279" s="1327"/>
      <c r="J279" s="6">
        <f>L279</f>
        <v>594.36</v>
      </c>
      <c r="K279" s="6"/>
      <c r="L279" s="47">
        <v>594.36</v>
      </c>
      <c r="M279" s="47">
        <v>297.18</v>
      </c>
      <c r="N279" s="47">
        <v>0</v>
      </c>
      <c r="O279" s="47">
        <v>0</v>
      </c>
      <c r="P279" s="47">
        <v>0</v>
      </c>
      <c r="Q279" s="47">
        <f>SUM(Q281:Q283)</f>
        <v>0</v>
      </c>
      <c r="R279" s="47">
        <f t="shared" ref="R279:AE279" si="159">SUM(R281:R283)</f>
        <v>0</v>
      </c>
      <c r="S279" s="47">
        <f t="shared" si="159"/>
        <v>0</v>
      </c>
      <c r="T279" s="47">
        <f t="shared" si="159"/>
        <v>0</v>
      </c>
      <c r="U279" s="47">
        <f t="shared" si="159"/>
        <v>0</v>
      </c>
      <c r="V279" s="47">
        <f t="shared" si="159"/>
        <v>0</v>
      </c>
      <c r="W279" s="47">
        <f t="shared" si="159"/>
        <v>0</v>
      </c>
      <c r="X279" s="47">
        <v>0</v>
      </c>
      <c r="Y279" s="47">
        <f t="shared" si="159"/>
        <v>0</v>
      </c>
      <c r="Z279" s="96"/>
      <c r="AA279" s="47">
        <f t="shared" si="159"/>
        <v>0</v>
      </c>
      <c r="AB279" s="47">
        <f t="shared" si="159"/>
        <v>0</v>
      </c>
      <c r="AC279" s="47">
        <f t="shared" si="159"/>
        <v>0</v>
      </c>
      <c r="AD279" s="47">
        <f t="shared" si="159"/>
        <v>0</v>
      </c>
      <c r="AE279" s="47">
        <f t="shared" si="159"/>
        <v>0</v>
      </c>
      <c r="AF279" s="47">
        <f>AF283</f>
        <v>0</v>
      </c>
      <c r="AG279" s="47">
        <f>AG283</f>
        <v>0</v>
      </c>
      <c r="AH279" s="47">
        <f>AH283</f>
        <v>0</v>
      </c>
      <c r="AI279" s="47">
        <f>AI283</f>
        <v>0</v>
      </c>
      <c r="AJ279" s="47">
        <f>AJ283</f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19"/>
      <c r="AQ279" s="96"/>
    </row>
    <row r="280" spans="1:44" s="266" customFormat="1" ht="17.25" hidden="1" customHeight="1" x14ac:dyDescent="0.25">
      <c r="A280" s="1359"/>
      <c r="B280" s="102" t="s">
        <v>93</v>
      </c>
      <c r="C280" s="576"/>
      <c r="D280" s="576"/>
      <c r="E280" s="576"/>
      <c r="F280" s="576"/>
      <c r="G280" s="104"/>
      <c r="H280" s="104"/>
      <c r="I280" s="1327"/>
      <c r="J280" s="106"/>
      <c r="K280" s="106"/>
      <c r="L280" s="96"/>
      <c r="M280" s="96"/>
      <c r="N280" s="96"/>
      <c r="O280" s="96"/>
      <c r="P280" s="96">
        <f>R280</f>
        <v>0</v>
      </c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21"/>
      <c r="AQ280" s="96"/>
    </row>
    <row r="281" spans="1:44" s="266" customFormat="1" ht="17.25" hidden="1" customHeight="1" x14ac:dyDescent="0.25">
      <c r="A281" s="1359"/>
      <c r="B281" s="252" t="s">
        <v>225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44" s="266" customFormat="1" ht="17.25" hidden="1" customHeight="1" x14ac:dyDescent="0.25">
      <c r="A282" s="1359"/>
      <c r="B282" s="252" t="s">
        <v>226</v>
      </c>
      <c r="C282" s="363"/>
      <c r="D282" s="363"/>
      <c r="E282" s="363"/>
      <c r="F282" s="363"/>
      <c r="G282" s="363"/>
      <c r="H282" s="364"/>
      <c r="I282" s="1327"/>
      <c r="J282" s="258"/>
      <c r="K282" s="96"/>
      <c r="L282" s="96"/>
      <c r="M282" s="96"/>
      <c r="N282" s="96"/>
      <c r="O282" s="96"/>
      <c r="P282" s="47"/>
      <c r="Q282" s="96">
        <f>S282</f>
        <v>0</v>
      </c>
      <c r="R282" s="96">
        <f>S282</f>
        <v>0</v>
      </c>
      <c r="S282" s="96">
        <v>0</v>
      </c>
      <c r="T282" s="96"/>
      <c r="U282" s="96"/>
      <c r="V282" s="96"/>
      <c r="W282" s="96"/>
      <c r="X282" s="96">
        <v>0</v>
      </c>
      <c r="Y282" s="96">
        <v>0</v>
      </c>
      <c r="Z282" s="96"/>
      <c r="AA282" s="96">
        <f>AB282</f>
        <v>0</v>
      </c>
      <c r="AB282" s="96">
        <v>0</v>
      </c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405"/>
      <c r="AQ282" s="96"/>
    </row>
    <row r="283" spans="1:44" s="266" customFormat="1" ht="17.25" hidden="1" customHeight="1" x14ac:dyDescent="0.25">
      <c r="A283" s="1359"/>
      <c r="B283" s="252" t="s">
        <v>227</v>
      </c>
      <c r="C283" s="363"/>
      <c r="D283" s="363"/>
      <c r="E283" s="363"/>
      <c r="F283" s="363"/>
      <c r="G283" s="363"/>
      <c r="H283" s="364"/>
      <c r="I283" s="1327"/>
      <c r="J283" s="258"/>
      <c r="K283" s="96"/>
      <c r="L283" s="96"/>
      <c r="M283" s="96"/>
      <c r="N283" s="96"/>
      <c r="O283" s="96"/>
      <c r="P283" s="47"/>
      <c r="Q283" s="96">
        <f>Y283</f>
        <v>0</v>
      </c>
      <c r="R283" s="96"/>
      <c r="S283" s="96"/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05"/>
      <c r="AQ283" s="96"/>
    </row>
    <row r="284" spans="1:44" ht="15.75" hidden="1" customHeight="1" x14ac:dyDescent="0.25">
      <c r="A284" s="1361"/>
      <c r="B284" s="1" t="s">
        <v>32</v>
      </c>
      <c r="C284" s="1047"/>
      <c r="D284" s="1047"/>
      <c r="E284" s="1047"/>
      <c r="F284" s="1047"/>
      <c r="G284" s="1013">
        <v>2022</v>
      </c>
      <c r="H284" s="1013">
        <v>2025</v>
      </c>
      <c r="I284" s="1328"/>
      <c r="J284" s="6">
        <f>L284</f>
        <v>4919.54</v>
      </c>
      <c r="K284" s="6"/>
      <c r="L284" s="47">
        <v>4919.54</v>
      </c>
      <c r="M284" s="47">
        <v>0</v>
      </c>
      <c r="N284" s="47">
        <v>1639.85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96"/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19"/>
      <c r="AQ284" s="96"/>
    </row>
    <row r="285" spans="1:44" s="327" customFormat="1" ht="22.5" customHeight="1" x14ac:dyDescent="0.25">
      <c r="A285" s="1358" t="s">
        <v>194</v>
      </c>
      <c r="B285" s="780" t="s">
        <v>196</v>
      </c>
      <c r="C285" s="1002"/>
      <c r="D285" s="1002"/>
      <c r="E285" s="1002"/>
      <c r="F285" s="1002">
        <v>82</v>
      </c>
      <c r="G285" s="807"/>
      <c r="H285" s="807"/>
      <c r="I285" s="1326" t="s">
        <v>20</v>
      </c>
      <c r="J285" s="52">
        <f>L285</f>
        <v>12299.37</v>
      </c>
      <c r="K285" s="52"/>
      <c r="L285" s="3">
        <f>L287</f>
        <v>12299.37</v>
      </c>
      <c r="M285" s="3">
        <f t="shared" ref="M285:AO285" si="160">M287</f>
        <v>0</v>
      </c>
      <c r="N285" s="3">
        <f t="shared" si="160"/>
        <v>0</v>
      </c>
      <c r="O285" s="3">
        <f t="shared" si="160"/>
        <v>5371.98</v>
      </c>
      <c r="P285" s="3">
        <f t="shared" si="160"/>
        <v>0</v>
      </c>
      <c r="Q285" s="3">
        <f>Q286+Q287</f>
        <v>1818.26</v>
      </c>
      <c r="R285" s="3">
        <f t="shared" ref="R285:AA285" si="161">R286+R287</f>
        <v>0</v>
      </c>
      <c r="S285" s="3">
        <f t="shared" si="161"/>
        <v>0</v>
      </c>
      <c r="T285" s="3">
        <f t="shared" si="161"/>
        <v>0</v>
      </c>
      <c r="U285" s="3">
        <f t="shared" si="161"/>
        <v>0</v>
      </c>
      <c r="V285" s="3">
        <f t="shared" si="161"/>
        <v>0</v>
      </c>
      <c r="W285" s="3">
        <f t="shared" si="161"/>
        <v>0</v>
      </c>
      <c r="X285" s="3">
        <f t="shared" si="161"/>
        <v>0</v>
      </c>
      <c r="Y285" s="3">
        <f t="shared" si="161"/>
        <v>0</v>
      </c>
      <c r="Z285" s="3">
        <f t="shared" si="161"/>
        <v>0</v>
      </c>
      <c r="AA285" s="3">
        <f t="shared" si="161"/>
        <v>1870</v>
      </c>
      <c r="AB285" s="3">
        <f t="shared" si="160"/>
        <v>0</v>
      </c>
      <c r="AC285" s="3">
        <f t="shared" si="160"/>
        <v>0</v>
      </c>
      <c r="AD285" s="3">
        <f t="shared" si="160"/>
        <v>0</v>
      </c>
      <c r="AE285" s="3">
        <f t="shared" si="160"/>
        <v>0</v>
      </c>
      <c r="AF285" s="3">
        <f t="shared" si="160"/>
        <v>0</v>
      </c>
      <c r="AG285" s="3">
        <f t="shared" si="160"/>
        <v>0</v>
      </c>
      <c r="AH285" s="3">
        <f t="shared" si="160"/>
        <v>0</v>
      </c>
      <c r="AI285" s="3">
        <f t="shared" si="160"/>
        <v>0</v>
      </c>
      <c r="AJ285" s="3">
        <f t="shared" si="160"/>
        <v>0</v>
      </c>
      <c r="AK285" s="3">
        <f t="shared" si="160"/>
        <v>0</v>
      </c>
      <c r="AL285" s="3">
        <f t="shared" si="160"/>
        <v>0</v>
      </c>
      <c r="AM285" s="3">
        <f t="shared" si="160"/>
        <v>0</v>
      </c>
      <c r="AN285" s="3">
        <f t="shared" si="160"/>
        <v>0</v>
      </c>
      <c r="AO285" s="3">
        <f t="shared" si="160"/>
        <v>0</v>
      </c>
      <c r="AP285" s="834"/>
      <c r="AQ285" s="95">
        <v>0</v>
      </c>
    </row>
    <row r="286" spans="1:44" ht="15.75" customHeight="1" x14ac:dyDescent="0.25">
      <c r="A286" s="1359"/>
      <c r="B286" s="1" t="s">
        <v>39</v>
      </c>
      <c r="C286" s="1048"/>
      <c r="D286" s="1048"/>
      <c r="E286" s="1048"/>
      <c r="F286" s="1048"/>
      <c r="G286" s="1013"/>
      <c r="H286" s="1013"/>
      <c r="I286" s="1327"/>
      <c r="J286" s="6"/>
      <c r="K286" s="6"/>
      <c r="L286" s="47"/>
      <c r="M286" s="47"/>
      <c r="N286" s="47"/>
      <c r="O286" s="47"/>
      <c r="P286" s="47">
        <f>R286</f>
        <v>0</v>
      </c>
      <c r="Q286" s="47">
        <f>1205.01+613.25</f>
        <v>1818.26</v>
      </c>
      <c r="R286" s="47">
        <f>S286</f>
        <v>0</v>
      </c>
      <c r="S286" s="47">
        <v>0</v>
      </c>
      <c r="T286" s="47"/>
      <c r="U286" s="47"/>
      <c r="V286" s="47"/>
      <c r="W286" s="47"/>
      <c r="X286" s="47"/>
      <c r="Y286" s="47"/>
      <c r="Z286" s="47"/>
      <c r="AA286" s="47">
        <v>1870</v>
      </c>
      <c r="AB286" s="47">
        <v>0</v>
      </c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19"/>
      <c r="AQ286" s="47"/>
    </row>
    <row r="287" spans="1:44" ht="19.5" customHeight="1" x14ac:dyDescent="0.25">
      <c r="A287" s="1361"/>
      <c r="B287" s="1" t="s">
        <v>213</v>
      </c>
      <c r="C287" s="1047"/>
      <c r="D287" s="1047"/>
      <c r="E287" s="1047"/>
      <c r="F287" s="1047"/>
      <c r="G287" s="1013">
        <v>2024</v>
      </c>
      <c r="H287" s="1013">
        <v>2029</v>
      </c>
      <c r="I287" s="1328"/>
      <c r="J287" s="6">
        <f>L287</f>
        <v>12299.37</v>
      </c>
      <c r="K287" s="6"/>
      <c r="L287" s="47">
        <v>12299.37</v>
      </c>
      <c r="M287" s="47">
        <v>0</v>
      </c>
      <c r="N287" s="47">
        <v>0</v>
      </c>
      <c r="O287" s="47">
        <v>5371.98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4" s="327" customFormat="1" ht="24" customHeight="1" x14ac:dyDescent="0.25">
      <c r="A288" s="1358" t="s">
        <v>195</v>
      </c>
      <c r="B288" s="780" t="s">
        <v>197</v>
      </c>
      <c r="C288" s="1002"/>
      <c r="D288" s="1002"/>
      <c r="E288" s="1002"/>
      <c r="F288" s="1002">
        <v>83</v>
      </c>
      <c r="G288" s="807"/>
      <c r="H288" s="807"/>
      <c r="I288" s="1000"/>
      <c r="J288" s="52">
        <f>L288</f>
        <v>264150.86</v>
      </c>
      <c r="K288" s="52"/>
      <c r="L288" s="3">
        <f t="shared" ref="L288:Z288" si="162">L289+L293</f>
        <v>264150.86</v>
      </c>
      <c r="M288" s="3">
        <f t="shared" si="162"/>
        <v>263850.07</v>
      </c>
      <c r="N288" s="3">
        <f t="shared" si="162"/>
        <v>263850.07</v>
      </c>
      <c r="O288" s="3">
        <f t="shared" si="162"/>
        <v>263850.07</v>
      </c>
      <c r="P288" s="3">
        <f t="shared" si="162"/>
        <v>3.4</v>
      </c>
      <c r="Q288" s="3">
        <f t="shared" si="162"/>
        <v>54069.790939999992</v>
      </c>
      <c r="R288" s="3">
        <f t="shared" si="162"/>
        <v>21705.95</v>
      </c>
      <c r="S288" s="3">
        <f t="shared" si="162"/>
        <v>21705.95</v>
      </c>
      <c r="T288" s="3">
        <f t="shared" si="162"/>
        <v>21705.95</v>
      </c>
      <c r="U288" s="3">
        <f t="shared" si="162"/>
        <v>21709.350000000002</v>
      </c>
      <c r="V288" s="3">
        <f t="shared" si="162"/>
        <v>21705.95</v>
      </c>
      <c r="W288" s="3">
        <f t="shared" si="162"/>
        <v>21705.95</v>
      </c>
      <c r="X288" s="3">
        <f t="shared" si="162"/>
        <v>21705.95</v>
      </c>
      <c r="Y288" s="3">
        <f t="shared" si="162"/>
        <v>21705.95</v>
      </c>
      <c r="Z288" s="3">
        <f t="shared" si="162"/>
        <v>21705.95</v>
      </c>
      <c r="AA288" s="3">
        <f>AA289+AA293</f>
        <v>61445.743409999995</v>
      </c>
      <c r="AB288" s="3">
        <f>AB289+AB293</f>
        <v>17522.268</v>
      </c>
      <c r="AC288" s="3">
        <f>AC289+AC293</f>
        <v>17119.198000000004</v>
      </c>
      <c r="AD288" s="3">
        <f t="shared" ref="AD288:AO288" si="163">AD289</f>
        <v>63735.476889999998</v>
      </c>
      <c r="AE288" s="3">
        <f t="shared" si="163"/>
        <v>0</v>
      </c>
      <c r="AF288" s="3">
        <f t="shared" si="163"/>
        <v>0</v>
      </c>
      <c r="AG288" s="3">
        <f t="shared" si="163"/>
        <v>0</v>
      </c>
      <c r="AH288" s="3">
        <f t="shared" si="163"/>
        <v>0</v>
      </c>
      <c r="AI288" s="3">
        <f t="shared" si="163"/>
        <v>0</v>
      </c>
      <c r="AJ288" s="3">
        <f t="shared" si="163"/>
        <v>0</v>
      </c>
      <c r="AK288" s="3">
        <f t="shared" si="163"/>
        <v>0</v>
      </c>
      <c r="AL288" s="3">
        <f t="shared" si="163"/>
        <v>0</v>
      </c>
      <c r="AM288" s="3">
        <v>7.79</v>
      </c>
      <c r="AN288" s="3">
        <f t="shared" si="163"/>
        <v>0</v>
      </c>
      <c r="AO288" s="3">
        <f t="shared" si="163"/>
        <v>0</v>
      </c>
      <c r="AP288" s="834"/>
      <c r="AQ288" s="95">
        <f>116.245</f>
        <v>116.245</v>
      </c>
      <c r="AR288" s="835"/>
    </row>
    <row r="289" spans="1:79" ht="14.25" customHeight="1" x14ac:dyDescent="0.25">
      <c r="A289" s="1359"/>
      <c r="B289" s="1" t="s">
        <v>213</v>
      </c>
      <c r="C289" s="1047"/>
      <c r="D289" s="1047"/>
      <c r="E289" s="1047"/>
      <c r="F289" s="1047"/>
      <c r="G289" s="1013">
        <v>2026</v>
      </c>
      <c r="H289" s="1013">
        <v>2033</v>
      </c>
      <c r="I289" s="1013" t="s">
        <v>20</v>
      </c>
      <c r="J289" s="6">
        <f>L289</f>
        <v>300.79000000000002</v>
      </c>
      <c r="K289" s="6"/>
      <c r="L289" s="47">
        <v>300.79000000000002</v>
      </c>
      <c r="M289" s="47">
        <v>0</v>
      </c>
      <c r="N289" s="47">
        <v>0</v>
      </c>
      <c r="O289" s="47">
        <v>0</v>
      </c>
      <c r="P289" s="47">
        <v>3.4</v>
      </c>
      <c r="Q289" s="47">
        <f>Q290</f>
        <v>10.39</v>
      </c>
      <c r="R289" s="47">
        <f t="shared" ref="R289:Z289" si="164">SUM(R290:R292)</f>
        <v>0</v>
      </c>
      <c r="S289" s="47">
        <f t="shared" si="164"/>
        <v>0</v>
      </c>
      <c r="T289" s="47">
        <f t="shared" si="164"/>
        <v>0</v>
      </c>
      <c r="U289" s="47">
        <f t="shared" si="164"/>
        <v>3.4</v>
      </c>
      <c r="V289" s="47">
        <f t="shared" si="164"/>
        <v>0</v>
      </c>
      <c r="W289" s="47">
        <f t="shared" si="164"/>
        <v>0</v>
      </c>
      <c r="X289" s="47">
        <f t="shared" si="164"/>
        <v>0</v>
      </c>
      <c r="Y289" s="47">
        <f t="shared" si="164"/>
        <v>0</v>
      </c>
      <c r="Z289" s="47">
        <f t="shared" si="164"/>
        <v>0</v>
      </c>
      <c r="AA289" s="47">
        <v>0</v>
      </c>
      <c r="AB289" s="47">
        <v>0</v>
      </c>
      <c r="AC289" s="47">
        <v>0</v>
      </c>
      <c r="AD289" s="47">
        <f>SUM(AD290:AD293)</f>
        <v>63735.476889999998</v>
      </c>
      <c r="AE289" s="47">
        <f>SUM(AE290:AE293)</f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19"/>
      <c r="AQ289" s="96"/>
      <c r="AR289" s="600"/>
      <c r="AS289" s="600"/>
      <c r="AT289" s="600"/>
      <c r="AU289" s="600"/>
      <c r="AV289" s="600"/>
      <c r="AW289" s="600"/>
      <c r="AX289" s="600"/>
      <c r="AY289" s="600"/>
      <c r="AZ289" s="600"/>
      <c r="BA289" s="600"/>
      <c r="BB289" s="600"/>
      <c r="BC289" s="600"/>
      <c r="BD289" s="600"/>
      <c r="BE289" s="600"/>
      <c r="BF289" s="600"/>
      <c r="BG289" s="600"/>
      <c r="BH289" s="600"/>
      <c r="BI289" s="600"/>
      <c r="BJ289" s="600"/>
      <c r="BK289" s="600"/>
      <c r="BL289" s="600"/>
      <c r="BM289" s="600"/>
      <c r="BN289" s="600"/>
      <c r="BO289" s="600"/>
      <c r="BP289" s="600"/>
      <c r="BQ289" s="600"/>
      <c r="BR289" s="600"/>
      <c r="BS289" s="600"/>
      <c r="BT289" s="600"/>
      <c r="BU289" s="600"/>
      <c r="BV289" s="600"/>
      <c r="BW289" s="600"/>
      <c r="BX289" s="600"/>
      <c r="BY289" s="600"/>
      <c r="BZ289" s="600"/>
      <c r="CA289" s="600"/>
    </row>
    <row r="290" spans="1:79" s="266" customFormat="1" ht="15" hidden="1" customHeight="1" x14ac:dyDescent="0.25">
      <c r="A290" s="1664"/>
      <c r="B290" s="92" t="s">
        <v>454</v>
      </c>
      <c r="C290" s="653"/>
      <c r="D290" s="653"/>
      <c r="E290" s="653"/>
      <c r="F290" s="653"/>
      <c r="G290" s="262"/>
      <c r="H290" s="262"/>
      <c r="I290" s="368"/>
      <c r="J290" s="442"/>
      <c r="K290" s="442"/>
      <c r="L290" s="268"/>
      <c r="M290" s="268"/>
      <c r="N290" s="268"/>
      <c r="O290" s="268"/>
      <c r="P290" s="268">
        <f>R290</f>
        <v>0</v>
      </c>
      <c r="Q290" s="268">
        <v>10.39</v>
      </c>
      <c r="R290" s="268">
        <f>S290</f>
        <v>0</v>
      </c>
      <c r="S290" s="268">
        <v>0</v>
      </c>
      <c r="T290" s="268"/>
      <c r="U290" s="268"/>
      <c r="V290" s="268"/>
      <c r="W290" s="268"/>
      <c r="X290" s="268"/>
      <c r="Y290" s="268"/>
      <c r="Z290" s="268"/>
      <c r="AA290" s="96"/>
      <c r="AB290" s="268">
        <v>0</v>
      </c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418"/>
      <c r="AQ290" s="268"/>
      <c r="AR290" s="602"/>
      <c r="AS290" s="602"/>
      <c r="AT290" s="602"/>
      <c r="AU290" s="602"/>
      <c r="AV290" s="602"/>
      <c r="AW290" s="602"/>
      <c r="AX290" s="602"/>
      <c r="AY290" s="602"/>
      <c r="AZ290" s="602"/>
      <c r="BA290" s="602"/>
      <c r="BB290" s="602"/>
      <c r="BC290" s="602"/>
      <c r="BD290" s="602"/>
      <c r="BE290" s="602"/>
      <c r="BF290" s="602"/>
      <c r="BG290" s="602"/>
      <c r="BH290" s="602"/>
      <c r="BI290" s="602"/>
      <c r="BJ290" s="602"/>
      <c r="BK290" s="602"/>
      <c r="BL290" s="602"/>
      <c r="BM290" s="602"/>
      <c r="BN290" s="602"/>
      <c r="BO290" s="602"/>
      <c r="BP290" s="602"/>
      <c r="BQ290" s="602"/>
      <c r="BR290" s="602"/>
      <c r="BS290" s="602"/>
      <c r="BT290" s="602"/>
      <c r="BU290" s="602"/>
      <c r="BV290" s="602"/>
      <c r="BW290" s="602"/>
      <c r="BX290" s="602"/>
      <c r="BY290" s="602"/>
      <c r="BZ290" s="602"/>
      <c r="CA290" s="602"/>
    </row>
    <row r="291" spans="1:79" s="544" customFormat="1" hidden="1" x14ac:dyDescent="0.25">
      <c r="A291" s="1664"/>
      <c r="B291" s="102" t="s">
        <v>312</v>
      </c>
      <c r="C291" s="576"/>
      <c r="D291" s="576"/>
      <c r="E291" s="576"/>
      <c r="F291" s="576"/>
      <c r="G291" s="104"/>
      <c r="H291" s="104"/>
      <c r="I291" s="443"/>
      <c r="J291" s="106"/>
      <c r="K291" s="106"/>
      <c r="L291" s="96"/>
      <c r="M291" s="96"/>
      <c r="N291" s="96"/>
      <c r="O291" s="96"/>
      <c r="P291" s="96"/>
      <c r="Q291" s="96"/>
      <c r="R291" s="96"/>
      <c r="S291" s="96">
        <v>0</v>
      </c>
      <c r="T291" s="96"/>
      <c r="U291" s="96">
        <v>3.4</v>
      </c>
      <c r="V291" s="96"/>
      <c r="W291" s="96"/>
      <c r="X291" s="96"/>
      <c r="Y291" s="96"/>
      <c r="Z291" s="96"/>
      <c r="AA291" s="96"/>
      <c r="AB291" s="96">
        <v>0</v>
      </c>
      <c r="AC291" s="96">
        <v>3.4</v>
      </c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421"/>
      <c r="AQ291" s="96"/>
      <c r="AR291" s="602"/>
      <c r="AS291" s="602"/>
      <c r="AT291" s="602"/>
      <c r="AU291" s="602"/>
      <c r="AV291" s="602"/>
      <c r="AW291" s="602"/>
      <c r="AX291" s="602"/>
      <c r="AY291" s="602"/>
      <c r="AZ291" s="602"/>
      <c r="BA291" s="602"/>
      <c r="BB291" s="602"/>
      <c r="BC291" s="602"/>
      <c r="BD291" s="602"/>
      <c r="BE291" s="602"/>
      <c r="BF291" s="602"/>
      <c r="BG291" s="602"/>
      <c r="BH291" s="602"/>
      <c r="BI291" s="602"/>
      <c r="BJ291" s="602"/>
      <c r="BK291" s="602"/>
      <c r="BL291" s="602"/>
      <c r="BM291" s="602"/>
      <c r="BN291" s="602"/>
      <c r="BO291" s="602"/>
      <c r="BP291" s="602"/>
      <c r="BQ291" s="602"/>
      <c r="BR291" s="602"/>
      <c r="BS291" s="602"/>
      <c r="BT291" s="602"/>
      <c r="BU291" s="602"/>
      <c r="BV291" s="602"/>
      <c r="BW291" s="602"/>
      <c r="BX291" s="602"/>
      <c r="BY291" s="602"/>
      <c r="BZ291" s="602"/>
      <c r="CA291" s="622"/>
    </row>
    <row r="292" spans="1:79" s="48" customFormat="1" ht="25.5" hidden="1" customHeight="1" x14ac:dyDescent="0.25">
      <c r="A292" s="1664"/>
      <c r="B292" s="102" t="s">
        <v>265</v>
      </c>
      <c r="C292" s="576"/>
      <c r="D292" s="576"/>
      <c r="E292" s="576"/>
      <c r="F292" s="576"/>
      <c r="G292" s="104"/>
      <c r="H292" s="104"/>
      <c r="I292" s="619"/>
      <c r="J292" s="106"/>
      <c r="K292" s="106"/>
      <c r="L292" s="96"/>
      <c r="M292" s="96"/>
      <c r="N292" s="96"/>
      <c r="O292" s="96"/>
      <c r="P292" s="96">
        <f>R292+T292</f>
        <v>0</v>
      </c>
      <c r="Q292" s="96">
        <f>S292+U292+W292+Y292</f>
        <v>0</v>
      </c>
      <c r="R292" s="96"/>
      <c r="S292" s="96"/>
      <c r="T292" s="96">
        <v>0</v>
      </c>
      <c r="U292" s="96">
        <v>0</v>
      </c>
      <c r="V292" s="96">
        <f>W292</f>
        <v>0</v>
      </c>
      <c r="W292" s="96">
        <v>0</v>
      </c>
      <c r="X292" s="96"/>
      <c r="Y292" s="96">
        <v>0</v>
      </c>
      <c r="Z292" s="96"/>
      <c r="AA292" s="96">
        <f>SUM(AB292:AE292)</f>
        <v>0</v>
      </c>
      <c r="AB292" s="96"/>
      <c r="AC292" s="96">
        <v>0</v>
      </c>
      <c r="AD292" s="96">
        <v>0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21"/>
    </row>
    <row r="293" spans="1:79" s="48" customFormat="1" ht="15.75" customHeight="1" x14ac:dyDescent="0.25">
      <c r="A293" s="1664"/>
      <c r="B293" s="1" t="s">
        <v>415</v>
      </c>
      <c r="C293" s="1048"/>
      <c r="D293" s="1048"/>
      <c r="E293" s="1048"/>
      <c r="F293" s="1048"/>
      <c r="G293" s="1013"/>
      <c r="H293" s="1013"/>
      <c r="I293" s="23" t="s">
        <v>10</v>
      </c>
      <c r="J293" s="6"/>
      <c r="K293" s="6"/>
      <c r="L293" s="47">
        <v>263850.07</v>
      </c>
      <c r="M293" s="47">
        <v>263850.07</v>
      </c>
      <c r="N293" s="47">
        <v>263850.07</v>
      </c>
      <c r="O293" s="47">
        <v>263850.07</v>
      </c>
      <c r="P293" s="47">
        <v>0</v>
      </c>
      <c r="Q293" s="47">
        <f>SUM(Q294:Q297)</f>
        <v>54059.400939999992</v>
      </c>
      <c r="R293" s="47">
        <v>21705.95</v>
      </c>
      <c r="S293" s="47">
        <v>21705.95</v>
      </c>
      <c r="T293" s="47">
        <v>21705.95</v>
      </c>
      <c r="U293" s="47">
        <v>21705.95</v>
      </c>
      <c r="V293" s="47">
        <v>21705.95</v>
      </c>
      <c r="W293" s="47">
        <v>21705.95</v>
      </c>
      <c r="X293" s="47">
        <v>21705.95</v>
      </c>
      <c r="Y293" s="47">
        <v>21705.95</v>
      </c>
      <c r="Z293" s="47">
        <v>21705.95</v>
      </c>
      <c r="AA293" s="47">
        <f>SUM(AA294:AA297)</f>
        <v>61445.743409999995</v>
      </c>
      <c r="AB293" s="47">
        <f t="shared" ref="AB293:AJ293" si="165">SUM(AB294:AB297)</f>
        <v>17522.268</v>
      </c>
      <c r="AC293" s="47">
        <f t="shared" si="165"/>
        <v>17119.198000000004</v>
      </c>
      <c r="AD293" s="47">
        <f t="shared" si="165"/>
        <v>63735.476889999998</v>
      </c>
      <c r="AE293" s="47">
        <f t="shared" si="165"/>
        <v>0</v>
      </c>
      <c r="AF293" s="47">
        <f t="shared" si="165"/>
        <v>0</v>
      </c>
      <c r="AG293" s="47">
        <f t="shared" si="165"/>
        <v>0</v>
      </c>
      <c r="AH293" s="47">
        <f t="shared" si="165"/>
        <v>0</v>
      </c>
      <c r="AI293" s="47">
        <f t="shared" si="165"/>
        <v>0</v>
      </c>
      <c r="AJ293" s="47">
        <f t="shared" si="165"/>
        <v>0</v>
      </c>
      <c r="AK293" s="47">
        <f>AK294</f>
        <v>0</v>
      </c>
      <c r="AL293" s="47">
        <v>0</v>
      </c>
      <c r="AM293" s="47">
        <v>0</v>
      </c>
      <c r="AN293" s="47">
        <v>0</v>
      </c>
      <c r="AO293" s="47">
        <v>0</v>
      </c>
      <c r="AP293" s="419"/>
      <c r="AQ293" s="96"/>
      <c r="AR293" s="600"/>
      <c r="AS293" s="600"/>
      <c r="AT293" s="600"/>
      <c r="AU293" s="600"/>
      <c r="AV293" s="600"/>
      <c r="AW293" s="600"/>
      <c r="AX293" s="600"/>
      <c r="AY293" s="600"/>
      <c r="AZ293" s="600"/>
      <c r="BA293" s="600"/>
      <c r="BB293" s="600"/>
      <c r="BC293" s="600"/>
      <c r="BD293" s="600"/>
      <c r="BE293" s="600"/>
      <c r="BF293" s="600"/>
      <c r="BG293" s="600"/>
      <c r="BH293" s="600"/>
      <c r="BI293" s="600"/>
      <c r="BJ293" s="600"/>
      <c r="BK293" s="600"/>
      <c r="BL293" s="600"/>
      <c r="BM293" s="600"/>
      <c r="BN293" s="600"/>
      <c r="BO293" s="600"/>
      <c r="BP293" s="600"/>
      <c r="BQ293" s="600"/>
      <c r="BR293" s="600"/>
      <c r="BS293" s="600"/>
      <c r="BT293" s="600"/>
      <c r="BU293" s="600"/>
      <c r="BV293" s="600"/>
      <c r="BW293" s="600"/>
      <c r="BX293" s="600"/>
      <c r="BY293" s="600"/>
      <c r="BZ293" s="600"/>
      <c r="CA293" s="621"/>
    </row>
    <row r="294" spans="1:79" s="544" customFormat="1" hidden="1" x14ac:dyDescent="0.25">
      <c r="A294" s="1664"/>
      <c r="B294" s="102" t="s">
        <v>304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f>21662.59874+8211.12924+16706.17315</f>
        <v>46579.901129999998</v>
      </c>
      <c r="R294" s="96"/>
      <c r="S294" s="96">
        <v>17505.331999999999</v>
      </c>
      <c r="T294" s="96"/>
      <c r="U294" s="96">
        <v>17063.596000000001</v>
      </c>
      <c r="V294" s="96"/>
      <c r="W294" s="96">
        <v>63608.259890000001</v>
      </c>
      <c r="X294" s="96"/>
      <c r="Y294" s="96"/>
      <c r="Z294" s="96"/>
      <c r="AA294" s="96">
        <f>21662.59874+8211.12924+16706.17315</f>
        <v>46579.901129999998</v>
      </c>
      <c r="AB294" s="96">
        <v>17505.331999999999</v>
      </c>
      <c r="AC294" s="96">
        <v>17063.596000000001</v>
      </c>
      <c r="AD294" s="96">
        <v>63608.259890000001</v>
      </c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hidden="1" x14ac:dyDescent="0.25">
      <c r="A295" s="1664"/>
      <c r="B295" s="102" t="s">
        <v>305</v>
      </c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f>43.3252+16.42226+33.41235</f>
        <v>93.159810000000007</v>
      </c>
      <c r="R295" s="96"/>
      <c r="S295" s="96">
        <v>16.936</v>
      </c>
      <c r="T295" s="96"/>
      <c r="U295" s="96">
        <v>35.421999999999997</v>
      </c>
      <c r="V295" s="96"/>
      <c r="W295" s="96">
        <f>127.21652+16.78083</f>
        <v>143.99735000000001</v>
      </c>
      <c r="X295" s="96"/>
      <c r="Y295" s="96"/>
      <c r="Z295" s="96"/>
      <c r="AA295" s="96">
        <f>43.3252+16.42226+33.41235</f>
        <v>93.159810000000007</v>
      </c>
      <c r="AB295" s="96">
        <v>16.936</v>
      </c>
      <c r="AC295" s="96">
        <v>52.201999999999998</v>
      </c>
      <c r="AD295" s="96">
        <v>127.217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544" customFormat="1" hidden="1" x14ac:dyDescent="0.25">
      <c r="A296" s="1664"/>
      <c r="B296" s="102" t="s">
        <v>317</v>
      </c>
      <c r="C296" s="576"/>
      <c r="D296" s="576"/>
      <c r="E296" s="576"/>
      <c r="F296" s="576"/>
      <c r="G296" s="104"/>
      <c r="H296" s="104"/>
      <c r="I296" s="443"/>
      <c r="J296" s="106"/>
      <c r="K296" s="106"/>
      <c r="L296" s="96"/>
      <c r="M296" s="96"/>
      <c r="N296" s="96"/>
      <c r="O296" s="96"/>
      <c r="P296" s="96"/>
      <c r="Q296" s="96">
        <v>7386.34</v>
      </c>
      <c r="R296" s="96"/>
      <c r="S296" s="96"/>
      <c r="T296" s="96"/>
      <c r="U296" s="96">
        <v>9848.4549999999999</v>
      </c>
      <c r="V296" s="96"/>
      <c r="W296" s="96"/>
      <c r="X296" s="96"/>
      <c r="Y296" s="96"/>
      <c r="Z296" s="96"/>
      <c r="AA296" s="96">
        <v>14772.68247</v>
      </c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421"/>
      <c r="AQ296" s="96"/>
      <c r="AR296" s="602"/>
      <c r="AS296" s="602"/>
      <c r="AT296" s="602"/>
      <c r="AU296" s="602"/>
      <c r="AV296" s="602"/>
      <c r="AW296" s="602"/>
      <c r="AX296" s="602"/>
      <c r="AY296" s="602"/>
      <c r="AZ296" s="602"/>
      <c r="BA296" s="602"/>
      <c r="BB296" s="602"/>
      <c r="BC296" s="602"/>
      <c r="BD296" s="602"/>
      <c r="BE296" s="602"/>
      <c r="BF296" s="602"/>
      <c r="BG296" s="602"/>
      <c r="BH296" s="602"/>
      <c r="BI296" s="602"/>
      <c r="BJ296" s="602"/>
      <c r="BK296" s="602"/>
      <c r="BL296" s="602"/>
      <c r="BM296" s="602"/>
      <c r="BN296" s="602"/>
      <c r="BO296" s="602"/>
      <c r="BP296" s="602"/>
      <c r="BQ296" s="602"/>
      <c r="BR296" s="602"/>
      <c r="BS296" s="602"/>
      <c r="BT296" s="602"/>
      <c r="BU296" s="602"/>
      <c r="BV296" s="602"/>
      <c r="BW296" s="602"/>
      <c r="BX296" s="602"/>
      <c r="BY296" s="602"/>
      <c r="BZ296" s="602"/>
      <c r="CA296" s="622"/>
    </row>
    <row r="297" spans="1:79" s="544" customFormat="1" hidden="1" x14ac:dyDescent="0.25">
      <c r="A297" s="1665"/>
      <c r="B297" s="102"/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v>0</v>
      </c>
      <c r="R297" s="96"/>
      <c r="S297" s="96">
        <v>0</v>
      </c>
      <c r="T297" s="96"/>
      <c r="U297" s="96">
        <v>3.4</v>
      </c>
      <c r="V297" s="96"/>
      <c r="W297" s="96"/>
      <c r="X297" s="96"/>
      <c r="Y297" s="96"/>
      <c r="Z297" s="96"/>
      <c r="AA297" s="96">
        <v>0</v>
      </c>
      <c r="AB297" s="96">
        <v>0</v>
      </c>
      <c r="AC297" s="96">
        <v>3.4</v>
      </c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327" customFormat="1" ht="33" customHeight="1" x14ac:dyDescent="0.25">
      <c r="A298" s="1358" t="s">
        <v>194</v>
      </c>
      <c r="B298" s="780" t="s">
        <v>393</v>
      </c>
      <c r="C298" s="1002"/>
      <c r="D298" s="1002"/>
      <c r="E298" s="1002"/>
      <c r="F298" s="1002">
        <v>82</v>
      </c>
      <c r="G298" s="807"/>
      <c r="H298" s="807"/>
      <c r="I298" s="1326" t="s">
        <v>20</v>
      </c>
      <c r="J298" s="52">
        <f>L298</f>
        <v>12299.37</v>
      </c>
      <c r="K298" s="52"/>
      <c r="L298" s="3">
        <f>L300</f>
        <v>12299.37</v>
      </c>
      <c r="M298" s="3">
        <f t="shared" ref="M298:Y298" si="166">M300</f>
        <v>0</v>
      </c>
      <c r="N298" s="3">
        <f t="shared" si="166"/>
        <v>0</v>
      </c>
      <c r="O298" s="3">
        <f t="shared" si="166"/>
        <v>5371.98</v>
      </c>
      <c r="P298" s="3">
        <f>P299+P300</f>
        <v>2400.44</v>
      </c>
      <c r="Q298" s="3">
        <f t="shared" si="166"/>
        <v>0</v>
      </c>
      <c r="R298" s="3">
        <f t="shared" si="166"/>
        <v>0</v>
      </c>
      <c r="S298" s="3">
        <f t="shared" si="166"/>
        <v>0</v>
      </c>
      <c r="T298" s="3">
        <f t="shared" si="166"/>
        <v>0</v>
      </c>
      <c r="U298" s="3">
        <f t="shared" si="166"/>
        <v>0</v>
      </c>
      <c r="V298" s="3">
        <f t="shared" si="166"/>
        <v>0</v>
      </c>
      <c r="W298" s="3">
        <f t="shared" si="166"/>
        <v>0</v>
      </c>
      <c r="X298" s="3">
        <f t="shared" si="166"/>
        <v>0</v>
      </c>
      <c r="Y298" s="3">
        <f t="shared" si="166"/>
        <v>0</v>
      </c>
      <c r="Z298" s="95">
        <v>0</v>
      </c>
      <c r="AA298" s="3">
        <f t="shared" ref="AA298:AO298" si="167">AA300</f>
        <v>0</v>
      </c>
      <c r="AB298" s="3">
        <f t="shared" si="167"/>
        <v>0</v>
      </c>
      <c r="AC298" s="3">
        <f t="shared" si="167"/>
        <v>0</v>
      </c>
      <c r="AD298" s="3">
        <f t="shared" si="167"/>
        <v>0</v>
      </c>
      <c r="AE298" s="3">
        <f t="shared" si="167"/>
        <v>0</v>
      </c>
      <c r="AF298" s="3">
        <f t="shared" si="167"/>
        <v>0</v>
      </c>
      <c r="AG298" s="3">
        <f t="shared" si="167"/>
        <v>0</v>
      </c>
      <c r="AH298" s="3">
        <f t="shared" si="167"/>
        <v>0</v>
      </c>
      <c r="AI298" s="3">
        <f t="shared" si="167"/>
        <v>0</v>
      </c>
      <c r="AJ298" s="3">
        <f t="shared" si="167"/>
        <v>0</v>
      </c>
      <c r="AK298" s="3">
        <f t="shared" si="167"/>
        <v>0</v>
      </c>
      <c r="AL298" s="3">
        <f t="shared" si="167"/>
        <v>0</v>
      </c>
      <c r="AM298" s="3">
        <f t="shared" si="167"/>
        <v>0</v>
      </c>
      <c r="AN298" s="3">
        <f t="shared" si="167"/>
        <v>0</v>
      </c>
      <c r="AO298" s="3">
        <f t="shared" si="167"/>
        <v>0</v>
      </c>
      <c r="AP298" s="834"/>
      <c r="AQ298" s="95">
        <v>0</v>
      </c>
    </row>
    <row r="299" spans="1:79" ht="15.75" customHeight="1" x14ac:dyDescent="0.25">
      <c r="A299" s="1359"/>
      <c r="B299" s="1" t="s">
        <v>39</v>
      </c>
      <c r="C299" s="1048"/>
      <c r="D299" s="1048"/>
      <c r="E299" s="1048"/>
      <c r="F299" s="1048"/>
      <c r="G299" s="1013"/>
      <c r="H299" s="1013"/>
      <c r="I299" s="1327"/>
      <c r="J299" s="6"/>
      <c r="K299" s="6"/>
      <c r="L299" s="47"/>
      <c r="M299" s="47"/>
      <c r="N299" s="47"/>
      <c r="O299" s="47"/>
      <c r="P299" s="47">
        <v>2400.44</v>
      </c>
      <c r="Q299" s="47">
        <f>S299</f>
        <v>0</v>
      </c>
      <c r="R299" s="47">
        <f>S299</f>
        <v>0</v>
      </c>
      <c r="S299" s="47">
        <v>0</v>
      </c>
      <c r="T299" s="47"/>
      <c r="U299" s="47"/>
      <c r="V299" s="47"/>
      <c r="W299" s="47"/>
      <c r="X299" s="47"/>
      <c r="Y299" s="47"/>
      <c r="Z299" s="47"/>
      <c r="AA299" s="47">
        <v>0</v>
      </c>
      <c r="AB299" s="47">
        <v>0</v>
      </c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19"/>
      <c r="AQ299" s="47"/>
    </row>
    <row r="300" spans="1:79" ht="18.75" customHeight="1" x14ac:dyDescent="0.25">
      <c r="A300" s="1361"/>
      <c r="B300" s="1" t="s">
        <v>213</v>
      </c>
      <c r="C300" s="1047"/>
      <c r="D300" s="1047"/>
      <c r="E300" s="1047"/>
      <c r="F300" s="1047"/>
      <c r="G300" s="1013">
        <v>2024</v>
      </c>
      <c r="H300" s="1013">
        <v>2029</v>
      </c>
      <c r="I300" s="1328"/>
      <c r="J300" s="6">
        <f>L300</f>
        <v>12299.37</v>
      </c>
      <c r="K300" s="6"/>
      <c r="L300" s="47">
        <v>12299.37</v>
      </c>
      <c r="M300" s="47">
        <v>0</v>
      </c>
      <c r="N300" s="47">
        <v>0</v>
      </c>
      <c r="O300" s="47">
        <v>5371.98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>
        <v>0</v>
      </c>
      <c r="Z300" s="96"/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19"/>
      <c r="AQ300" s="96"/>
    </row>
    <row r="301" spans="1:79" ht="15.75" hidden="1" x14ac:dyDescent="0.25">
      <c r="B301" s="623" t="s">
        <v>96</v>
      </c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 t="s">
        <v>97</v>
      </c>
      <c r="U301" s="623"/>
      <c r="V301" s="623"/>
      <c r="W301" s="623"/>
      <c r="AB301" s="623" t="s">
        <v>97</v>
      </c>
      <c r="AO301" s="623"/>
      <c r="AP301" s="623"/>
    </row>
    <row r="302" spans="1:79" ht="15.75" hidden="1" x14ac:dyDescent="0.25">
      <c r="B302" s="623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/>
      <c r="U302" s="623"/>
      <c r="AB302" s="623"/>
      <c r="AC302" s="626" t="s">
        <v>98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99</v>
      </c>
      <c r="AN302" s="623"/>
      <c r="AO302" s="623"/>
      <c r="AP302" s="623"/>
    </row>
    <row r="303" spans="1:79" ht="15.75" hidden="1" x14ac:dyDescent="0.25">
      <c r="B303" s="623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4"/>
      <c r="Q303" s="623"/>
      <c r="S303" s="623"/>
      <c r="T303" s="623"/>
      <c r="W303" s="623" t="s">
        <v>98</v>
      </c>
      <c r="AB303" s="623"/>
      <c r="AD303" s="623"/>
      <c r="AE303" s="623"/>
      <c r="AF303" s="623"/>
      <c r="AG303" s="623"/>
      <c r="AH303" s="623"/>
      <c r="AI303" s="623"/>
      <c r="AJ303" s="623"/>
      <c r="AK303" s="623"/>
      <c r="AL303" s="623"/>
      <c r="AM303" s="623"/>
      <c r="AN303" s="623"/>
      <c r="AO303" s="623"/>
      <c r="AP303" s="623"/>
    </row>
    <row r="304" spans="1:79" ht="15.75" hidden="1" x14ac:dyDescent="0.25">
      <c r="B304" s="623" t="s">
        <v>94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95</v>
      </c>
      <c r="W304" s="623"/>
      <c r="AB304" s="623" t="s">
        <v>95</v>
      </c>
      <c r="AC304" s="626" t="s">
        <v>100</v>
      </c>
      <c r="AD304" s="623"/>
      <c r="AE304" s="623"/>
      <c r="AF304" s="623"/>
      <c r="AG304" s="623"/>
      <c r="AH304" s="623"/>
      <c r="AI304" s="623"/>
      <c r="AJ304" s="623"/>
      <c r="AK304" s="623"/>
      <c r="AL304" s="623"/>
      <c r="AM304" s="623" t="s">
        <v>101</v>
      </c>
      <c r="AN304" s="623"/>
    </row>
    <row r="305" spans="1:43" ht="15.75" hidden="1" x14ac:dyDescent="0.25">
      <c r="W305" s="623"/>
      <c r="AJ305" s="623"/>
    </row>
    <row r="306" spans="1:43" ht="15.75" hidden="1" x14ac:dyDescent="0.25">
      <c r="W306" s="623" t="s">
        <v>100</v>
      </c>
      <c r="AJ306" s="623" t="s">
        <v>101</v>
      </c>
    </row>
    <row r="307" spans="1:43" s="624" customFormat="1" ht="4.5" hidden="1" customHeight="1" x14ac:dyDescent="0.25">
      <c r="B307" s="624" t="s">
        <v>242</v>
      </c>
      <c r="T307" s="624" t="s">
        <v>151</v>
      </c>
      <c r="X307" s="627"/>
      <c r="Y307" s="627"/>
      <c r="Z307" s="627"/>
      <c r="AB307" s="624" t="s">
        <v>151</v>
      </c>
      <c r="AP307" s="628"/>
      <c r="AQ307" s="627"/>
    </row>
    <row r="308" spans="1:43" s="327" customFormat="1" ht="29.25" customHeight="1" x14ac:dyDescent="0.25">
      <c r="A308" s="1358" t="s">
        <v>194</v>
      </c>
      <c r="B308" s="780" t="s">
        <v>394</v>
      </c>
      <c r="C308" s="1002"/>
      <c r="D308" s="1002"/>
      <c r="E308" s="1002"/>
      <c r="F308" s="1002">
        <v>82</v>
      </c>
      <c r="G308" s="807"/>
      <c r="H308" s="807"/>
      <c r="I308" s="1326" t="s">
        <v>20</v>
      </c>
      <c r="J308" s="52">
        <f>L308</f>
        <v>12299.37</v>
      </c>
      <c r="K308" s="52"/>
      <c r="L308" s="3">
        <f>L310</f>
        <v>12299.37</v>
      </c>
      <c r="M308" s="3">
        <f t="shared" ref="M308:Y308" si="168">M310</f>
        <v>0</v>
      </c>
      <c r="N308" s="3">
        <f t="shared" si="168"/>
        <v>0</v>
      </c>
      <c r="O308" s="3">
        <f t="shared" si="168"/>
        <v>5371.98</v>
      </c>
      <c r="P308" s="3">
        <f>P309+P310</f>
        <v>2804.27</v>
      </c>
      <c r="Q308" s="3">
        <f t="shared" si="168"/>
        <v>0</v>
      </c>
      <c r="R308" s="3">
        <f t="shared" si="168"/>
        <v>0</v>
      </c>
      <c r="S308" s="3">
        <f t="shared" si="168"/>
        <v>0</v>
      </c>
      <c r="T308" s="3">
        <f t="shared" si="168"/>
        <v>0</v>
      </c>
      <c r="U308" s="3">
        <f t="shared" si="168"/>
        <v>0</v>
      </c>
      <c r="V308" s="3">
        <f t="shared" si="168"/>
        <v>0</v>
      </c>
      <c r="W308" s="3">
        <f t="shared" si="168"/>
        <v>0</v>
      </c>
      <c r="X308" s="3">
        <f t="shared" si="168"/>
        <v>0</v>
      </c>
      <c r="Y308" s="3">
        <f t="shared" si="168"/>
        <v>0</v>
      </c>
      <c r="Z308" s="95">
        <v>0</v>
      </c>
      <c r="AA308" s="3">
        <f t="shared" ref="AA308:AO308" si="169">AA310</f>
        <v>0</v>
      </c>
      <c r="AB308" s="3">
        <f t="shared" si="169"/>
        <v>0</v>
      </c>
      <c r="AC308" s="3">
        <f t="shared" si="169"/>
        <v>0</v>
      </c>
      <c r="AD308" s="3">
        <f t="shared" si="169"/>
        <v>0</v>
      </c>
      <c r="AE308" s="3">
        <f t="shared" si="169"/>
        <v>0</v>
      </c>
      <c r="AF308" s="3">
        <f t="shared" si="169"/>
        <v>0</v>
      </c>
      <c r="AG308" s="3">
        <f t="shared" si="169"/>
        <v>0</v>
      </c>
      <c r="AH308" s="3">
        <f t="shared" si="169"/>
        <v>0</v>
      </c>
      <c r="AI308" s="3">
        <f t="shared" si="169"/>
        <v>0</v>
      </c>
      <c r="AJ308" s="3">
        <f t="shared" si="169"/>
        <v>0</v>
      </c>
      <c r="AK308" s="3">
        <f t="shared" si="169"/>
        <v>0</v>
      </c>
      <c r="AL308" s="3">
        <f t="shared" si="169"/>
        <v>0</v>
      </c>
      <c r="AM308" s="3">
        <f t="shared" si="169"/>
        <v>0</v>
      </c>
      <c r="AN308" s="3">
        <f t="shared" si="169"/>
        <v>0</v>
      </c>
      <c r="AO308" s="3">
        <f t="shared" si="169"/>
        <v>0</v>
      </c>
      <c r="AP308" s="834"/>
      <c r="AQ308" s="95">
        <v>0</v>
      </c>
    </row>
    <row r="309" spans="1:43" ht="15.75" customHeight="1" x14ac:dyDescent="0.25">
      <c r="A309" s="1359"/>
      <c r="B309" s="1" t="s">
        <v>39</v>
      </c>
      <c r="C309" s="1048"/>
      <c r="D309" s="1048"/>
      <c r="E309" s="1048"/>
      <c r="F309" s="1048"/>
      <c r="G309" s="1013"/>
      <c r="H309" s="1013"/>
      <c r="I309" s="1327"/>
      <c r="J309" s="6"/>
      <c r="K309" s="6"/>
      <c r="L309" s="47"/>
      <c r="M309" s="47"/>
      <c r="N309" s="47"/>
      <c r="O309" s="47"/>
      <c r="P309" s="47">
        <v>2804.27</v>
      </c>
      <c r="Q309" s="47">
        <f>S309</f>
        <v>0</v>
      </c>
      <c r="R309" s="47">
        <f>S309</f>
        <v>0</v>
      </c>
      <c r="S309" s="47">
        <v>0</v>
      </c>
      <c r="T309" s="47"/>
      <c r="U309" s="47"/>
      <c r="V309" s="47"/>
      <c r="W309" s="47"/>
      <c r="X309" s="47"/>
      <c r="Y309" s="47"/>
      <c r="Z309" s="47"/>
      <c r="AA309" s="47">
        <v>0</v>
      </c>
      <c r="AB309" s="47">
        <v>0</v>
      </c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19"/>
      <c r="AQ309" s="47"/>
    </row>
    <row r="310" spans="1:43" ht="19.5" customHeight="1" x14ac:dyDescent="0.25">
      <c r="A310" s="1361"/>
      <c r="B310" s="1" t="s">
        <v>213</v>
      </c>
      <c r="C310" s="1047"/>
      <c r="D310" s="1047"/>
      <c r="E310" s="1047"/>
      <c r="F310" s="1047"/>
      <c r="G310" s="1013">
        <v>2024</v>
      </c>
      <c r="H310" s="1013">
        <v>2029</v>
      </c>
      <c r="I310" s="1328"/>
      <c r="J310" s="6">
        <f>L310</f>
        <v>12299.37</v>
      </c>
      <c r="K310" s="6"/>
      <c r="L310" s="47">
        <v>12299.37</v>
      </c>
      <c r="M310" s="47">
        <v>0</v>
      </c>
      <c r="N310" s="47">
        <v>0</v>
      </c>
      <c r="O310" s="47">
        <v>5371.98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96"/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19"/>
      <c r="AQ310" s="96"/>
    </row>
    <row r="311" spans="1:43" s="327" customFormat="1" ht="29.25" customHeight="1" x14ac:dyDescent="0.25">
      <c r="A311" s="1358" t="s">
        <v>194</v>
      </c>
      <c r="B311" s="780" t="s">
        <v>459</v>
      </c>
      <c r="C311" s="1002"/>
      <c r="D311" s="1002"/>
      <c r="E311" s="1002"/>
      <c r="F311" s="1002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70">M313</f>
        <v>0</v>
      </c>
      <c r="N311" s="3">
        <f t="shared" si="170"/>
        <v>0</v>
      </c>
      <c r="O311" s="3">
        <f t="shared" si="170"/>
        <v>5371.98</v>
      </c>
      <c r="P311" s="3">
        <f>P312+P313</f>
        <v>377.92</v>
      </c>
      <c r="Q311" s="3">
        <f t="shared" si="170"/>
        <v>0</v>
      </c>
      <c r="R311" s="3">
        <f t="shared" si="170"/>
        <v>0</v>
      </c>
      <c r="S311" s="3">
        <f t="shared" si="170"/>
        <v>0</v>
      </c>
      <c r="T311" s="3">
        <f t="shared" si="170"/>
        <v>0</v>
      </c>
      <c r="U311" s="3">
        <f t="shared" si="170"/>
        <v>0</v>
      </c>
      <c r="V311" s="3">
        <f t="shared" si="170"/>
        <v>0</v>
      </c>
      <c r="W311" s="3">
        <f t="shared" si="170"/>
        <v>0</v>
      </c>
      <c r="X311" s="3">
        <f t="shared" si="170"/>
        <v>0</v>
      </c>
      <c r="Y311" s="3">
        <f t="shared" si="170"/>
        <v>0</v>
      </c>
      <c r="Z311" s="95">
        <v>0</v>
      </c>
      <c r="AA311" s="3">
        <f t="shared" ref="AA311:AO311" si="171">AA313</f>
        <v>0</v>
      </c>
      <c r="AB311" s="3">
        <f t="shared" si="171"/>
        <v>0</v>
      </c>
      <c r="AC311" s="3">
        <f t="shared" si="171"/>
        <v>0</v>
      </c>
      <c r="AD311" s="3">
        <f t="shared" si="171"/>
        <v>0</v>
      </c>
      <c r="AE311" s="3">
        <f t="shared" si="171"/>
        <v>0</v>
      </c>
      <c r="AF311" s="3">
        <f t="shared" si="171"/>
        <v>0</v>
      </c>
      <c r="AG311" s="3">
        <f t="shared" si="171"/>
        <v>0</v>
      </c>
      <c r="AH311" s="3">
        <f t="shared" si="171"/>
        <v>0</v>
      </c>
      <c r="AI311" s="3">
        <f t="shared" si="171"/>
        <v>0</v>
      </c>
      <c r="AJ311" s="3">
        <f t="shared" si="171"/>
        <v>0</v>
      </c>
      <c r="AK311" s="3">
        <f t="shared" si="171"/>
        <v>0</v>
      </c>
      <c r="AL311" s="3">
        <f t="shared" si="171"/>
        <v>0</v>
      </c>
      <c r="AM311" s="3">
        <f t="shared" si="171"/>
        <v>0</v>
      </c>
      <c r="AN311" s="3">
        <f t="shared" si="171"/>
        <v>0</v>
      </c>
      <c r="AO311" s="3">
        <f t="shared" si="171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1048"/>
      <c r="D312" s="1048"/>
      <c r="E312" s="1048"/>
      <c r="F312" s="1048"/>
      <c r="G312" s="1013"/>
      <c r="H312" s="1013"/>
      <c r="I312" s="1327"/>
      <c r="J312" s="6"/>
      <c r="K312" s="6"/>
      <c r="L312" s="47"/>
      <c r="M312" s="47"/>
      <c r="N312" s="47"/>
      <c r="O312" s="47"/>
      <c r="P312" s="47">
        <v>377.92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1047"/>
      <c r="D313" s="1047"/>
      <c r="E313" s="1047"/>
      <c r="F313" s="1047"/>
      <c r="G313" s="1013">
        <v>2024</v>
      </c>
      <c r="H313" s="1013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</sheetData>
  <mergeCells count="199">
    <mergeCell ref="A1:AP1"/>
    <mergeCell ref="E3:F3"/>
    <mergeCell ref="M3:O3"/>
    <mergeCell ref="R3:S3"/>
    <mergeCell ref="T3:U3"/>
    <mergeCell ref="V3:W3"/>
    <mergeCell ref="X3:Y3"/>
    <mergeCell ref="AF3:AJ3"/>
    <mergeCell ref="AL3:AO3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I68:I71"/>
    <mergeCell ref="J68:J71"/>
    <mergeCell ref="A78:A81"/>
    <mergeCell ref="B78:H81"/>
    <mergeCell ref="A82:A83"/>
    <mergeCell ref="I82:I83"/>
    <mergeCell ref="A65:A67"/>
    <mergeCell ref="B65:H67"/>
    <mergeCell ref="A68:A71"/>
    <mergeCell ref="C68:C71"/>
    <mergeCell ref="D68:D71"/>
    <mergeCell ref="E68:E71"/>
    <mergeCell ref="F68:F71"/>
    <mergeCell ref="A96:A98"/>
    <mergeCell ref="I96:I97"/>
    <mergeCell ref="A99:A100"/>
    <mergeCell ref="I99:I100"/>
    <mergeCell ref="A102:A107"/>
    <mergeCell ref="I102:I107"/>
    <mergeCell ref="C86:C91"/>
    <mergeCell ref="D86:D91"/>
    <mergeCell ref="E86:E91"/>
    <mergeCell ref="F86:F91"/>
    <mergeCell ref="I86:I91"/>
    <mergeCell ref="A93:A95"/>
    <mergeCell ref="I93:I94"/>
    <mergeCell ref="A120:A124"/>
    <mergeCell ref="I120:I124"/>
    <mergeCell ref="A125:A126"/>
    <mergeCell ref="I125:I126"/>
    <mergeCell ref="A128:A131"/>
    <mergeCell ref="B128:H131"/>
    <mergeCell ref="A108:A112"/>
    <mergeCell ref="I108:I112"/>
    <mergeCell ref="A113:A114"/>
    <mergeCell ref="I113:I114"/>
    <mergeCell ref="A116:A119"/>
    <mergeCell ref="I116:I119"/>
    <mergeCell ref="A148:A152"/>
    <mergeCell ref="I148:I152"/>
    <mergeCell ref="J148:J152"/>
    <mergeCell ref="A155:H159"/>
    <mergeCell ref="A160:A163"/>
    <mergeCell ref="B160:H163"/>
    <mergeCell ref="A138:A142"/>
    <mergeCell ref="I138:I142"/>
    <mergeCell ref="J138:J142"/>
    <mergeCell ref="A143:A147"/>
    <mergeCell ref="I143:I147"/>
    <mergeCell ref="J143:J147"/>
    <mergeCell ref="H164:H165"/>
    <mergeCell ref="I164:I165"/>
    <mergeCell ref="J164:J165"/>
    <mergeCell ref="K164:K165"/>
    <mergeCell ref="A167:A170"/>
    <mergeCell ref="F167:F170"/>
    <mergeCell ref="I167:I170"/>
    <mergeCell ref="A164:A165"/>
    <mergeCell ref="C164:C165"/>
    <mergeCell ref="D164:D165"/>
    <mergeCell ref="E164:E165"/>
    <mergeCell ref="F164:F165"/>
    <mergeCell ref="G164:G165"/>
    <mergeCell ref="K171:K172"/>
    <mergeCell ref="A180:A181"/>
    <mergeCell ref="I180:I181"/>
    <mergeCell ref="A171:A172"/>
    <mergeCell ref="C171:C172"/>
    <mergeCell ref="D171:D172"/>
    <mergeCell ref="E171:E172"/>
    <mergeCell ref="F171:F172"/>
    <mergeCell ref="G171:G172"/>
    <mergeCell ref="A184:A185"/>
    <mergeCell ref="I184:I185"/>
    <mergeCell ref="A187:A188"/>
    <mergeCell ref="I187:I188"/>
    <mergeCell ref="A204:A207"/>
    <mergeCell ref="B204:H207"/>
    <mergeCell ref="H171:H172"/>
    <mergeCell ref="I171:I172"/>
    <mergeCell ref="J171:J172"/>
    <mergeCell ref="J208:J212"/>
    <mergeCell ref="A213:A214"/>
    <mergeCell ref="I213:I214"/>
    <mergeCell ref="I219:I220"/>
    <mergeCell ref="I225:I226"/>
    <mergeCell ref="I227:I228"/>
    <mergeCell ref="A208:A212"/>
    <mergeCell ref="C208:C212"/>
    <mergeCell ref="D208:D212"/>
    <mergeCell ref="E208:E212"/>
    <mergeCell ref="F208:F212"/>
    <mergeCell ref="I208:I212"/>
    <mergeCell ref="H238:H241"/>
    <mergeCell ref="I238:I241"/>
    <mergeCell ref="J238:J241"/>
    <mergeCell ref="A245:A248"/>
    <mergeCell ref="B245:H248"/>
    <mergeCell ref="A249:A251"/>
    <mergeCell ref="I249:I250"/>
    <mergeCell ref="I229:I230"/>
    <mergeCell ref="A231:A234"/>
    <mergeCell ref="B231:H234"/>
    <mergeCell ref="I235:I236"/>
    <mergeCell ref="A238:A241"/>
    <mergeCell ref="C238:C241"/>
    <mergeCell ref="D238:D241"/>
    <mergeCell ref="E238:E241"/>
    <mergeCell ref="F238:F241"/>
    <mergeCell ref="G238:G241"/>
    <mergeCell ref="I267:I268"/>
    <mergeCell ref="J267:J268"/>
    <mergeCell ref="A269:A272"/>
    <mergeCell ref="C269:C270"/>
    <mergeCell ref="D269:D270"/>
    <mergeCell ref="E269:E270"/>
    <mergeCell ref="F269:F270"/>
    <mergeCell ref="I269:I272"/>
    <mergeCell ref="A252:A256"/>
    <mergeCell ref="I252:I256"/>
    <mergeCell ref="A257:A258"/>
    <mergeCell ref="I257:I258"/>
    <mergeCell ref="I264:I265"/>
    <mergeCell ref="A267:A268"/>
    <mergeCell ref="C267:C268"/>
    <mergeCell ref="D267:D268"/>
    <mergeCell ref="E267:E268"/>
    <mergeCell ref="F267:F268"/>
    <mergeCell ref="A278:A284"/>
    <mergeCell ref="C278:C279"/>
    <mergeCell ref="D278:D279"/>
    <mergeCell ref="E278:E279"/>
    <mergeCell ref="F278:F279"/>
    <mergeCell ref="I278:I284"/>
    <mergeCell ref="A273:A277"/>
    <mergeCell ref="C273:C274"/>
    <mergeCell ref="D273:D274"/>
    <mergeCell ref="E273:E274"/>
    <mergeCell ref="F273:F274"/>
    <mergeCell ref="I273:I277"/>
    <mergeCell ref="A311:A313"/>
    <mergeCell ref="I311:I313"/>
    <mergeCell ref="A285:A287"/>
    <mergeCell ref="I285:I287"/>
    <mergeCell ref="A288:A297"/>
    <mergeCell ref="A298:A300"/>
    <mergeCell ref="I298:I300"/>
    <mergeCell ref="A308:A310"/>
    <mergeCell ref="I308:I310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3" max="16383" man="1"/>
    <brk id="251" max="16383" man="1"/>
  </rowBreaks>
  <colBreaks count="1" manualBreakCount="1">
    <brk id="4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3"/>
  <sheetViews>
    <sheetView view="pageBreakPreview" topLeftCell="B1" zoomScale="140" zoomScaleNormal="170" zoomScaleSheetLayoutView="140" workbookViewId="0">
      <pane xSplit="14" ySplit="9" topLeftCell="P244" activePane="bottomRight" state="frozen"/>
      <selection activeCell="B1" sqref="B1"/>
      <selection pane="topRight" activeCell="P1" sqref="P1"/>
      <selection pane="bottomLeft" activeCell="B10" sqref="B10"/>
      <selection pane="bottomRight" activeCell="P290" sqref="P290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463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080" t="s">
        <v>3</v>
      </c>
      <c r="B3" s="1080" t="s">
        <v>4</v>
      </c>
      <c r="C3" s="1062" t="s">
        <v>6</v>
      </c>
      <c r="D3" s="1062" t="s">
        <v>14</v>
      </c>
      <c r="E3" s="1530" t="s">
        <v>5</v>
      </c>
      <c r="F3" s="1532"/>
      <c r="G3" s="1062" t="s">
        <v>1</v>
      </c>
      <c r="H3" s="1062" t="s">
        <v>2</v>
      </c>
      <c r="I3" s="1062" t="s">
        <v>0</v>
      </c>
      <c r="J3" s="1062" t="s">
        <v>51</v>
      </c>
      <c r="K3" s="1062" t="s">
        <v>52</v>
      </c>
      <c r="L3" s="1062" t="s">
        <v>275</v>
      </c>
      <c r="M3" s="1530" t="s">
        <v>8</v>
      </c>
      <c r="N3" s="1531"/>
      <c r="O3" s="1532"/>
      <c r="P3" s="1060" t="s">
        <v>437</v>
      </c>
      <c r="Q3" s="1060" t="s">
        <v>465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464</v>
      </c>
      <c r="AB3" s="1060"/>
      <c r="AC3" s="1060"/>
      <c r="AD3" s="1060"/>
      <c r="AE3" s="1060"/>
      <c r="AF3" s="1508" t="s">
        <v>307</v>
      </c>
      <c r="AG3" s="1515"/>
      <c r="AH3" s="1515"/>
      <c r="AI3" s="1515"/>
      <c r="AJ3" s="1516"/>
      <c r="AK3" s="1061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063">
        <v>3</v>
      </c>
      <c r="Q4" s="606">
        <v>4</v>
      </c>
      <c r="R4" s="1063">
        <v>7</v>
      </c>
      <c r="S4" s="1063">
        <v>8</v>
      </c>
      <c r="T4" s="606">
        <v>9</v>
      </c>
      <c r="U4" s="606">
        <v>10</v>
      </c>
      <c r="V4" s="606">
        <v>11</v>
      </c>
      <c r="W4" s="606">
        <v>12</v>
      </c>
      <c r="X4" s="1063">
        <v>13</v>
      </c>
      <c r="Y4" s="1063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E9" si="1">P10+P155</f>
        <v>519486.85400000005</v>
      </c>
      <c r="Q5" s="679">
        <f t="shared" si="1"/>
        <v>80647.962379999997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>AA10+AA155</f>
        <v>88473.654849999992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317325.54000000004</v>
      </c>
      <c r="AL5" s="679">
        <f t="shared" si="2"/>
        <v>317325.54000000004</v>
      </c>
      <c r="AM5" s="679">
        <f>ROUND((Q5*100%/P5*100),2)</f>
        <v>15.52</v>
      </c>
      <c r="AN5" s="679">
        <f t="shared" si="2"/>
        <v>0</v>
      </c>
      <c r="AO5" s="679">
        <f t="shared" si="2"/>
        <v>0</v>
      </c>
      <c r="AP5" s="938"/>
      <c r="AQ5" s="679">
        <f>AQ10+AQ155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J11+J156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si="1"/>
        <v>264162.01</v>
      </c>
      <c r="Q6" s="3">
        <f t="shared" si="1"/>
        <v>0</v>
      </c>
      <c r="R6" s="3">
        <f t="shared" si="1"/>
        <v>1128.182</v>
      </c>
      <c r="S6" s="3">
        <f t="shared" si="1"/>
        <v>4128.1819999999998</v>
      </c>
      <c r="T6" s="3">
        <f t="shared" si="1"/>
        <v>31.5</v>
      </c>
      <c r="U6" s="3">
        <f t="shared" si="1"/>
        <v>2236.8380000000002</v>
      </c>
      <c r="V6" s="3">
        <f t="shared" si="1"/>
        <v>0</v>
      </c>
      <c r="W6" s="3">
        <f t="shared" si="1"/>
        <v>0</v>
      </c>
      <c r="X6" s="3">
        <f t="shared" si="1"/>
        <v>0</v>
      </c>
      <c r="Y6" s="3">
        <f t="shared" si="1"/>
        <v>0</v>
      </c>
      <c r="Z6" s="95">
        <f t="shared" si="1"/>
        <v>0</v>
      </c>
      <c r="AA6" s="3">
        <f t="shared" si="1"/>
        <v>0</v>
      </c>
      <c r="AB6" s="3">
        <f t="shared" si="1"/>
        <v>3015.1369999999997</v>
      </c>
      <c r="AC6" s="3">
        <f t="shared" si="1"/>
        <v>0</v>
      </c>
      <c r="AD6" s="3">
        <f t="shared" si="1"/>
        <v>31.5</v>
      </c>
      <c r="AE6" s="3">
        <f t="shared" si="1"/>
        <v>0</v>
      </c>
      <c r="AF6" s="3">
        <f t="shared" ref="AF6:AL9" si="4">AF11+AF156</f>
        <v>0</v>
      </c>
      <c r="AG6" s="3">
        <f t="shared" si="4"/>
        <v>0</v>
      </c>
      <c r="AH6" s="3">
        <f t="shared" si="4"/>
        <v>0</v>
      </c>
      <c r="AI6" s="3">
        <f t="shared" si="4"/>
        <v>0</v>
      </c>
      <c r="AJ6" s="3">
        <f t="shared" si="4"/>
        <v>0</v>
      </c>
      <c r="AK6" s="3">
        <f t="shared" si="4"/>
        <v>192946.75</v>
      </c>
      <c r="AL6" s="3">
        <f t="shared" si="4"/>
        <v>192946.75</v>
      </c>
      <c r="AM6" s="385">
        <f>ROUND((Q6*100%/P6*100),2)</f>
        <v>0</v>
      </c>
      <c r="AN6" s="3">
        <f t="shared" ref="AN6:AO9" si="5">AN11+AN156</f>
        <v>0</v>
      </c>
      <c r="AO6" s="3">
        <f t="shared" si="5"/>
        <v>0</v>
      </c>
      <c r="AP6" s="632"/>
      <c r="AQ6" s="95">
        <f>AQ11+AQ156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si="1"/>
        <v>175498.53000000003</v>
      </c>
      <c r="Q7" s="3">
        <f t="shared" si="1"/>
        <v>2373.65</v>
      </c>
      <c r="R7" s="3">
        <f t="shared" si="1"/>
        <v>12156.708000000001</v>
      </c>
      <c r="S7" s="3">
        <f t="shared" si="1"/>
        <v>12573.374</v>
      </c>
      <c r="T7" s="3">
        <f t="shared" si="1"/>
        <v>22089.049000000003</v>
      </c>
      <c r="U7" s="3">
        <f t="shared" si="1"/>
        <v>21847.228999999999</v>
      </c>
      <c r="V7" s="3">
        <f t="shared" si="1"/>
        <v>6338.5969999999998</v>
      </c>
      <c r="W7" s="3">
        <f t="shared" si="1"/>
        <v>7317.3669999999993</v>
      </c>
      <c r="X7" s="3">
        <f t="shared" si="1"/>
        <v>0</v>
      </c>
      <c r="Y7" s="3">
        <f t="shared" si="1"/>
        <v>0</v>
      </c>
      <c r="Z7" s="95">
        <f t="shared" si="1"/>
        <v>0</v>
      </c>
      <c r="AA7" s="3">
        <f t="shared" si="1"/>
        <v>2415</v>
      </c>
      <c r="AB7" s="3">
        <f t="shared" si="1"/>
        <v>40.5</v>
      </c>
      <c r="AC7" s="3">
        <f t="shared" si="1"/>
        <v>4148.6930000000002</v>
      </c>
      <c r="AD7" s="3">
        <f t="shared" si="1"/>
        <v>72764.314890000009</v>
      </c>
      <c r="AE7" s="3">
        <f t="shared" si="1"/>
        <v>0</v>
      </c>
      <c r="AF7" s="3">
        <f t="shared" si="4"/>
        <v>0</v>
      </c>
      <c r="AG7" s="3">
        <f t="shared" si="4"/>
        <v>0</v>
      </c>
      <c r="AH7" s="3">
        <f t="shared" si="4"/>
        <v>0</v>
      </c>
      <c r="AI7" s="3">
        <f t="shared" si="4"/>
        <v>0</v>
      </c>
      <c r="AJ7" s="3">
        <f t="shared" si="4"/>
        <v>0</v>
      </c>
      <c r="AK7" s="3">
        <f t="shared" si="4"/>
        <v>124378.79000000001</v>
      </c>
      <c r="AL7" s="3">
        <f t="shared" si="4"/>
        <v>124378.79000000001</v>
      </c>
      <c r="AM7" s="385">
        <f>ROUND((Q7*100%/P7*100),2)</f>
        <v>1.35</v>
      </c>
      <c r="AN7" s="3">
        <f t="shared" si="5"/>
        <v>0</v>
      </c>
      <c r="AO7" s="3">
        <f t="shared" si="5"/>
        <v>0</v>
      </c>
      <c r="AP7" s="632"/>
      <c r="AQ7" s="95">
        <f>AQ12+AQ157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si="1"/>
        <v>0</v>
      </c>
      <c r="Q8" s="3">
        <f t="shared" si="1"/>
        <v>78238.64022999999</v>
      </c>
      <c r="R8" s="3">
        <f t="shared" si="1"/>
        <v>21705.95</v>
      </c>
      <c r="S8" s="3">
        <f t="shared" si="1"/>
        <v>21705.95</v>
      </c>
      <c r="T8" s="3">
        <f t="shared" si="1"/>
        <v>67610.615609999993</v>
      </c>
      <c r="U8" s="3">
        <f t="shared" si="1"/>
        <v>67610.615609999993</v>
      </c>
      <c r="V8" s="3">
        <f t="shared" si="1"/>
        <v>50383.255000000005</v>
      </c>
      <c r="W8" s="3">
        <f t="shared" si="1"/>
        <v>50383.255000000005</v>
      </c>
      <c r="X8" s="3">
        <f t="shared" si="1"/>
        <v>21705.95</v>
      </c>
      <c r="Y8" s="3">
        <f t="shared" si="1"/>
        <v>21705.95</v>
      </c>
      <c r="Z8" s="95">
        <f t="shared" si="1"/>
        <v>0</v>
      </c>
      <c r="AA8" s="3">
        <f t="shared" si="1"/>
        <v>85624.982699999993</v>
      </c>
      <c r="AB8" s="3">
        <f t="shared" si="1"/>
        <v>17522.268</v>
      </c>
      <c r="AC8" s="3">
        <f t="shared" si="1"/>
        <v>32106.996000000003</v>
      </c>
      <c r="AD8" s="3">
        <f t="shared" si="1"/>
        <v>0</v>
      </c>
      <c r="AE8" s="3">
        <f t="shared" si="1"/>
        <v>0</v>
      </c>
      <c r="AF8" s="3">
        <f t="shared" si="4"/>
        <v>0</v>
      </c>
      <c r="AG8" s="3">
        <f t="shared" si="4"/>
        <v>0</v>
      </c>
      <c r="AH8" s="3">
        <f t="shared" si="4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85">
        <v>0</v>
      </c>
      <c r="AN8" s="3">
        <f t="shared" si="5"/>
        <v>0</v>
      </c>
      <c r="AO8" s="3">
        <f t="shared" si="5"/>
        <v>0</v>
      </c>
      <c r="AP8" s="632"/>
      <c r="AQ8" s="95">
        <f>AQ13+AQ158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si="1"/>
        <v>0</v>
      </c>
      <c r="Q9" s="3">
        <f t="shared" si="1"/>
        <v>0</v>
      </c>
      <c r="R9" s="3">
        <f t="shared" si="1"/>
        <v>37814.324000000001</v>
      </c>
      <c r="S9" s="3">
        <f t="shared" si="1"/>
        <v>37814.324000000001</v>
      </c>
      <c r="T9" s="3">
        <f t="shared" si="1"/>
        <v>0</v>
      </c>
      <c r="U9" s="3">
        <f t="shared" si="1"/>
        <v>0</v>
      </c>
      <c r="V9" s="3">
        <f t="shared" si="1"/>
        <v>0</v>
      </c>
      <c r="W9" s="3">
        <f t="shared" si="1"/>
        <v>0</v>
      </c>
      <c r="X9" s="3">
        <f t="shared" si="1"/>
        <v>0</v>
      </c>
      <c r="Y9" s="3">
        <f t="shared" si="1"/>
        <v>0</v>
      </c>
      <c r="Z9" s="95">
        <f t="shared" si="1"/>
        <v>0</v>
      </c>
      <c r="AA9" s="3">
        <f t="shared" si="1"/>
        <v>0</v>
      </c>
      <c r="AB9" s="3">
        <f t="shared" si="1"/>
        <v>0</v>
      </c>
      <c r="AC9" s="3">
        <f t="shared" si="1"/>
        <v>0</v>
      </c>
      <c r="AD9" s="3">
        <f t="shared" si="1"/>
        <v>0</v>
      </c>
      <c r="AE9" s="3">
        <f t="shared" si="1"/>
        <v>0</v>
      </c>
      <c r="AF9" s="3">
        <f t="shared" si="4"/>
        <v>0</v>
      </c>
      <c r="AG9" s="3">
        <f t="shared" si="4"/>
        <v>0</v>
      </c>
      <c r="AH9" s="3">
        <f t="shared" si="4"/>
        <v>0</v>
      </c>
      <c r="AI9" s="3">
        <f t="shared" si="4"/>
        <v>0</v>
      </c>
      <c r="AJ9" s="3">
        <f t="shared" si="4"/>
        <v>0</v>
      </c>
      <c r="AK9" s="3">
        <f t="shared" si="4"/>
        <v>0</v>
      </c>
      <c r="AL9" s="3">
        <f t="shared" si="4"/>
        <v>0</v>
      </c>
      <c r="AM9" s="385">
        <v>0</v>
      </c>
      <c r="AN9" s="3">
        <f t="shared" si="5"/>
        <v>0</v>
      </c>
      <c r="AO9" s="3">
        <f t="shared" si="5"/>
        <v>0</v>
      </c>
      <c r="AP9" s="632"/>
      <c r="AQ9" s="95">
        <f>AQ14+AQ159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6">J11+J12+J13+J14</f>
        <v>1940430.69</v>
      </c>
      <c r="K10" s="922">
        <f t="shared" si="6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6"/>
        <v>363282.47</v>
      </c>
      <c r="O10" s="922">
        <f t="shared" si="6"/>
        <v>116582.55</v>
      </c>
      <c r="P10" s="923">
        <f>P19+P33+P36+P47+P58+P68+P82+P86+P93+P96+P99+P102+P108+P113+P116+P120+P125+P138+P40+P62+P132+P135+P72+P76+P143+P148</f>
        <v>226744.65400000001</v>
      </c>
      <c r="Q10" s="923">
        <f t="shared" ref="Q10:Z10" si="7">Q19+Q33+Q36+Q47+Q58+Q68+Q82+Q86+Q93+Q96+Q99+Q102+Q108+Q113+Q116+Q120+Q125+Q138+Q40+Q62+Q132+Q135+Q72+Q76+Q143+Q148</f>
        <v>110.67214999999999</v>
      </c>
      <c r="R10" s="923">
        <f t="shared" si="7"/>
        <v>49571.563999999998</v>
      </c>
      <c r="S10" s="923">
        <f t="shared" si="7"/>
        <v>49988.229999999996</v>
      </c>
      <c r="T10" s="923">
        <f t="shared" si="7"/>
        <v>65950.61860999999</v>
      </c>
      <c r="U10" s="923">
        <f t="shared" si="7"/>
        <v>65705.398609999989</v>
      </c>
      <c r="V10" s="923">
        <f t="shared" si="7"/>
        <v>2007.1869999999999</v>
      </c>
      <c r="W10" s="923">
        <f t="shared" si="7"/>
        <v>2047.0429999999999</v>
      </c>
      <c r="X10" s="923">
        <f t="shared" si="7"/>
        <v>0</v>
      </c>
      <c r="Y10" s="923">
        <f t="shared" si="7"/>
        <v>0</v>
      </c>
      <c r="Z10" s="923">
        <f t="shared" si="7"/>
        <v>0</v>
      </c>
      <c r="AA10" s="923">
        <f>AA19+AA33+AA36+AA47+AA58+AA68+AA82+AA86+AA93+AA96+AA99+AA102+AA108+AA113+AA116+AA120+AA125+AA138+AA40+AA62+AA132+AA135+AA72+AA76+AA143+AA148</f>
        <v>110.67214999999999</v>
      </c>
      <c r="AB10" s="923">
        <f t="shared" ref="AB10:AO10" si="8">AB11+AB12+AB13+AB14</f>
        <v>106.83</v>
      </c>
      <c r="AC10" s="923">
        <f t="shared" si="8"/>
        <v>914.28300000000002</v>
      </c>
      <c r="AD10" s="923">
        <f t="shared" si="8"/>
        <v>3005.3339999999998</v>
      </c>
      <c r="AE10" s="923">
        <f t="shared" si="8"/>
        <v>0</v>
      </c>
      <c r="AF10" s="923">
        <f t="shared" si="8"/>
        <v>0</v>
      </c>
      <c r="AG10" s="923">
        <f t="shared" si="8"/>
        <v>0</v>
      </c>
      <c r="AH10" s="923">
        <f t="shared" si="8"/>
        <v>0</v>
      </c>
      <c r="AI10" s="923">
        <f t="shared" si="8"/>
        <v>0</v>
      </c>
      <c r="AJ10" s="923">
        <f t="shared" si="8"/>
        <v>0</v>
      </c>
      <c r="AK10" s="923">
        <f t="shared" si="8"/>
        <v>170072.3</v>
      </c>
      <c r="AL10" s="923">
        <f t="shared" si="8"/>
        <v>170072.3</v>
      </c>
      <c r="AM10" s="923" t="e">
        <f t="shared" si="8"/>
        <v>#DIV/0!</v>
      </c>
      <c r="AN10" s="923">
        <f t="shared" si="8"/>
        <v>0</v>
      </c>
      <c r="AO10" s="923">
        <f t="shared" si="8"/>
        <v>0</v>
      </c>
      <c r="AP10" s="924"/>
      <c r="AQ10" s="923">
        <f>AQ19+AQ33+AQ36+AQ47+AQ58+AQ68+AQ82+AQ86+AQ93+AQ96+AQ99+AQ102+AQ108+AQ113+AQ116+AQ120+AQ125+AQ138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9">J15+J128</f>
        <v>977955.46</v>
      </c>
      <c r="K11" s="47">
        <f t="shared" si="9"/>
        <v>251829.19999999995</v>
      </c>
      <c r="L11" s="47">
        <f t="shared" si="9"/>
        <v>750480.15999999992</v>
      </c>
      <c r="M11" s="47">
        <f t="shared" si="9"/>
        <v>96658.23</v>
      </c>
      <c r="N11" s="47">
        <f t="shared" si="9"/>
        <v>83716.939999999988</v>
      </c>
      <c r="O11" s="47">
        <f t="shared" si="9"/>
        <v>78886.680000000008</v>
      </c>
      <c r="P11" s="47">
        <f t="shared" si="9"/>
        <v>164000</v>
      </c>
      <c r="Q11" s="47">
        <f t="shared" si="9"/>
        <v>0</v>
      </c>
      <c r="R11" s="47">
        <f t="shared" si="9"/>
        <v>384.71</v>
      </c>
      <c r="S11" s="47">
        <f t="shared" si="9"/>
        <v>384.71</v>
      </c>
      <c r="T11" s="47">
        <f t="shared" si="9"/>
        <v>0</v>
      </c>
      <c r="U11" s="47">
        <f t="shared" si="9"/>
        <v>0</v>
      </c>
      <c r="V11" s="47">
        <f t="shared" si="9"/>
        <v>0</v>
      </c>
      <c r="W11" s="47">
        <f t="shared" si="9"/>
        <v>0</v>
      </c>
      <c r="X11" s="47">
        <f t="shared" si="9"/>
        <v>0</v>
      </c>
      <c r="Y11" s="47">
        <f t="shared" si="9"/>
        <v>0</v>
      </c>
      <c r="Z11" s="96"/>
      <c r="AA11" s="47">
        <f t="shared" ref="AA11:AO11" si="10">AA15+AA128</f>
        <v>0</v>
      </c>
      <c r="AB11" s="47">
        <f t="shared" si="10"/>
        <v>66.33</v>
      </c>
      <c r="AC11" s="47">
        <f t="shared" si="10"/>
        <v>0</v>
      </c>
      <c r="AD11" s="47">
        <f t="shared" si="10"/>
        <v>0</v>
      </c>
      <c r="AE11" s="47">
        <f t="shared" si="10"/>
        <v>0</v>
      </c>
      <c r="AF11" s="47">
        <f t="shared" si="10"/>
        <v>0</v>
      </c>
      <c r="AG11" s="47">
        <f t="shared" si="10"/>
        <v>0</v>
      </c>
      <c r="AH11" s="47">
        <f t="shared" si="10"/>
        <v>0</v>
      </c>
      <c r="AI11" s="47">
        <f t="shared" si="10"/>
        <v>0</v>
      </c>
      <c r="AJ11" s="47">
        <f t="shared" si="10"/>
        <v>0</v>
      </c>
      <c r="AK11" s="47">
        <f t="shared" si="10"/>
        <v>164000</v>
      </c>
      <c r="AL11" s="47">
        <f t="shared" si="10"/>
        <v>164000</v>
      </c>
      <c r="AM11" s="47">
        <f t="shared" si="10"/>
        <v>0</v>
      </c>
      <c r="AN11" s="47">
        <f t="shared" si="10"/>
        <v>0</v>
      </c>
      <c r="AO11" s="47">
        <f t="shared" si="10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J16+J44+J52+J65+J79+J129</f>
        <v>236854.15</v>
      </c>
      <c r="K12" s="47">
        <f>K16+K65+K129</f>
        <v>0</v>
      </c>
      <c r="L12" s="47">
        <f t="shared" ref="L12:Y12" si="11">L16+L44+L52+L65+L79+L129</f>
        <v>230331.37</v>
      </c>
      <c r="M12" s="47">
        <f t="shared" si="11"/>
        <v>24568.73</v>
      </c>
      <c r="N12" s="47">
        <f t="shared" si="11"/>
        <v>46592.61</v>
      </c>
      <c r="O12" s="47">
        <f t="shared" si="11"/>
        <v>37695.869999999995</v>
      </c>
      <c r="P12" s="47">
        <f t="shared" si="11"/>
        <v>43488.07</v>
      </c>
      <c r="Q12" s="47">
        <f t="shared" si="11"/>
        <v>75</v>
      </c>
      <c r="R12" s="47">
        <f t="shared" si="11"/>
        <v>11372.53</v>
      </c>
      <c r="S12" s="47">
        <f t="shared" si="11"/>
        <v>11789.196</v>
      </c>
      <c r="T12" s="47">
        <f t="shared" si="11"/>
        <v>18085.953000000001</v>
      </c>
      <c r="U12" s="47">
        <f t="shared" si="11"/>
        <v>17840.733</v>
      </c>
      <c r="V12" s="47">
        <f t="shared" si="11"/>
        <v>2007.1869999999999</v>
      </c>
      <c r="W12" s="47">
        <f t="shared" si="11"/>
        <v>2047.0429999999999</v>
      </c>
      <c r="X12" s="47">
        <f t="shared" si="11"/>
        <v>0</v>
      </c>
      <c r="Y12" s="47">
        <f t="shared" si="11"/>
        <v>0</v>
      </c>
      <c r="Z12" s="96"/>
      <c r="AA12" s="47">
        <f t="shared" ref="AA12:AO12" si="12">AA16+AA44+AA52+AA65+AA79+AA129</f>
        <v>75</v>
      </c>
      <c r="AB12" s="47">
        <f t="shared" si="12"/>
        <v>40.5</v>
      </c>
      <c r="AC12" s="47">
        <f t="shared" si="12"/>
        <v>907.08299999999997</v>
      </c>
      <c r="AD12" s="47">
        <f t="shared" si="12"/>
        <v>3005.3339999999998</v>
      </c>
      <c r="AE12" s="47">
        <f t="shared" si="12"/>
        <v>0</v>
      </c>
      <c r="AF12" s="47">
        <f t="shared" si="12"/>
        <v>0</v>
      </c>
      <c r="AG12" s="47">
        <f t="shared" si="12"/>
        <v>0</v>
      </c>
      <c r="AH12" s="47">
        <f t="shared" si="12"/>
        <v>0</v>
      </c>
      <c r="AI12" s="47">
        <f t="shared" si="12"/>
        <v>0</v>
      </c>
      <c r="AJ12" s="47">
        <f t="shared" si="12"/>
        <v>0</v>
      </c>
      <c r="AK12" s="47">
        <f t="shared" si="12"/>
        <v>6072.3000000000011</v>
      </c>
      <c r="AL12" s="47">
        <f t="shared" si="12"/>
        <v>6072.3000000000011</v>
      </c>
      <c r="AM12" s="47" t="e">
        <f t="shared" si="12"/>
        <v>#DIV/0!</v>
      </c>
      <c r="AN12" s="47">
        <f t="shared" si="12"/>
        <v>0</v>
      </c>
      <c r="AO12" s="47">
        <f t="shared" si="12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13">J17+J66+J130+J45</f>
        <v>23417.360000000001</v>
      </c>
      <c r="K13" s="47">
        <f t="shared" si="13"/>
        <v>0</v>
      </c>
      <c r="L13" s="47">
        <f t="shared" si="13"/>
        <v>172003.82</v>
      </c>
      <c r="M13" s="47">
        <f t="shared" si="13"/>
        <v>135504.01</v>
      </c>
      <c r="N13" s="47">
        <f t="shared" si="13"/>
        <v>36499.81</v>
      </c>
      <c r="O13" s="47">
        <f t="shared" si="13"/>
        <v>0</v>
      </c>
      <c r="P13" s="47">
        <f t="shared" si="13"/>
        <v>0</v>
      </c>
      <c r="Q13" s="47">
        <f t="shared" si="13"/>
        <v>0</v>
      </c>
      <c r="R13" s="47">
        <f t="shared" si="13"/>
        <v>0</v>
      </c>
      <c r="S13" s="47">
        <f t="shared" si="13"/>
        <v>0</v>
      </c>
      <c r="T13" s="47">
        <f t="shared" si="13"/>
        <v>45904.665609999996</v>
      </c>
      <c r="U13" s="47">
        <f t="shared" si="13"/>
        <v>45904.665609999996</v>
      </c>
      <c r="V13" s="47">
        <f t="shared" si="13"/>
        <v>0</v>
      </c>
      <c r="W13" s="47">
        <f t="shared" si="13"/>
        <v>0</v>
      </c>
      <c r="X13" s="47">
        <f t="shared" si="13"/>
        <v>0</v>
      </c>
      <c r="Y13" s="47">
        <f t="shared" si="13"/>
        <v>0</v>
      </c>
      <c r="Z13" s="96"/>
      <c r="AA13" s="47">
        <f t="shared" ref="AA13:AO13" si="14">AA17+AA66+AA130+AA45</f>
        <v>0</v>
      </c>
      <c r="AB13" s="47">
        <f t="shared" si="14"/>
        <v>0</v>
      </c>
      <c r="AC13" s="47">
        <f t="shared" si="14"/>
        <v>7.2</v>
      </c>
      <c r="AD13" s="47">
        <f t="shared" si="14"/>
        <v>0</v>
      </c>
      <c r="AE13" s="47">
        <f t="shared" si="14"/>
        <v>0</v>
      </c>
      <c r="AF13" s="47">
        <f t="shared" si="14"/>
        <v>0</v>
      </c>
      <c r="AG13" s="47">
        <f t="shared" si="14"/>
        <v>0</v>
      </c>
      <c r="AH13" s="47">
        <f t="shared" si="14"/>
        <v>0</v>
      </c>
      <c r="AI13" s="47">
        <f t="shared" si="14"/>
        <v>0</v>
      </c>
      <c r="AJ13" s="47">
        <f t="shared" si="14"/>
        <v>0</v>
      </c>
      <c r="AK13" s="47">
        <f t="shared" si="14"/>
        <v>0</v>
      </c>
      <c r="AL13" s="47">
        <f t="shared" si="14"/>
        <v>0</v>
      </c>
      <c r="AM13" s="47">
        <f t="shared" si="14"/>
        <v>0</v>
      </c>
      <c r="AN13" s="47">
        <f t="shared" si="14"/>
        <v>0</v>
      </c>
      <c r="AO13" s="47">
        <f t="shared" si="14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15">J18+J67+J131</f>
        <v>702203.72</v>
      </c>
      <c r="K14" s="607">
        <f t="shared" si="15"/>
        <v>702203.72</v>
      </c>
      <c r="L14" s="607">
        <f t="shared" si="15"/>
        <v>789617.84</v>
      </c>
      <c r="M14" s="607">
        <f t="shared" si="15"/>
        <v>348941.19</v>
      </c>
      <c r="N14" s="607">
        <f t="shared" si="15"/>
        <v>196473.11</v>
      </c>
      <c r="O14" s="607">
        <f t="shared" si="15"/>
        <v>0</v>
      </c>
      <c r="P14" s="607">
        <f t="shared" si="15"/>
        <v>0</v>
      </c>
      <c r="Q14" s="607">
        <f t="shared" si="15"/>
        <v>0</v>
      </c>
      <c r="R14" s="607">
        <f t="shared" si="15"/>
        <v>37814.324000000001</v>
      </c>
      <c r="S14" s="607">
        <f t="shared" si="15"/>
        <v>37814.324000000001</v>
      </c>
      <c r="T14" s="607">
        <f t="shared" si="15"/>
        <v>0</v>
      </c>
      <c r="U14" s="607">
        <f t="shared" si="15"/>
        <v>0</v>
      </c>
      <c r="V14" s="607">
        <f t="shared" si="15"/>
        <v>0</v>
      </c>
      <c r="W14" s="607">
        <f t="shared" si="15"/>
        <v>0</v>
      </c>
      <c r="X14" s="607">
        <f t="shared" si="15"/>
        <v>0</v>
      </c>
      <c r="Y14" s="607">
        <f t="shared" si="15"/>
        <v>0</v>
      </c>
      <c r="Z14" s="674"/>
      <c r="AA14" s="607">
        <f t="shared" ref="AA14:AO14" si="16">AA18+AA67+AA131</f>
        <v>0</v>
      </c>
      <c r="AB14" s="607">
        <f t="shared" si="16"/>
        <v>0</v>
      </c>
      <c r="AC14" s="607">
        <f t="shared" si="16"/>
        <v>0</v>
      </c>
      <c r="AD14" s="607">
        <f t="shared" si="16"/>
        <v>0</v>
      </c>
      <c r="AE14" s="607">
        <f t="shared" si="16"/>
        <v>0</v>
      </c>
      <c r="AF14" s="607">
        <f t="shared" si="16"/>
        <v>0</v>
      </c>
      <c r="AG14" s="607">
        <f t="shared" si="16"/>
        <v>0</v>
      </c>
      <c r="AH14" s="607">
        <f t="shared" si="16"/>
        <v>0</v>
      </c>
      <c r="AI14" s="607">
        <f t="shared" si="16"/>
        <v>0</v>
      </c>
      <c r="AJ14" s="607">
        <f t="shared" si="16"/>
        <v>0</v>
      </c>
      <c r="AK14" s="607">
        <f t="shared" si="16"/>
        <v>0</v>
      </c>
      <c r="AL14" s="607">
        <f t="shared" si="16"/>
        <v>0</v>
      </c>
      <c r="AM14" s="607">
        <f t="shared" si="16"/>
        <v>0</v>
      </c>
      <c r="AN14" s="607">
        <f t="shared" si="16"/>
        <v>0</v>
      </c>
      <c r="AO14" s="607">
        <f t="shared" si="16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17">J20+J33+J36</f>
        <v>977955.46</v>
      </c>
      <c r="K15" s="47">
        <f t="shared" si="17"/>
        <v>251829.19999999995</v>
      </c>
      <c r="L15" s="47">
        <f t="shared" si="17"/>
        <v>750480.15999999992</v>
      </c>
      <c r="M15" s="47">
        <f t="shared" si="17"/>
        <v>96658.23</v>
      </c>
      <c r="N15" s="47">
        <f t="shared" si="17"/>
        <v>83716.939999999988</v>
      </c>
      <c r="O15" s="47">
        <f t="shared" si="17"/>
        <v>78886.680000000008</v>
      </c>
      <c r="P15" s="47">
        <f t="shared" si="17"/>
        <v>164000</v>
      </c>
      <c r="Q15" s="47">
        <f t="shared" si="17"/>
        <v>0</v>
      </c>
      <c r="R15" s="47">
        <f t="shared" si="17"/>
        <v>384.71</v>
      </c>
      <c r="S15" s="47">
        <f t="shared" si="17"/>
        <v>384.71</v>
      </c>
      <c r="T15" s="47">
        <f t="shared" si="17"/>
        <v>0</v>
      </c>
      <c r="U15" s="47">
        <f t="shared" si="17"/>
        <v>0</v>
      </c>
      <c r="V15" s="47">
        <f t="shared" si="17"/>
        <v>0</v>
      </c>
      <c r="W15" s="47">
        <f t="shared" si="17"/>
        <v>0</v>
      </c>
      <c r="X15" s="47">
        <f t="shared" si="17"/>
        <v>0</v>
      </c>
      <c r="Y15" s="47">
        <f t="shared" si="17"/>
        <v>0</v>
      </c>
      <c r="Z15" s="96"/>
      <c r="AA15" s="47">
        <f t="shared" ref="AA15:AO15" si="18">AA20+AA33+AA36</f>
        <v>0</v>
      </c>
      <c r="AB15" s="47">
        <f t="shared" si="18"/>
        <v>66.33</v>
      </c>
      <c r="AC15" s="47">
        <f t="shared" si="18"/>
        <v>0</v>
      </c>
      <c r="AD15" s="47">
        <f t="shared" si="18"/>
        <v>0</v>
      </c>
      <c r="AE15" s="47">
        <f t="shared" si="18"/>
        <v>0</v>
      </c>
      <c r="AF15" s="47">
        <f t="shared" si="18"/>
        <v>0</v>
      </c>
      <c r="AG15" s="47">
        <f t="shared" si="18"/>
        <v>0</v>
      </c>
      <c r="AH15" s="47">
        <f t="shared" si="18"/>
        <v>0</v>
      </c>
      <c r="AI15" s="47">
        <f t="shared" si="18"/>
        <v>0</v>
      </c>
      <c r="AJ15" s="47">
        <f t="shared" si="18"/>
        <v>0</v>
      </c>
      <c r="AK15" s="47">
        <f t="shared" si="18"/>
        <v>164000</v>
      </c>
      <c r="AL15" s="47">
        <f t="shared" si="18"/>
        <v>164000</v>
      </c>
      <c r="AM15" s="47">
        <f t="shared" si="18"/>
        <v>0</v>
      </c>
      <c r="AN15" s="47">
        <f t="shared" si="18"/>
        <v>0</v>
      </c>
      <c r="AO15" s="47">
        <f t="shared" si="18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19">R30</f>
        <v>0</v>
      </c>
      <c r="S17" s="47">
        <f t="shared" si="19"/>
        <v>0</v>
      </c>
      <c r="T17" s="47">
        <f t="shared" si="19"/>
        <v>45904.665609999996</v>
      </c>
      <c r="U17" s="47">
        <f>U30</f>
        <v>45904.665609999996</v>
      </c>
      <c r="V17" s="47">
        <f t="shared" si="19"/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  <c r="Z17" s="96"/>
      <c r="AA17" s="47">
        <f t="shared" si="19"/>
        <v>0</v>
      </c>
      <c r="AB17" s="47">
        <f t="shared" si="19"/>
        <v>0</v>
      </c>
      <c r="AC17" s="47">
        <f t="shared" si="19"/>
        <v>0</v>
      </c>
      <c r="AD17" s="47">
        <f t="shared" si="19"/>
        <v>0</v>
      </c>
      <c r="AE17" s="47">
        <f t="shared" si="19"/>
        <v>0</v>
      </c>
      <c r="AF17" s="47">
        <f t="shared" si="19"/>
        <v>0</v>
      </c>
      <c r="AG17" s="47">
        <f t="shared" si="19"/>
        <v>0</v>
      </c>
      <c r="AH17" s="47">
        <f t="shared" si="19"/>
        <v>0</v>
      </c>
      <c r="AI17" s="47">
        <f t="shared" si="19"/>
        <v>0</v>
      </c>
      <c r="AJ17" s="47">
        <f t="shared" si="19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0">J28</f>
        <v>702203.72</v>
      </c>
      <c r="K18" s="47">
        <f t="shared" si="20"/>
        <v>702203.72</v>
      </c>
      <c r="L18" s="47">
        <f t="shared" si="20"/>
        <v>789617.84</v>
      </c>
      <c r="M18" s="47">
        <f t="shared" si="20"/>
        <v>348941.19</v>
      </c>
      <c r="N18" s="47">
        <f t="shared" si="20"/>
        <v>196473.11</v>
      </c>
      <c r="O18" s="47">
        <f t="shared" si="20"/>
        <v>0</v>
      </c>
      <c r="P18" s="47">
        <f t="shared" si="20"/>
        <v>0</v>
      </c>
      <c r="Q18" s="47">
        <f t="shared" si="20"/>
        <v>0</v>
      </c>
      <c r="R18" s="47">
        <f t="shared" si="20"/>
        <v>37814.324000000001</v>
      </c>
      <c r="S18" s="47">
        <f t="shared" si="20"/>
        <v>37814.324000000001</v>
      </c>
      <c r="T18" s="47">
        <f t="shared" si="20"/>
        <v>0</v>
      </c>
      <c r="U18" s="47">
        <f t="shared" si="20"/>
        <v>0</v>
      </c>
      <c r="V18" s="47">
        <f t="shared" si="20"/>
        <v>0</v>
      </c>
      <c r="W18" s="47">
        <f t="shared" si="20"/>
        <v>0</v>
      </c>
      <c r="X18" s="47">
        <f t="shared" si="20"/>
        <v>0</v>
      </c>
      <c r="Y18" s="47">
        <f t="shared" si="20"/>
        <v>0</v>
      </c>
      <c r="Z18" s="96"/>
      <c r="AA18" s="47">
        <f t="shared" si="20"/>
        <v>0</v>
      </c>
      <c r="AB18" s="47">
        <f t="shared" si="20"/>
        <v>0</v>
      </c>
      <c r="AC18" s="47">
        <f t="shared" si="20"/>
        <v>0</v>
      </c>
      <c r="AD18" s="47">
        <f t="shared" si="20"/>
        <v>0</v>
      </c>
      <c r="AE18" s="47">
        <f t="shared" si="20"/>
        <v>0</v>
      </c>
      <c r="AF18" s="47">
        <f t="shared" si="20"/>
        <v>0</v>
      </c>
      <c r="AG18" s="47">
        <f t="shared" si="20"/>
        <v>0</v>
      </c>
      <c r="AH18" s="47">
        <f t="shared" si="20"/>
        <v>0</v>
      </c>
      <c r="AI18" s="47">
        <f t="shared" si="20"/>
        <v>0</v>
      </c>
      <c r="AJ18" s="47">
        <f t="shared" si="20"/>
        <v>0</v>
      </c>
      <c r="AK18" s="47">
        <f t="shared" si="20"/>
        <v>0</v>
      </c>
      <c r="AL18" s="47">
        <f t="shared" si="20"/>
        <v>0</v>
      </c>
      <c r="AM18" s="47">
        <f t="shared" si="20"/>
        <v>0</v>
      </c>
      <c r="AN18" s="47">
        <f t="shared" si="20"/>
        <v>0</v>
      </c>
      <c r="AO18" s="47">
        <f t="shared" si="20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1">L20+L28+L30</f>
        <v>1083165.3899999999</v>
      </c>
      <c r="M19" s="318">
        <f t="shared" si="21"/>
        <v>560860.31000000006</v>
      </c>
      <c r="N19" s="318">
        <f t="shared" si="21"/>
        <v>232972.91999999998</v>
      </c>
      <c r="O19" s="318">
        <f t="shared" si="21"/>
        <v>0</v>
      </c>
      <c r="P19" s="318">
        <f t="shared" si="21"/>
        <v>0</v>
      </c>
      <c r="Q19" s="318">
        <f>Q20+Q28+Q30</f>
        <v>0</v>
      </c>
      <c r="R19" s="318">
        <f t="shared" ref="R19:X19" si="22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2"/>
        <v>0</v>
      </c>
      <c r="W19" s="318">
        <f t="shared" si="22"/>
        <v>0</v>
      </c>
      <c r="X19" s="318">
        <f t="shared" si="22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23">AB20+AB28</f>
        <v>66.33</v>
      </c>
      <c r="AC19" s="318">
        <f t="shared" si="23"/>
        <v>0</v>
      </c>
      <c r="AD19" s="318">
        <f t="shared" si="23"/>
        <v>0</v>
      </c>
      <c r="AE19" s="318">
        <f t="shared" si="23"/>
        <v>0</v>
      </c>
      <c r="AF19" s="318">
        <f t="shared" si="23"/>
        <v>0</v>
      </c>
      <c r="AG19" s="318">
        <f t="shared" si="23"/>
        <v>0</v>
      </c>
      <c r="AH19" s="318">
        <f t="shared" si="23"/>
        <v>0</v>
      </c>
      <c r="AI19" s="318">
        <f t="shared" si="23"/>
        <v>0</v>
      </c>
      <c r="AJ19" s="318">
        <f t="shared" si="23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049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24">SUM(R21:R27)</f>
        <v>384.71</v>
      </c>
      <c r="S20" s="47">
        <f t="shared" si="24"/>
        <v>384.71</v>
      </c>
      <c r="T20" s="47">
        <f t="shared" si="24"/>
        <v>0</v>
      </c>
      <c r="U20" s="47">
        <f t="shared" si="24"/>
        <v>0</v>
      </c>
      <c r="V20" s="47">
        <f t="shared" si="24"/>
        <v>0</v>
      </c>
      <c r="W20" s="47">
        <f>SUM(W21:W27)</f>
        <v>0</v>
      </c>
      <c r="X20" s="47">
        <f t="shared" si="24"/>
        <v>0</v>
      </c>
      <c r="Y20" s="47">
        <f t="shared" si="24"/>
        <v>0</v>
      </c>
      <c r="Z20" s="96"/>
      <c r="AA20" s="47">
        <f t="shared" ref="AA20:AJ20" si="25">SUM(AA21:AA27)</f>
        <v>0</v>
      </c>
      <c r="AB20" s="47">
        <f t="shared" si="25"/>
        <v>66.33</v>
      </c>
      <c r="AC20" s="47">
        <f t="shared" si="25"/>
        <v>0</v>
      </c>
      <c r="AD20" s="47">
        <f t="shared" si="25"/>
        <v>0</v>
      </c>
      <c r="AE20" s="47">
        <f t="shared" si="25"/>
        <v>0</v>
      </c>
      <c r="AF20" s="47">
        <f t="shared" si="25"/>
        <v>0</v>
      </c>
      <c r="AG20" s="47">
        <f t="shared" si="25"/>
        <v>0</v>
      </c>
      <c r="AH20" s="47">
        <f t="shared" si="25"/>
        <v>0</v>
      </c>
      <c r="AI20" s="47">
        <f t="shared" si="25"/>
        <v>0</v>
      </c>
      <c r="AJ20" s="47">
        <f t="shared" si="25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26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26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26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27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26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27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26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27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26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27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26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1057"/>
      <c r="D28" s="1057"/>
      <c r="E28" s="1057"/>
      <c r="F28" s="1102"/>
      <c r="G28" s="1057"/>
      <c r="H28" s="1057"/>
      <c r="I28" s="23" t="s">
        <v>9</v>
      </c>
      <c r="J28" s="1095">
        <f>K28</f>
        <v>702203.72</v>
      </c>
      <c r="K28" s="1095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28">SUM(T29:T29)</f>
        <v>0</v>
      </c>
      <c r="U28" s="71">
        <f t="shared" si="28"/>
        <v>0</v>
      </c>
      <c r="V28" s="71">
        <f t="shared" si="28"/>
        <v>0</v>
      </c>
      <c r="W28" s="71">
        <f t="shared" si="28"/>
        <v>0</v>
      </c>
      <c r="X28" s="71">
        <v>0</v>
      </c>
      <c r="Y28" s="71">
        <f t="shared" si="28"/>
        <v>0</v>
      </c>
      <c r="Z28" s="100"/>
      <c r="AA28" s="71">
        <f t="shared" si="28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28"/>
        <v>0</v>
      </c>
      <c r="AG28" s="71">
        <f t="shared" si="28"/>
        <v>0</v>
      </c>
      <c r="AH28" s="71">
        <f t="shared" si="28"/>
        <v>0</v>
      </c>
      <c r="AI28" s="71">
        <f t="shared" si="28"/>
        <v>0</v>
      </c>
      <c r="AJ28" s="71">
        <f t="shared" si="28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101"/>
      <c r="B30" s="801"/>
      <c r="C30" s="1057"/>
      <c r="D30" s="1057"/>
      <c r="E30" s="1057"/>
      <c r="F30" s="1102"/>
      <c r="G30" s="1057"/>
      <c r="H30" s="1057"/>
      <c r="I30" s="1053" t="s">
        <v>10</v>
      </c>
      <c r="J30" s="1096"/>
      <c r="K30" s="1096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29">SUM(R31:R32)</f>
        <v>0</v>
      </c>
      <c r="S30" s="47">
        <f t="shared" si="29"/>
        <v>0</v>
      </c>
      <c r="T30" s="47">
        <f t="shared" si="29"/>
        <v>45904.665609999996</v>
      </c>
      <c r="U30" s="47">
        <f t="shared" si="29"/>
        <v>45904.665609999996</v>
      </c>
      <c r="V30" s="47">
        <f t="shared" si="29"/>
        <v>0</v>
      </c>
      <c r="W30" s="47">
        <f t="shared" si="29"/>
        <v>0</v>
      </c>
      <c r="X30" s="47">
        <v>0</v>
      </c>
      <c r="Y30" s="47">
        <f t="shared" si="29"/>
        <v>0</v>
      </c>
      <c r="Z30" s="96"/>
      <c r="AA30" s="47">
        <f t="shared" si="29"/>
        <v>0</v>
      </c>
      <c r="AB30" s="47">
        <f t="shared" si="29"/>
        <v>0</v>
      </c>
      <c r="AC30" s="47">
        <f t="shared" si="29"/>
        <v>0</v>
      </c>
      <c r="AD30" s="47">
        <f t="shared" si="29"/>
        <v>0</v>
      </c>
      <c r="AE30" s="47">
        <f t="shared" si="29"/>
        <v>0</v>
      </c>
      <c r="AF30" s="47">
        <f t="shared" si="29"/>
        <v>0</v>
      </c>
      <c r="AG30" s="47">
        <f t="shared" si="29"/>
        <v>0</v>
      </c>
      <c r="AH30" s="47">
        <f t="shared" si="29"/>
        <v>0</v>
      </c>
      <c r="AI30" s="47">
        <f t="shared" si="29"/>
        <v>0</v>
      </c>
      <c r="AJ30" s="47">
        <f t="shared" si="29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101"/>
      <c r="B31" s="37" t="s">
        <v>219</v>
      </c>
      <c r="C31" s="1057"/>
      <c r="D31" s="1057"/>
      <c r="E31" s="1057"/>
      <c r="F31" s="1102"/>
      <c r="G31" s="1057"/>
      <c r="H31" s="1057"/>
      <c r="I31" s="1053"/>
      <c r="J31" s="1096"/>
      <c r="K31" s="1096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101"/>
      <c r="B32" s="37" t="s">
        <v>220</v>
      </c>
      <c r="C32" s="1057"/>
      <c r="D32" s="1057"/>
      <c r="E32" s="1057"/>
      <c r="F32" s="1102"/>
      <c r="G32" s="1057"/>
      <c r="H32" s="1057"/>
      <c r="I32" s="1053"/>
      <c r="J32" s="1096"/>
      <c r="K32" s="1096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0">Q35</f>
        <v>0</v>
      </c>
      <c r="R33" s="70">
        <f t="shared" si="30"/>
        <v>0</v>
      </c>
      <c r="S33" s="70">
        <f t="shared" si="30"/>
        <v>0</v>
      </c>
      <c r="T33" s="70">
        <f t="shared" si="30"/>
        <v>0</v>
      </c>
      <c r="U33" s="70">
        <f t="shared" si="30"/>
        <v>0</v>
      </c>
      <c r="V33" s="70">
        <f t="shared" si="30"/>
        <v>0</v>
      </c>
      <c r="W33" s="70">
        <f t="shared" si="30"/>
        <v>0</v>
      </c>
      <c r="X33" s="70">
        <f t="shared" si="30"/>
        <v>0</v>
      </c>
      <c r="Y33" s="70">
        <f t="shared" si="30"/>
        <v>0</v>
      </c>
      <c r="Z33" s="679">
        <v>0</v>
      </c>
      <c r="AA33" s="70">
        <f t="shared" si="30"/>
        <v>0</v>
      </c>
      <c r="AB33" s="70">
        <f t="shared" si="30"/>
        <v>0</v>
      </c>
      <c r="AC33" s="70">
        <f t="shared" si="30"/>
        <v>0</v>
      </c>
      <c r="AD33" s="70">
        <f t="shared" si="30"/>
        <v>0</v>
      </c>
      <c r="AE33" s="70">
        <f t="shared" si="30"/>
        <v>0</v>
      </c>
      <c r="AF33" s="70">
        <f t="shared" si="30"/>
        <v>0</v>
      </c>
      <c r="AG33" s="70">
        <f t="shared" si="30"/>
        <v>0</v>
      </c>
      <c r="AH33" s="70">
        <f t="shared" si="30"/>
        <v>0</v>
      </c>
      <c r="AI33" s="70">
        <f t="shared" si="30"/>
        <v>0</v>
      </c>
      <c r="AJ33" s="70">
        <f t="shared" si="30"/>
        <v>0</v>
      </c>
      <c r="AK33" s="3">
        <f>P33-Q33</f>
        <v>74000</v>
      </c>
      <c r="AL33" s="3">
        <f>AK33</f>
        <v>74000</v>
      </c>
      <c r="AM33" s="70">
        <f t="shared" si="30"/>
        <v>0</v>
      </c>
      <c r="AN33" s="70">
        <f t="shared" si="30"/>
        <v>0</v>
      </c>
      <c r="AO33" s="70">
        <f t="shared" si="30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064"/>
      <c r="H34" s="1064"/>
      <c r="I34" s="1327"/>
      <c r="J34" s="1628"/>
      <c r="K34" s="1628"/>
      <c r="L34" s="1082">
        <v>10164.5</v>
      </c>
      <c r="M34" s="1082">
        <v>0</v>
      </c>
      <c r="N34" s="1082">
        <v>4946.26</v>
      </c>
      <c r="O34" s="1082">
        <v>0</v>
      </c>
      <c r="P34" s="1082">
        <v>0</v>
      </c>
      <c r="Q34" s="1082">
        <v>0</v>
      </c>
      <c r="R34" s="1082">
        <v>0</v>
      </c>
      <c r="S34" s="1082">
        <v>0</v>
      </c>
      <c r="T34" s="1082">
        <v>0</v>
      </c>
      <c r="U34" s="1082">
        <v>0</v>
      </c>
      <c r="V34" s="1082">
        <v>0</v>
      </c>
      <c r="W34" s="1082">
        <v>0</v>
      </c>
      <c r="X34" s="1082">
        <v>0</v>
      </c>
      <c r="Y34" s="1082">
        <v>0</v>
      </c>
      <c r="Z34" s="258"/>
      <c r="AA34" s="1082">
        <v>0</v>
      </c>
      <c r="AB34" s="1082">
        <v>0</v>
      </c>
      <c r="AC34" s="1082">
        <v>0</v>
      </c>
      <c r="AD34" s="1082">
        <v>0</v>
      </c>
      <c r="AE34" s="1082">
        <v>0</v>
      </c>
      <c r="AF34" s="1082">
        <v>0</v>
      </c>
      <c r="AG34" s="1082">
        <v>0</v>
      </c>
      <c r="AH34" s="1082">
        <v>0</v>
      </c>
      <c r="AI34" s="1082">
        <v>0</v>
      </c>
      <c r="AJ34" s="1082">
        <v>0</v>
      </c>
      <c r="AK34" s="288">
        <v>0</v>
      </c>
      <c r="AL34" s="288">
        <v>0</v>
      </c>
      <c r="AM34" s="1082">
        <v>0</v>
      </c>
      <c r="AN34" s="1082">
        <v>0</v>
      </c>
      <c r="AO34" s="1082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064">
        <v>2020</v>
      </c>
      <c r="H35" s="1064">
        <v>2021</v>
      </c>
      <c r="I35" s="1328"/>
      <c r="J35" s="1629"/>
      <c r="K35" s="1629"/>
      <c r="L35" s="1082">
        <v>250336.75</v>
      </c>
      <c r="M35" s="1082">
        <v>0</v>
      </c>
      <c r="N35" s="1082">
        <v>64997.45</v>
      </c>
      <c r="O35" s="1082">
        <v>69943.710000000006</v>
      </c>
      <c r="P35" s="1082">
        <v>74000</v>
      </c>
      <c r="Q35" s="1082">
        <v>0</v>
      </c>
      <c r="R35" s="1082">
        <v>0</v>
      </c>
      <c r="S35" s="1082">
        <v>0</v>
      </c>
      <c r="T35" s="1082">
        <v>0</v>
      </c>
      <c r="U35" s="1082">
        <v>0</v>
      </c>
      <c r="V35" s="1082">
        <v>0</v>
      </c>
      <c r="W35" s="1082">
        <v>0</v>
      </c>
      <c r="X35" s="1082">
        <v>0</v>
      </c>
      <c r="Y35" s="1082">
        <v>0</v>
      </c>
      <c r="Z35" s="258"/>
      <c r="AA35" s="1082">
        <v>0</v>
      </c>
      <c r="AB35" s="1082">
        <v>0</v>
      </c>
      <c r="AC35" s="1082">
        <v>0</v>
      </c>
      <c r="AD35" s="1082">
        <v>0</v>
      </c>
      <c r="AE35" s="1082">
        <v>0</v>
      </c>
      <c r="AF35" s="1082">
        <v>0</v>
      </c>
      <c r="AG35" s="1082">
        <v>0</v>
      </c>
      <c r="AH35" s="1082">
        <v>0</v>
      </c>
      <c r="AI35" s="1082">
        <v>0</v>
      </c>
      <c r="AJ35" s="1082">
        <v>0</v>
      </c>
      <c r="AK35" s="1082">
        <v>0</v>
      </c>
      <c r="AL35" s="1082">
        <v>0</v>
      </c>
      <c r="AM35" s="1082">
        <v>0</v>
      </c>
      <c r="AN35" s="1082">
        <v>0</v>
      </c>
      <c r="AO35" s="1082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1">M37+M39</f>
        <v>20243.12</v>
      </c>
      <c r="N36" s="318">
        <f t="shared" si="31"/>
        <v>13773.23</v>
      </c>
      <c r="O36" s="318">
        <f t="shared" si="31"/>
        <v>8942.9699999999993</v>
      </c>
      <c r="P36" s="318">
        <f t="shared" si="31"/>
        <v>90000</v>
      </c>
      <c r="Q36" s="318">
        <f t="shared" si="31"/>
        <v>0</v>
      </c>
      <c r="R36" s="318">
        <f t="shared" si="31"/>
        <v>0</v>
      </c>
      <c r="S36" s="318">
        <f t="shared" si="31"/>
        <v>0</v>
      </c>
      <c r="T36" s="318">
        <f t="shared" si="31"/>
        <v>0</v>
      </c>
      <c r="U36" s="318">
        <f t="shared" si="31"/>
        <v>0</v>
      </c>
      <c r="V36" s="318">
        <f t="shared" si="31"/>
        <v>0</v>
      </c>
      <c r="W36" s="318">
        <f t="shared" si="31"/>
        <v>0</v>
      </c>
      <c r="X36" s="318">
        <f t="shared" si="31"/>
        <v>0</v>
      </c>
      <c r="Y36" s="318">
        <f t="shared" si="31"/>
        <v>0</v>
      </c>
      <c r="Z36" s="372">
        <v>0</v>
      </c>
      <c r="AA36" s="318">
        <f t="shared" si="31"/>
        <v>0</v>
      </c>
      <c r="AB36" s="318">
        <f t="shared" si="31"/>
        <v>0</v>
      </c>
      <c r="AC36" s="318">
        <f t="shared" si="31"/>
        <v>0</v>
      </c>
      <c r="AD36" s="318">
        <f t="shared" si="31"/>
        <v>0</v>
      </c>
      <c r="AE36" s="318">
        <f t="shared" si="31"/>
        <v>0</v>
      </c>
      <c r="AF36" s="318">
        <f t="shared" si="31"/>
        <v>0</v>
      </c>
      <c r="AG36" s="318">
        <f t="shared" si="31"/>
        <v>0</v>
      </c>
      <c r="AH36" s="318">
        <f t="shared" si="31"/>
        <v>0</v>
      </c>
      <c r="AI36" s="318">
        <f t="shared" si="31"/>
        <v>0</v>
      </c>
      <c r="AJ36" s="318">
        <f t="shared" si="31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1"/>
        <v>0</v>
      </c>
      <c r="AO36" s="318">
        <f t="shared" si="31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064">
        <v>2019</v>
      </c>
      <c r="H37" s="1064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078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064">
        <v>2020</v>
      </c>
      <c r="H39" s="1064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071"/>
      <c r="J40" s="3"/>
      <c r="K40" s="1074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2">SUM(R41:R42)</f>
        <v>0</v>
      </c>
      <c r="S40" s="318">
        <f t="shared" si="32"/>
        <v>0</v>
      </c>
      <c r="T40" s="318">
        <f t="shared" si="32"/>
        <v>0</v>
      </c>
      <c r="U40" s="318">
        <f t="shared" si="32"/>
        <v>0</v>
      </c>
      <c r="V40" s="318">
        <f t="shared" si="32"/>
        <v>0</v>
      </c>
      <c r="W40" s="318">
        <f t="shared" si="32"/>
        <v>0</v>
      </c>
      <c r="X40" s="318">
        <f t="shared" si="32"/>
        <v>0</v>
      </c>
      <c r="Y40" s="318">
        <f t="shared" si="32"/>
        <v>0</v>
      </c>
      <c r="Z40" s="318">
        <f t="shared" si="32"/>
        <v>0</v>
      </c>
      <c r="AA40" s="318">
        <f t="shared" si="32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101"/>
      <c r="B41" s="42" t="s">
        <v>15</v>
      </c>
      <c r="C41" s="768"/>
      <c r="D41" s="768"/>
      <c r="E41" s="768"/>
      <c r="F41" s="769"/>
      <c r="G41" s="335"/>
      <c r="H41" s="770"/>
      <c r="I41" s="1056"/>
      <c r="J41" s="47"/>
      <c r="K41" s="1082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078"/>
      <c r="AQ41" s="268"/>
    </row>
    <row r="42" spans="1:43" ht="15" customHeight="1" x14ac:dyDescent="0.25">
      <c r="A42" s="1101"/>
      <c r="B42" s="42" t="s">
        <v>16</v>
      </c>
      <c r="C42" s="768"/>
      <c r="D42" s="768"/>
      <c r="E42" s="768"/>
      <c r="F42" s="769"/>
      <c r="G42" s="335"/>
      <c r="H42" s="770"/>
      <c r="I42" s="1056"/>
      <c r="J42" s="47"/>
      <c r="K42" s="1082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078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078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33">M47</f>
        <v>0</v>
      </c>
      <c r="N44" s="47">
        <f t="shared" si="33"/>
        <v>0</v>
      </c>
      <c r="O44" s="47">
        <f t="shared" si="33"/>
        <v>0</v>
      </c>
      <c r="P44" s="47">
        <f t="shared" si="33"/>
        <v>0</v>
      </c>
      <c r="Q44" s="47">
        <f t="shared" si="33"/>
        <v>0</v>
      </c>
      <c r="R44" s="47">
        <f t="shared" si="33"/>
        <v>0</v>
      </c>
      <c r="S44" s="47">
        <f t="shared" si="33"/>
        <v>0</v>
      </c>
      <c r="T44" s="47">
        <f t="shared" si="33"/>
        <v>0</v>
      </c>
      <c r="U44" s="47">
        <f t="shared" si="33"/>
        <v>7.2</v>
      </c>
      <c r="V44" s="47">
        <f t="shared" si="33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078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34">J47</f>
        <v>23417.360000000001</v>
      </c>
      <c r="K45" s="47">
        <f t="shared" si="34"/>
        <v>0</v>
      </c>
      <c r="L45" s="47">
        <v>0</v>
      </c>
      <c r="M45" s="4">
        <f t="shared" si="34"/>
        <v>0</v>
      </c>
      <c r="N45" s="4">
        <f t="shared" si="34"/>
        <v>0</v>
      </c>
      <c r="O45" s="4">
        <f t="shared" si="34"/>
        <v>0</v>
      </c>
      <c r="P45" s="4">
        <v>0</v>
      </c>
      <c r="Q45" s="4">
        <v>0</v>
      </c>
      <c r="R45" s="4">
        <f t="shared" si="34"/>
        <v>0</v>
      </c>
      <c r="S45" s="4">
        <f t="shared" si="34"/>
        <v>0</v>
      </c>
      <c r="T45" s="4">
        <f t="shared" si="34"/>
        <v>0</v>
      </c>
      <c r="U45" s="4">
        <v>0</v>
      </c>
      <c r="V45" s="4">
        <f t="shared" si="34"/>
        <v>0</v>
      </c>
      <c r="W45" s="4">
        <f t="shared" si="34"/>
        <v>0</v>
      </c>
      <c r="X45" s="4">
        <f t="shared" si="34"/>
        <v>0</v>
      </c>
      <c r="Y45" s="4">
        <f t="shared" si="34"/>
        <v>0</v>
      </c>
      <c r="Z45" s="268"/>
      <c r="AA45" s="4">
        <f t="shared" si="34"/>
        <v>0</v>
      </c>
      <c r="AB45" s="4">
        <f t="shared" si="34"/>
        <v>0</v>
      </c>
      <c r="AC45" s="4">
        <f t="shared" si="34"/>
        <v>7.2</v>
      </c>
      <c r="AD45" s="4">
        <f t="shared" si="34"/>
        <v>0</v>
      </c>
      <c r="AE45" s="4">
        <f t="shared" si="34"/>
        <v>0</v>
      </c>
      <c r="AF45" s="4">
        <f t="shared" si="34"/>
        <v>0</v>
      </c>
      <c r="AG45" s="4">
        <f t="shared" si="34"/>
        <v>0</v>
      </c>
      <c r="AH45" s="4">
        <f t="shared" si="34"/>
        <v>0</v>
      </c>
      <c r="AI45" s="4">
        <f t="shared" si="34"/>
        <v>0</v>
      </c>
      <c r="AJ45" s="4">
        <f t="shared" si="34"/>
        <v>0</v>
      </c>
      <c r="AK45" s="4">
        <f t="shared" si="34"/>
        <v>0</v>
      </c>
      <c r="AL45" s="4">
        <f t="shared" si="34"/>
        <v>0</v>
      </c>
      <c r="AM45" s="4">
        <f t="shared" si="34"/>
        <v>0</v>
      </c>
      <c r="AN45" s="4">
        <f t="shared" si="34"/>
        <v>0</v>
      </c>
      <c r="AO45" s="4">
        <f t="shared" si="34"/>
        <v>0</v>
      </c>
      <c r="AP45" s="1078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078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066">
        <v>900</v>
      </c>
      <c r="D47" s="35">
        <v>28000</v>
      </c>
      <c r="E47" s="1066"/>
      <c r="F47" s="1077"/>
      <c r="G47" s="1069"/>
      <c r="H47" s="1069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35">R48+R51</f>
        <v>0</v>
      </c>
      <c r="S47" s="70">
        <f t="shared" si="35"/>
        <v>0</v>
      </c>
      <c r="T47" s="70">
        <f t="shared" si="35"/>
        <v>0</v>
      </c>
      <c r="U47" s="70">
        <f t="shared" si="35"/>
        <v>7.2</v>
      </c>
      <c r="V47" s="70">
        <f t="shared" si="35"/>
        <v>0</v>
      </c>
      <c r="W47" s="70">
        <f t="shared" si="35"/>
        <v>0</v>
      </c>
      <c r="X47" s="70">
        <f t="shared" si="35"/>
        <v>0</v>
      </c>
      <c r="Y47" s="70">
        <f t="shared" si="35"/>
        <v>0</v>
      </c>
      <c r="Z47" s="679">
        <v>0</v>
      </c>
      <c r="AA47" s="70">
        <v>0</v>
      </c>
      <c r="AB47" s="70">
        <f t="shared" si="35"/>
        <v>0</v>
      </c>
      <c r="AC47" s="70">
        <f t="shared" si="35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049" t="s">
        <v>15</v>
      </c>
      <c r="C48" s="1072"/>
      <c r="D48" s="577"/>
      <c r="E48" s="1072"/>
      <c r="F48" s="1080"/>
      <c r="G48" s="1055"/>
      <c r="H48" s="1055"/>
      <c r="I48" s="1448"/>
      <c r="J48" s="1628"/>
      <c r="K48" s="1628"/>
      <c r="L48" s="1082">
        <v>521.89</v>
      </c>
      <c r="M48" s="1082"/>
      <c r="N48" s="1082">
        <v>0</v>
      </c>
      <c r="O48" s="1100"/>
      <c r="P48" s="1082">
        <v>0</v>
      </c>
      <c r="Q48" s="1082">
        <v>0</v>
      </c>
      <c r="R48" s="1082">
        <f t="shared" ref="R48:Z48" si="36">R49+R50</f>
        <v>0</v>
      </c>
      <c r="S48" s="1082">
        <f t="shared" si="36"/>
        <v>0</v>
      </c>
      <c r="T48" s="1082">
        <f t="shared" si="36"/>
        <v>0</v>
      </c>
      <c r="U48" s="1082">
        <f t="shared" si="36"/>
        <v>7.2</v>
      </c>
      <c r="V48" s="1082">
        <f t="shared" si="36"/>
        <v>0</v>
      </c>
      <c r="W48" s="1082">
        <f t="shared" si="36"/>
        <v>0</v>
      </c>
      <c r="X48" s="1082">
        <f t="shared" si="36"/>
        <v>0</v>
      </c>
      <c r="Y48" s="1082">
        <f t="shared" si="36"/>
        <v>0</v>
      </c>
      <c r="Z48" s="1082">
        <f t="shared" si="36"/>
        <v>0</v>
      </c>
      <c r="AA48" s="1082">
        <v>0</v>
      </c>
      <c r="AB48" s="1082">
        <f t="shared" ref="AB48:AC48" si="37">AB49</f>
        <v>0</v>
      </c>
      <c r="AC48" s="1082">
        <f t="shared" si="37"/>
        <v>7.2</v>
      </c>
      <c r="AD48" s="1082"/>
      <c r="AE48" s="1082"/>
      <c r="AF48" s="1082"/>
      <c r="AG48" s="1082"/>
      <c r="AH48" s="1082"/>
      <c r="AI48" s="1082"/>
      <c r="AJ48" s="1082"/>
      <c r="AK48" s="288"/>
      <c r="AL48" s="288"/>
      <c r="AM48" s="1082"/>
      <c r="AN48" s="1082"/>
      <c r="AO48" s="1082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049" t="s">
        <v>16</v>
      </c>
      <c r="C51" s="1072"/>
      <c r="D51" s="1072"/>
      <c r="E51" s="1072"/>
      <c r="F51" s="1080"/>
      <c r="G51" s="1055">
        <v>2020</v>
      </c>
      <c r="H51" s="1055">
        <v>2020</v>
      </c>
      <c r="I51" s="1449"/>
      <c r="J51" s="1629"/>
      <c r="K51" s="1629"/>
      <c r="L51" s="1082">
        <v>4152.18</v>
      </c>
      <c r="M51" s="1082">
        <v>0</v>
      </c>
      <c r="N51" s="1082">
        <v>0</v>
      </c>
      <c r="O51" s="1082">
        <v>0</v>
      </c>
      <c r="P51" s="1082">
        <v>0</v>
      </c>
      <c r="Q51" s="1082">
        <v>0</v>
      </c>
      <c r="R51" s="1082">
        <v>0</v>
      </c>
      <c r="S51" s="1082">
        <v>0</v>
      </c>
      <c r="T51" s="1082">
        <v>0</v>
      </c>
      <c r="U51" s="1082">
        <v>0</v>
      </c>
      <c r="V51" s="1082">
        <v>0</v>
      </c>
      <c r="W51" s="1082">
        <v>0</v>
      </c>
      <c r="X51" s="1082">
        <v>0</v>
      </c>
      <c r="Y51" s="1082">
        <v>0</v>
      </c>
      <c r="Z51" s="258"/>
      <c r="AA51" s="1082">
        <v>0</v>
      </c>
      <c r="AB51" s="1082">
        <v>0</v>
      </c>
      <c r="AC51" s="1082">
        <v>0</v>
      </c>
      <c r="AD51" s="1082">
        <v>0</v>
      </c>
      <c r="AE51" s="1082">
        <v>0</v>
      </c>
      <c r="AF51" s="1082">
        <v>0</v>
      </c>
      <c r="AG51" s="1082">
        <f t="shared" ref="AG51:AJ52" si="38">AG54+AG57</f>
        <v>0</v>
      </c>
      <c r="AH51" s="1082">
        <f t="shared" si="38"/>
        <v>0</v>
      </c>
      <c r="AI51" s="1082">
        <f t="shared" si="38"/>
        <v>0</v>
      </c>
      <c r="AJ51" s="1082">
        <f t="shared" si="38"/>
        <v>0</v>
      </c>
      <c r="AK51" s="1082">
        <v>0</v>
      </c>
      <c r="AL51" s="1082">
        <v>0</v>
      </c>
      <c r="AM51" s="1082">
        <v>0</v>
      </c>
      <c r="AN51" s="1082">
        <v>0</v>
      </c>
      <c r="AO51" s="1082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097">
        <f>L52</f>
        <v>924.64</v>
      </c>
      <c r="K52" s="1097">
        <v>0</v>
      </c>
      <c r="L52" s="1082">
        <f>L58</f>
        <v>924.64</v>
      </c>
      <c r="M52" s="1082">
        <f t="shared" ref="M52:AO52" si="39">M55+M58</f>
        <v>0</v>
      </c>
      <c r="N52" s="1082">
        <f t="shared" si="39"/>
        <v>0</v>
      </c>
      <c r="O52" s="1082">
        <f t="shared" si="39"/>
        <v>0</v>
      </c>
      <c r="P52" s="1082">
        <f t="shared" si="39"/>
        <v>725.37</v>
      </c>
      <c r="Q52" s="1082">
        <f t="shared" si="39"/>
        <v>0</v>
      </c>
      <c r="R52" s="1082">
        <f t="shared" si="39"/>
        <v>0</v>
      </c>
      <c r="S52" s="1082">
        <f t="shared" si="39"/>
        <v>0</v>
      </c>
      <c r="T52" s="1082">
        <f t="shared" si="39"/>
        <v>0</v>
      </c>
      <c r="U52" s="1082">
        <f t="shared" si="39"/>
        <v>0</v>
      </c>
      <c r="V52" s="1082">
        <f t="shared" si="39"/>
        <v>131</v>
      </c>
      <c r="W52" s="1082">
        <f t="shared" si="39"/>
        <v>131</v>
      </c>
      <c r="X52" s="1082">
        <f t="shared" si="39"/>
        <v>0</v>
      </c>
      <c r="Y52" s="1082">
        <f t="shared" si="39"/>
        <v>0</v>
      </c>
      <c r="Z52" s="258"/>
      <c r="AA52" s="1082">
        <f t="shared" si="39"/>
        <v>0</v>
      </c>
      <c r="AB52" s="1082">
        <f t="shared" si="39"/>
        <v>0</v>
      </c>
      <c r="AC52" s="1082">
        <f t="shared" si="39"/>
        <v>0</v>
      </c>
      <c r="AD52" s="1082">
        <f t="shared" si="39"/>
        <v>200</v>
      </c>
      <c r="AE52" s="1082">
        <f t="shared" si="39"/>
        <v>0</v>
      </c>
      <c r="AF52" s="1082">
        <f t="shared" si="39"/>
        <v>0</v>
      </c>
      <c r="AG52" s="1082">
        <f t="shared" si="38"/>
        <v>0</v>
      </c>
      <c r="AH52" s="1082">
        <f t="shared" si="38"/>
        <v>0</v>
      </c>
      <c r="AI52" s="1082">
        <f t="shared" si="38"/>
        <v>0</v>
      </c>
      <c r="AJ52" s="1082">
        <f t="shared" si="38"/>
        <v>0</v>
      </c>
      <c r="AK52" s="1082">
        <f t="shared" si="39"/>
        <v>725.37</v>
      </c>
      <c r="AL52" s="1082">
        <f t="shared" si="39"/>
        <v>725.37</v>
      </c>
      <c r="AM52" s="1082">
        <f t="shared" si="39"/>
        <v>0</v>
      </c>
      <c r="AN52" s="1082">
        <f t="shared" si="39"/>
        <v>0</v>
      </c>
      <c r="AO52" s="1082">
        <f t="shared" si="3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097">
        <f>L53</f>
        <v>0</v>
      </c>
      <c r="K53" s="1097">
        <v>0</v>
      </c>
      <c r="L53" s="1082">
        <v>0</v>
      </c>
      <c r="M53" s="1082">
        <v>0</v>
      </c>
      <c r="N53" s="1082">
        <v>0</v>
      </c>
      <c r="O53" s="1100">
        <v>0</v>
      </c>
      <c r="P53" s="1082">
        <v>0</v>
      </c>
      <c r="Q53" s="1082">
        <v>0</v>
      </c>
      <c r="R53" s="1082">
        <v>0</v>
      </c>
      <c r="S53" s="1082">
        <v>0</v>
      </c>
      <c r="T53" s="1082">
        <v>0</v>
      </c>
      <c r="U53" s="1082">
        <v>0</v>
      </c>
      <c r="V53" s="1082">
        <v>0</v>
      </c>
      <c r="W53" s="1082">
        <v>0</v>
      </c>
      <c r="X53" s="1082">
        <v>0</v>
      </c>
      <c r="Y53" s="1082">
        <v>0</v>
      </c>
      <c r="Z53" s="258"/>
      <c r="AA53" s="1082">
        <v>0</v>
      </c>
      <c r="AB53" s="1082">
        <v>0</v>
      </c>
      <c r="AC53" s="1082">
        <v>0</v>
      </c>
      <c r="AD53" s="1082">
        <v>0</v>
      </c>
      <c r="AE53" s="1082">
        <v>0</v>
      </c>
      <c r="AF53" s="1082">
        <v>0</v>
      </c>
      <c r="AG53" s="1082">
        <v>0</v>
      </c>
      <c r="AH53" s="1082">
        <v>0</v>
      </c>
      <c r="AI53" s="1082">
        <v>0</v>
      </c>
      <c r="AJ53" s="1082">
        <v>0</v>
      </c>
      <c r="AK53" s="1082">
        <v>0</v>
      </c>
      <c r="AL53" s="1082">
        <v>0</v>
      </c>
      <c r="AM53" s="1082">
        <v>0</v>
      </c>
      <c r="AN53" s="1082">
        <v>0</v>
      </c>
      <c r="AO53" s="1082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097">
        <f>L54</f>
        <v>0</v>
      </c>
      <c r="K54" s="1097">
        <v>0</v>
      </c>
      <c r="L54" s="1082">
        <v>0</v>
      </c>
      <c r="M54" s="1082">
        <v>0</v>
      </c>
      <c r="N54" s="1082">
        <v>0</v>
      </c>
      <c r="O54" s="1100">
        <v>0</v>
      </c>
      <c r="P54" s="1082">
        <v>0</v>
      </c>
      <c r="Q54" s="1082">
        <v>0</v>
      </c>
      <c r="R54" s="1082">
        <v>0</v>
      </c>
      <c r="S54" s="1082">
        <v>0</v>
      </c>
      <c r="T54" s="1082">
        <v>0</v>
      </c>
      <c r="U54" s="1082">
        <v>0</v>
      </c>
      <c r="V54" s="1082">
        <v>0</v>
      </c>
      <c r="W54" s="1082">
        <v>0</v>
      </c>
      <c r="X54" s="1082">
        <v>0</v>
      </c>
      <c r="Y54" s="1082">
        <v>0</v>
      </c>
      <c r="Z54" s="258"/>
      <c r="AA54" s="1082">
        <v>0</v>
      </c>
      <c r="AB54" s="1082">
        <v>0</v>
      </c>
      <c r="AC54" s="1082">
        <v>0</v>
      </c>
      <c r="AD54" s="1082">
        <v>0</v>
      </c>
      <c r="AE54" s="1082">
        <v>0</v>
      </c>
      <c r="AF54" s="1082">
        <v>0</v>
      </c>
      <c r="AG54" s="1082">
        <v>0</v>
      </c>
      <c r="AH54" s="1082">
        <v>0</v>
      </c>
      <c r="AI54" s="1082">
        <v>0</v>
      </c>
      <c r="AJ54" s="1082">
        <v>0</v>
      </c>
      <c r="AK54" s="1082">
        <v>0</v>
      </c>
      <c r="AL54" s="1082">
        <v>0</v>
      </c>
      <c r="AM54" s="1082">
        <v>0</v>
      </c>
      <c r="AN54" s="1082">
        <v>0</v>
      </c>
      <c r="AO54" s="1082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072"/>
      <c r="H55" s="1072"/>
      <c r="I55" s="1374" t="s">
        <v>20</v>
      </c>
      <c r="J55" s="1097">
        <f>L55</f>
        <v>0</v>
      </c>
      <c r="K55" s="1097"/>
      <c r="L55" s="1082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0">R56+R57</f>
        <v>0</v>
      </c>
      <c r="S55" s="71">
        <f t="shared" si="40"/>
        <v>0</v>
      </c>
      <c r="T55" s="71">
        <f t="shared" si="40"/>
        <v>0</v>
      </c>
      <c r="U55" s="71">
        <f t="shared" si="40"/>
        <v>0</v>
      </c>
      <c r="V55" s="71">
        <f t="shared" si="40"/>
        <v>0</v>
      </c>
      <c r="W55" s="71">
        <f t="shared" si="40"/>
        <v>0</v>
      </c>
      <c r="X55" s="71">
        <f t="shared" si="40"/>
        <v>0</v>
      </c>
      <c r="Y55" s="71">
        <f t="shared" si="40"/>
        <v>0</v>
      </c>
      <c r="Z55" s="100"/>
      <c r="AA55" s="71">
        <f t="shared" si="40"/>
        <v>0</v>
      </c>
      <c r="AB55" s="71">
        <f t="shared" si="40"/>
        <v>0</v>
      </c>
      <c r="AC55" s="71">
        <f t="shared" si="40"/>
        <v>0</v>
      </c>
      <c r="AD55" s="71">
        <f t="shared" si="40"/>
        <v>0</v>
      </c>
      <c r="AE55" s="71">
        <f t="shared" si="40"/>
        <v>0</v>
      </c>
      <c r="AF55" s="71">
        <f t="shared" si="40"/>
        <v>0</v>
      </c>
      <c r="AG55" s="71">
        <f t="shared" si="40"/>
        <v>0</v>
      </c>
      <c r="AH55" s="71">
        <f t="shared" si="40"/>
        <v>0</v>
      </c>
      <c r="AI55" s="71">
        <f t="shared" si="4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0"/>
        <v>0</v>
      </c>
      <c r="AO55" s="71">
        <f t="shared" si="4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072">
        <v>2019</v>
      </c>
      <c r="H56" s="1072">
        <v>2019</v>
      </c>
      <c r="I56" s="1391"/>
      <c r="J56" s="1097">
        <f t="shared" ref="J56:J61" si="41">L56</f>
        <v>0</v>
      </c>
      <c r="K56" s="1097"/>
      <c r="L56" s="1082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064">
        <v>2019</v>
      </c>
      <c r="H57" s="1064">
        <v>2019</v>
      </c>
      <c r="I57" s="1375"/>
      <c r="J57" s="1097">
        <f t="shared" si="41"/>
        <v>0</v>
      </c>
      <c r="K57" s="1056"/>
      <c r="L57" s="1082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064"/>
      <c r="H58" s="1064"/>
      <c r="I58" s="1374" t="s">
        <v>20</v>
      </c>
      <c r="J58" s="1097">
        <f t="shared" si="41"/>
        <v>924.64</v>
      </c>
      <c r="K58" s="1056"/>
      <c r="L58" s="1082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2">R59+R61</f>
        <v>0</v>
      </c>
      <c r="S58" s="318">
        <f t="shared" si="42"/>
        <v>0</v>
      </c>
      <c r="T58" s="318">
        <f t="shared" si="42"/>
        <v>0</v>
      </c>
      <c r="U58" s="318">
        <f t="shared" si="42"/>
        <v>0</v>
      </c>
      <c r="V58" s="318">
        <f t="shared" si="42"/>
        <v>131</v>
      </c>
      <c r="W58" s="318">
        <f t="shared" si="42"/>
        <v>131</v>
      </c>
      <c r="X58" s="318">
        <f t="shared" si="42"/>
        <v>0</v>
      </c>
      <c r="Y58" s="318">
        <f t="shared" si="42"/>
        <v>0</v>
      </c>
      <c r="Z58" s="372">
        <v>0</v>
      </c>
      <c r="AA58" s="318">
        <v>0</v>
      </c>
      <c r="AB58" s="4">
        <f t="shared" si="42"/>
        <v>0</v>
      </c>
      <c r="AC58" s="4">
        <f t="shared" si="42"/>
        <v>0</v>
      </c>
      <c r="AD58" s="4">
        <f t="shared" si="42"/>
        <v>200</v>
      </c>
      <c r="AE58" s="4">
        <f t="shared" si="42"/>
        <v>0</v>
      </c>
      <c r="AF58" s="4">
        <f t="shared" si="42"/>
        <v>0</v>
      </c>
      <c r="AG58" s="4">
        <f t="shared" si="42"/>
        <v>0</v>
      </c>
      <c r="AH58" s="4">
        <f t="shared" si="42"/>
        <v>0</v>
      </c>
      <c r="AI58" s="4">
        <f t="shared" si="42"/>
        <v>0</v>
      </c>
      <c r="AJ58" s="4">
        <f t="shared" si="4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2"/>
        <v>0</v>
      </c>
      <c r="AO58" s="4">
        <f t="shared" si="4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064">
        <v>2019</v>
      </c>
      <c r="H59" s="1064">
        <v>2019</v>
      </c>
      <c r="I59" s="1391"/>
      <c r="J59" s="1097">
        <f t="shared" si="41"/>
        <v>250</v>
      </c>
      <c r="K59" s="1056"/>
      <c r="L59" s="1082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43">R60</f>
        <v>0</v>
      </c>
      <c r="S59" s="4">
        <f t="shared" si="43"/>
        <v>0</v>
      </c>
      <c r="T59" s="4">
        <f t="shared" si="43"/>
        <v>0</v>
      </c>
      <c r="U59" s="4">
        <f t="shared" si="43"/>
        <v>0</v>
      </c>
      <c r="V59" s="4">
        <f t="shared" si="43"/>
        <v>131</v>
      </c>
      <c r="W59" s="4">
        <f t="shared" si="43"/>
        <v>131</v>
      </c>
      <c r="X59" s="4">
        <f t="shared" si="43"/>
        <v>0</v>
      </c>
      <c r="Y59" s="4">
        <f t="shared" si="43"/>
        <v>0</v>
      </c>
      <c r="Z59" s="268"/>
      <c r="AA59" s="4">
        <v>0</v>
      </c>
      <c r="AB59" s="4">
        <f t="shared" si="43"/>
        <v>0</v>
      </c>
      <c r="AC59" s="4">
        <f t="shared" si="43"/>
        <v>0</v>
      </c>
      <c r="AD59" s="4">
        <f t="shared" si="4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078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064">
        <v>2019</v>
      </c>
      <c r="H61" s="1064">
        <v>2019</v>
      </c>
      <c r="I61" s="1375"/>
      <c r="J61" s="1097">
        <f t="shared" si="41"/>
        <v>674.64</v>
      </c>
      <c r="K61" s="1056"/>
      <c r="L61" s="1082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071"/>
      <c r="L62" s="1074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44">SUM(R63:R64)</f>
        <v>0</v>
      </c>
      <c r="S62" s="318">
        <f t="shared" si="44"/>
        <v>0</v>
      </c>
      <c r="T62" s="318">
        <f t="shared" si="44"/>
        <v>0</v>
      </c>
      <c r="U62" s="318">
        <f t="shared" si="44"/>
        <v>0</v>
      </c>
      <c r="V62" s="318">
        <f t="shared" si="44"/>
        <v>0</v>
      </c>
      <c r="W62" s="318">
        <f t="shared" si="44"/>
        <v>0</v>
      </c>
      <c r="X62" s="318">
        <f t="shared" si="44"/>
        <v>0</v>
      </c>
      <c r="Y62" s="318">
        <f t="shared" si="44"/>
        <v>0</v>
      </c>
      <c r="Z62" s="318">
        <f t="shared" si="44"/>
        <v>0</v>
      </c>
      <c r="AA62" s="318">
        <f t="shared" si="4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101"/>
      <c r="B63" s="42" t="s">
        <v>15</v>
      </c>
      <c r="C63" s="341"/>
      <c r="D63" s="341"/>
      <c r="E63" s="771"/>
      <c r="F63" s="691"/>
      <c r="G63" s="335"/>
      <c r="H63" s="770"/>
      <c r="I63" s="1075"/>
      <c r="J63" s="1097"/>
      <c r="K63" s="1056"/>
      <c r="L63" s="1082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101"/>
      <c r="B64" s="42" t="s">
        <v>32</v>
      </c>
      <c r="C64" s="341"/>
      <c r="D64" s="341"/>
      <c r="E64" s="771"/>
      <c r="F64" s="691"/>
      <c r="G64" s="335"/>
      <c r="H64" s="770"/>
      <c r="I64" s="1075"/>
      <c r="J64" s="1097"/>
      <c r="K64" s="1056"/>
      <c r="L64" s="1082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45">J68</f>
        <v>18824.2</v>
      </c>
      <c r="K65" s="47">
        <f t="shared" si="45"/>
        <v>0</v>
      </c>
      <c r="L65" s="47">
        <f t="shared" si="45"/>
        <v>5710.74</v>
      </c>
      <c r="M65" s="47">
        <f t="shared" si="45"/>
        <v>893.45</v>
      </c>
      <c r="N65" s="47">
        <f t="shared" si="45"/>
        <v>1051.49</v>
      </c>
      <c r="O65" s="47">
        <f t="shared" si="45"/>
        <v>11206.2</v>
      </c>
      <c r="P65" s="47">
        <f t="shared" si="45"/>
        <v>192.06</v>
      </c>
      <c r="Q65" s="47">
        <f t="shared" si="45"/>
        <v>75</v>
      </c>
      <c r="R65" s="47">
        <f t="shared" si="45"/>
        <v>0</v>
      </c>
      <c r="S65" s="47">
        <f t="shared" si="45"/>
        <v>0</v>
      </c>
      <c r="T65" s="47">
        <f t="shared" si="45"/>
        <v>0</v>
      </c>
      <c r="U65" s="47">
        <f t="shared" si="45"/>
        <v>0</v>
      </c>
      <c r="V65" s="47">
        <f t="shared" si="45"/>
        <v>0</v>
      </c>
      <c r="W65" s="47">
        <f t="shared" si="45"/>
        <v>0</v>
      </c>
      <c r="X65" s="47">
        <f t="shared" si="45"/>
        <v>0</v>
      </c>
      <c r="Y65" s="47">
        <f t="shared" si="45"/>
        <v>0</v>
      </c>
      <c r="Z65" s="96"/>
      <c r="AA65" s="47">
        <f t="shared" si="45"/>
        <v>75</v>
      </c>
      <c r="AB65" s="47">
        <f t="shared" si="45"/>
        <v>0</v>
      </c>
      <c r="AC65" s="47">
        <f t="shared" si="45"/>
        <v>0</v>
      </c>
      <c r="AD65" s="47">
        <f t="shared" si="45"/>
        <v>0</v>
      </c>
      <c r="AE65" s="47">
        <f t="shared" si="45"/>
        <v>0</v>
      </c>
      <c r="AF65" s="47">
        <f t="shared" si="45"/>
        <v>0</v>
      </c>
      <c r="AG65" s="47">
        <f t="shared" si="45"/>
        <v>0</v>
      </c>
      <c r="AH65" s="47">
        <f t="shared" si="45"/>
        <v>0</v>
      </c>
      <c r="AI65" s="47">
        <f t="shared" si="45"/>
        <v>0</v>
      </c>
      <c r="AJ65" s="47">
        <f t="shared" si="45"/>
        <v>0</v>
      </c>
      <c r="AK65" s="47">
        <f t="shared" si="45"/>
        <v>117.06</v>
      </c>
      <c r="AL65" s="47">
        <f t="shared" si="45"/>
        <v>117.06</v>
      </c>
      <c r="AM65" s="47">
        <f t="shared" si="45"/>
        <v>39.049999999999997</v>
      </c>
      <c r="AN65" s="47">
        <f t="shared" si="45"/>
        <v>0</v>
      </c>
      <c r="AO65" s="47">
        <f t="shared" si="45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069"/>
      <c r="H68" s="1069"/>
      <c r="I68" s="1326" t="s">
        <v>20</v>
      </c>
      <c r="J68" s="1640">
        <v>18824.2</v>
      </c>
      <c r="K68" s="3">
        <v>0</v>
      </c>
      <c r="L68" s="3">
        <f t="shared" ref="L68:P68" si="46">L69+L71</f>
        <v>5710.74</v>
      </c>
      <c r="M68" s="3">
        <f t="shared" si="46"/>
        <v>893.45</v>
      </c>
      <c r="N68" s="3">
        <f t="shared" si="46"/>
        <v>1051.49</v>
      </c>
      <c r="O68" s="3">
        <f t="shared" si="46"/>
        <v>11206.2</v>
      </c>
      <c r="P68" s="3">
        <f t="shared" si="46"/>
        <v>192.06</v>
      </c>
      <c r="Q68" s="3">
        <f>SUM(Q69:Q71)</f>
        <v>75</v>
      </c>
      <c r="R68" s="3">
        <f t="shared" ref="R68:AA68" si="47">SUM(R69:R71)</f>
        <v>0</v>
      </c>
      <c r="S68" s="3">
        <f t="shared" si="47"/>
        <v>0</v>
      </c>
      <c r="T68" s="3">
        <f t="shared" si="47"/>
        <v>0</v>
      </c>
      <c r="U68" s="3">
        <f t="shared" si="47"/>
        <v>0</v>
      </c>
      <c r="V68" s="3">
        <f t="shared" si="47"/>
        <v>0</v>
      </c>
      <c r="W68" s="3">
        <f t="shared" si="47"/>
        <v>0</v>
      </c>
      <c r="X68" s="3">
        <f t="shared" si="47"/>
        <v>0</v>
      </c>
      <c r="Y68" s="3">
        <f t="shared" si="47"/>
        <v>0</v>
      </c>
      <c r="Z68" s="3">
        <f t="shared" si="47"/>
        <v>0</v>
      </c>
      <c r="AA68" s="3">
        <f t="shared" si="47"/>
        <v>75</v>
      </c>
      <c r="AB68" s="3">
        <f t="shared" ref="AB68:AO68" si="48">AB69+AB71</f>
        <v>0</v>
      </c>
      <c r="AC68" s="3">
        <f t="shared" si="48"/>
        <v>0</v>
      </c>
      <c r="AD68" s="3">
        <f t="shared" si="48"/>
        <v>0</v>
      </c>
      <c r="AE68" s="3">
        <f t="shared" si="48"/>
        <v>0</v>
      </c>
      <c r="AF68" s="3">
        <f t="shared" si="48"/>
        <v>0</v>
      </c>
      <c r="AG68" s="3">
        <f t="shared" si="48"/>
        <v>0</v>
      </c>
      <c r="AH68" s="3">
        <f t="shared" si="48"/>
        <v>0</v>
      </c>
      <c r="AI68" s="3">
        <f t="shared" si="48"/>
        <v>0</v>
      </c>
      <c r="AJ68" s="3">
        <f t="shared" si="48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48"/>
        <v>0</v>
      </c>
      <c r="AO68" s="3">
        <f t="shared" si="48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049" t="s">
        <v>15</v>
      </c>
      <c r="C69" s="1327"/>
      <c r="D69" s="1327"/>
      <c r="E69" s="1327"/>
      <c r="F69" s="1327"/>
      <c r="G69" s="1055">
        <v>2019</v>
      </c>
      <c r="H69" s="1055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49">SUM(R70)</f>
        <v>0</v>
      </c>
      <c r="S69" s="47">
        <f t="shared" si="49"/>
        <v>0</v>
      </c>
      <c r="T69" s="47">
        <f t="shared" si="49"/>
        <v>0</v>
      </c>
      <c r="U69" s="47">
        <f t="shared" si="49"/>
        <v>0</v>
      </c>
      <c r="V69" s="47">
        <f t="shared" si="49"/>
        <v>0</v>
      </c>
      <c r="W69" s="47">
        <f t="shared" si="49"/>
        <v>0</v>
      </c>
      <c r="X69" s="47">
        <v>0</v>
      </c>
      <c r="Y69" s="47">
        <f t="shared" si="49"/>
        <v>0</v>
      </c>
      <c r="Z69" s="96"/>
      <c r="AA69" s="47">
        <v>75</v>
      </c>
      <c r="AB69" s="47">
        <f t="shared" si="49"/>
        <v>0</v>
      </c>
      <c r="AC69" s="47">
        <v>0</v>
      </c>
      <c r="AD69" s="47">
        <v>0</v>
      </c>
      <c r="AE69" s="47">
        <v>0</v>
      </c>
      <c r="AF69" s="47">
        <f t="shared" si="49"/>
        <v>0</v>
      </c>
      <c r="AG69" s="47">
        <f t="shared" si="49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049" t="s">
        <v>16</v>
      </c>
      <c r="C71" s="1327"/>
      <c r="D71" s="1327"/>
      <c r="E71" s="1327"/>
      <c r="F71" s="1327"/>
      <c r="G71" s="1055">
        <v>2020</v>
      </c>
      <c r="H71" s="1055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065"/>
      <c r="B72" s="609" t="s">
        <v>403</v>
      </c>
      <c r="C72" s="341"/>
      <c r="D72" s="341"/>
      <c r="E72" s="341"/>
      <c r="F72" s="341"/>
      <c r="G72" s="1069"/>
      <c r="H72" s="1069"/>
      <c r="I72" s="1056"/>
      <c r="J72" s="1099"/>
      <c r="K72" s="3">
        <v>0</v>
      </c>
      <c r="L72" s="3">
        <f>L73+L78</f>
        <v>0</v>
      </c>
      <c r="M72" s="3">
        <f>M73+M78</f>
        <v>0</v>
      </c>
      <c r="N72" s="3">
        <f>N73+N78</f>
        <v>0</v>
      </c>
      <c r="O72" s="3">
        <f>O73+O78</f>
        <v>0</v>
      </c>
      <c r="P72" s="3">
        <f>P73+P78</f>
        <v>0</v>
      </c>
      <c r="Q72" s="3">
        <f>SUM(Q73)</f>
        <v>35.672149999999995</v>
      </c>
      <c r="R72" s="3">
        <f t="shared" ref="R72:AA72" si="50">SUM(R73)</f>
        <v>0</v>
      </c>
      <c r="S72" s="3">
        <f t="shared" si="50"/>
        <v>0</v>
      </c>
      <c r="T72" s="3">
        <f t="shared" si="50"/>
        <v>0</v>
      </c>
      <c r="U72" s="3">
        <f t="shared" si="50"/>
        <v>0</v>
      </c>
      <c r="V72" s="3">
        <f t="shared" si="50"/>
        <v>0</v>
      </c>
      <c r="W72" s="3">
        <f t="shared" si="50"/>
        <v>0</v>
      </c>
      <c r="X72" s="3">
        <f t="shared" si="50"/>
        <v>0</v>
      </c>
      <c r="Y72" s="3">
        <f t="shared" si="50"/>
        <v>0</v>
      </c>
      <c r="Z72" s="3">
        <f t="shared" si="50"/>
        <v>0</v>
      </c>
      <c r="AA72" s="3">
        <f t="shared" si="50"/>
        <v>35.672149999999995</v>
      </c>
      <c r="AB72" s="3">
        <f t="shared" ref="AB72:AJ72" si="51">AB73+AB78</f>
        <v>0</v>
      </c>
      <c r="AC72" s="3">
        <f t="shared" si="51"/>
        <v>0</v>
      </c>
      <c r="AD72" s="3">
        <f t="shared" si="51"/>
        <v>0</v>
      </c>
      <c r="AE72" s="3">
        <f t="shared" si="51"/>
        <v>0</v>
      </c>
      <c r="AF72" s="3">
        <f t="shared" si="51"/>
        <v>0</v>
      </c>
      <c r="AG72" s="3">
        <f t="shared" si="51"/>
        <v>0</v>
      </c>
      <c r="AH72" s="3">
        <f t="shared" si="51"/>
        <v>0</v>
      </c>
      <c r="AI72" s="3">
        <f t="shared" si="51"/>
        <v>0</v>
      </c>
      <c r="AJ72" s="3">
        <f t="shared" si="51"/>
        <v>0</v>
      </c>
      <c r="AK72" s="3">
        <f>P72-Q72</f>
        <v>-35.672149999999995</v>
      </c>
      <c r="AL72" s="3">
        <f>AK72</f>
        <v>-35.672149999999995</v>
      </c>
      <c r="AM72" s="318" t="e">
        <f>ROUND((Q72*100%/P72*100),2)</f>
        <v>#DIV/0!</v>
      </c>
      <c r="AN72" s="3">
        <f>AN73+AN78</f>
        <v>0</v>
      </c>
      <c r="AO72" s="3">
        <f>AO73+AO78</f>
        <v>0</v>
      </c>
      <c r="AP72" s="633" t="s">
        <v>272</v>
      </c>
      <c r="AQ72" s="95">
        <v>40</v>
      </c>
    </row>
    <row r="73" spans="1:43" ht="15.75" customHeight="1" x14ac:dyDescent="0.25">
      <c r="A73" s="1065"/>
      <c r="B73" s="42" t="s">
        <v>16</v>
      </c>
      <c r="C73" s="341"/>
      <c r="D73" s="341"/>
      <c r="E73" s="341"/>
      <c r="F73" s="341"/>
      <c r="G73" s="313"/>
      <c r="H73" s="1088"/>
      <c r="I73" s="1056"/>
      <c r="J73" s="1099"/>
      <c r="K73" s="4"/>
      <c r="L73" s="47"/>
      <c r="M73" s="47"/>
      <c r="N73" s="47"/>
      <c r="O73" s="47"/>
      <c r="P73" s="47">
        <v>0</v>
      </c>
      <c r="Q73" s="47">
        <f>SUM(Q74:Q75)</f>
        <v>35.672149999999995</v>
      </c>
      <c r="R73" s="47">
        <f t="shared" ref="R73:AA73" si="52">SUM(R74:R75)</f>
        <v>0</v>
      </c>
      <c r="S73" s="47">
        <f t="shared" si="52"/>
        <v>0</v>
      </c>
      <c r="T73" s="47">
        <f t="shared" si="52"/>
        <v>0</v>
      </c>
      <c r="U73" s="47">
        <f t="shared" si="52"/>
        <v>0</v>
      </c>
      <c r="V73" s="47">
        <f t="shared" si="52"/>
        <v>0</v>
      </c>
      <c r="W73" s="47">
        <f t="shared" si="52"/>
        <v>0</v>
      </c>
      <c r="X73" s="47">
        <f t="shared" si="52"/>
        <v>0</v>
      </c>
      <c r="Y73" s="47">
        <f t="shared" si="52"/>
        <v>0</v>
      </c>
      <c r="Z73" s="47">
        <f t="shared" si="52"/>
        <v>0</v>
      </c>
      <c r="AA73" s="47">
        <f t="shared" si="52"/>
        <v>35.672149999999995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451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34.092149999999997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34.092149999999997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327" customFormat="1" ht="28.5" customHeight="1" x14ac:dyDescent="0.25">
      <c r="A76" s="1065"/>
      <c r="B76" s="609" t="s">
        <v>404</v>
      </c>
      <c r="C76" s="341"/>
      <c r="D76" s="341"/>
      <c r="E76" s="341"/>
      <c r="F76" s="341"/>
      <c r="G76" s="1069"/>
      <c r="H76" s="1069"/>
      <c r="I76" s="1056"/>
      <c r="J76" s="1099"/>
      <c r="K76" s="3">
        <v>0</v>
      </c>
      <c r="L76" s="3">
        <f>L77+L80</f>
        <v>0</v>
      </c>
      <c r="M76" s="3">
        <f>M77+M80</f>
        <v>0</v>
      </c>
      <c r="N76" s="3">
        <f>N77+N80</f>
        <v>0</v>
      </c>
      <c r="O76" s="3">
        <f>O77+O80</f>
        <v>0</v>
      </c>
      <c r="P76" s="3">
        <f>P77+P80</f>
        <v>0</v>
      </c>
      <c r="Q76" s="3">
        <f>SUM(Q77)</f>
        <v>0</v>
      </c>
      <c r="R76" s="3">
        <f t="shared" ref="R76:AA76" si="53">SUM(R77)</f>
        <v>0</v>
      </c>
      <c r="S76" s="3">
        <f t="shared" si="53"/>
        <v>0</v>
      </c>
      <c r="T76" s="3">
        <f t="shared" si="53"/>
        <v>0</v>
      </c>
      <c r="U76" s="3">
        <f t="shared" si="53"/>
        <v>0</v>
      </c>
      <c r="V76" s="3">
        <f t="shared" si="53"/>
        <v>0</v>
      </c>
      <c r="W76" s="3">
        <f t="shared" si="53"/>
        <v>0</v>
      </c>
      <c r="X76" s="3">
        <f t="shared" si="53"/>
        <v>0</v>
      </c>
      <c r="Y76" s="3">
        <f t="shared" si="53"/>
        <v>0</v>
      </c>
      <c r="Z76" s="3">
        <f t="shared" si="53"/>
        <v>0</v>
      </c>
      <c r="AA76" s="3">
        <f t="shared" si="53"/>
        <v>0</v>
      </c>
      <c r="AB76" s="3">
        <f t="shared" ref="AB76:AJ76" si="54">AB77+AB80</f>
        <v>0</v>
      </c>
      <c r="AC76" s="3">
        <f t="shared" si="54"/>
        <v>0</v>
      </c>
      <c r="AD76" s="3">
        <f t="shared" si="54"/>
        <v>0</v>
      </c>
      <c r="AE76" s="3">
        <f t="shared" si="54"/>
        <v>0</v>
      </c>
      <c r="AF76" s="3">
        <f t="shared" si="54"/>
        <v>0</v>
      </c>
      <c r="AG76" s="3">
        <f t="shared" si="54"/>
        <v>0</v>
      </c>
      <c r="AH76" s="3">
        <f t="shared" si="54"/>
        <v>0</v>
      </c>
      <c r="AI76" s="3">
        <f t="shared" si="54"/>
        <v>0</v>
      </c>
      <c r="AJ76" s="3">
        <f t="shared" si="54"/>
        <v>0</v>
      </c>
      <c r="AK76" s="3">
        <f>P76-Q76</f>
        <v>0</v>
      </c>
      <c r="AL76" s="3">
        <f>AK76</f>
        <v>0</v>
      </c>
      <c r="AM76" s="318" t="e">
        <f>ROUND((Q76*100%/P76*100),2)</f>
        <v>#DIV/0!</v>
      </c>
      <c r="AN76" s="3">
        <f>AN77+AN80</f>
        <v>0</v>
      </c>
      <c r="AO76" s="3">
        <f>AO77+AO80</f>
        <v>0</v>
      </c>
      <c r="AP76" s="633" t="s">
        <v>272</v>
      </c>
      <c r="AQ76" s="95">
        <v>40</v>
      </c>
    </row>
    <row r="77" spans="1:43" ht="15.75" customHeight="1" x14ac:dyDescent="0.25">
      <c r="A77" s="1065"/>
      <c r="B77" s="42" t="s">
        <v>16</v>
      </c>
      <c r="C77" s="341"/>
      <c r="D77" s="341"/>
      <c r="E77" s="341"/>
      <c r="F77" s="341"/>
      <c r="G77" s="313"/>
      <c r="H77" s="1088"/>
      <c r="I77" s="1056"/>
      <c r="J77" s="1099"/>
      <c r="K77" s="4"/>
      <c r="L77" s="47"/>
      <c r="M77" s="47"/>
      <c r="N77" s="47"/>
      <c r="O77" s="47"/>
      <c r="P77" s="47">
        <v>0</v>
      </c>
      <c r="Q77" s="47">
        <v>0</v>
      </c>
      <c r="R77" s="47"/>
      <c r="S77" s="47"/>
      <c r="T77" s="47"/>
      <c r="U77" s="47"/>
      <c r="V77" s="47"/>
      <c r="W77" s="47"/>
      <c r="X77" s="47"/>
      <c r="Y77" s="47"/>
      <c r="Z77" s="96"/>
      <c r="AA77" s="47"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397"/>
      <c r="AQ77" s="96"/>
    </row>
    <row r="78" spans="1:43" ht="52.5" hidden="1" customHeight="1" x14ac:dyDescent="0.25">
      <c r="A78" s="1332" t="s">
        <v>56</v>
      </c>
      <c r="B78" s="1613" t="s">
        <v>41</v>
      </c>
      <c r="C78" s="1614"/>
      <c r="D78" s="1614"/>
      <c r="E78" s="1614"/>
      <c r="F78" s="1614"/>
      <c r="G78" s="1614"/>
      <c r="H78" s="1615"/>
      <c r="I78" s="23" t="s">
        <v>19</v>
      </c>
      <c r="J78" s="1081">
        <v>0</v>
      </c>
      <c r="K78" s="1081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48" hidden="1" customHeight="1" x14ac:dyDescent="0.25">
      <c r="A79" s="1333"/>
      <c r="B79" s="1616"/>
      <c r="C79" s="1617"/>
      <c r="D79" s="1617"/>
      <c r="E79" s="1617"/>
      <c r="F79" s="1617"/>
      <c r="G79" s="1617"/>
      <c r="H79" s="1618"/>
      <c r="I79" s="23" t="s">
        <v>20</v>
      </c>
      <c r="J79" s="1081">
        <f>L79</f>
        <v>212998.96</v>
      </c>
      <c r="K79" s="1081">
        <f>K82+K129+K130+K131</f>
        <v>0</v>
      </c>
      <c r="L79" s="47">
        <f>L82+L86+L92+L93+L96+L99+L102+L108+L113+L116+L120+L125</f>
        <v>212998.96</v>
      </c>
      <c r="M79" s="47">
        <f>M82+M86+M92+M93+M96+M99+M102+M108</f>
        <v>23675.279999999999</v>
      </c>
      <c r="N79" s="47">
        <f>N82+N86+N92+N93+N96+N99+N102+N108+N113+N116+N120+N125</f>
        <v>44561.120000000003</v>
      </c>
      <c r="O79" s="47">
        <f>O82+O86+O92+O93+O96+O99+O102+O108+O113+O116+O120+O125</f>
        <v>26487.67</v>
      </c>
      <c r="P79" s="47">
        <f>P82+P86+P92+P93+P96+P99+P102+P108+P113+P116+P120+P125</f>
        <v>42150.159999999996</v>
      </c>
      <c r="Q79" s="47">
        <f>Q82+Q86+Q92+Q93+Q96+Q99+Q102+Q108+Q113+Q116+Q120+Q125</f>
        <v>0</v>
      </c>
      <c r="R79" s="47">
        <f t="shared" ref="R79:Y79" si="55">R82+R86+R92+R93+R96+R99+R102+R108+R113+R116+R120+R125</f>
        <v>11372.53</v>
      </c>
      <c r="S79" s="47">
        <f t="shared" si="55"/>
        <v>11789.196</v>
      </c>
      <c r="T79" s="47">
        <f t="shared" si="55"/>
        <v>17105.953000000001</v>
      </c>
      <c r="U79" s="47">
        <f t="shared" si="55"/>
        <v>16853.532999999999</v>
      </c>
      <c r="V79" s="47">
        <f t="shared" si="55"/>
        <v>1876.1869999999999</v>
      </c>
      <c r="W79" s="47">
        <f t="shared" si="55"/>
        <v>1916.0429999999999</v>
      </c>
      <c r="X79" s="47">
        <f t="shared" si="55"/>
        <v>0</v>
      </c>
      <c r="Y79" s="47">
        <f t="shared" si="55"/>
        <v>0</v>
      </c>
      <c r="Z79" s="96"/>
      <c r="AA79" s="47">
        <f>AA82+AA86+AA92+AA93+AA96+AA99+AA102+AA108+AA113+AA116+AA120+AA125</f>
        <v>0</v>
      </c>
      <c r="AB79" s="47">
        <f>AB82+AB86+AB92+AB93+AB96+AB99+AB102+AB108+AB113+AB116+AB120+AB125</f>
        <v>40.5</v>
      </c>
      <c r="AC79" s="47">
        <f>AC82+AC86+AC92+AC93+AC96+AC99+AC102+AC108+AC113+AC116+AC120+AC125</f>
        <v>907.08299999999997</v>
      </c>
      <c r="AD79" s="47">
        <f>AD82+AD86+AD92+AD93+AD96+AD99+AD102+AD108+AD113+AD116+AD120+AD125</f>
        <v>2805.3339999999998</v>
      </c>
      <c r="AE79" s="47">
        <f>AE82+AE86+AE92+AE93+AE96+AE99+AE102+AE108+AE113+AE116+AE120+AE125</f>
        <v>0</v>
      </c>
      <c r="AF79" s="47">
        <f t="shared" ref="AF79:AO79" si="56">AF82+AF86+AF92</f>
        <v>0</v>
      </c>
      <c r="AG79" s="47">
        <f t="shared" si="56"/>
        <v>0</v>
      </c>
      <c r="AH79" s="47">
        <f t="shared" si="56"/>
        <v>0</v>
      </c>
      <c r="AI79" s="47">
        <f t="shared" si="56"/>
        <v>0</v>
      </c>
      <c r="AJ79" s="47">
        <f>AJ82+AJ86+AJ92+AJ125</f>
        <v>0</v>
      </c>
      <c r="AK79" s="47">
        <f t="shared" si="56"/>
        <v>4809.3900000000003</v>
      </c>
      <c r="AL79" s="47">
        <f t="shared" si="56"/>
        <v>4809.3900000000003</v>
      </c>
      <c r="AM79" s="47" t="e">
        <f t="shared" si="56"/>
        <v>#DIV/0!</v>
      </c>
      <c r="AN79" s="47">
        <f t="shared" si="56"/>
        <v>0</v>
      </c>
      <c r="AO79" s="47">
        <f t="shared" si="56"/>
        <v>0</v>
      </c>
      <c r="AP79" s="397"/>
      <c r="AQ79" s="96"/>
    </row>
    <row r="80" spans="1:43" ht="27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10</v>
      </c>
      <c r="J80" s="1081">
        <f>L80</f>
        <v>0</v>
      </c>
      <c r="K80" s="1081">
        <v>0</v>
      </c>
      <c r="L80" s="47">
        <f>M80+N80+O80</f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96"/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397"/>
      <c r="AQ80" s="96"/>
    </row>
    <row r="81" spans="1:43" ht="27" hidden="1" customHeight="1" x14ac:dyDescent="0.25">
      <c r="A81" s="1334"/>
      <c r="B81" s="1619"/>
      <c r="C81" s="1620"/>
      <c r="D81" s="1620"/>
      <c r="E81" s="1620"/>
      <c r="F81" s="1620"/>
      <c r="G81" s="1620"/>
      <c r="H81" s="1621"/>
      <c r="I81" s="23" t="s">
        <v>9</v>
      </c>
      <c r="J81" s="1081">
        <f>L81</f>
        <v>0</v>
      </c>
      <c r="K81" s="1081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s="327" customFormat="1" ht="27.75" customHeight="1" x14ac:dyDescent="0.25">
      <c r="A82" s="1372" t="s">
        <v>57</v>
      </c>
      <c r="B82" s="780" t="s">
        <v>200</v>
      </c>
      <c r="C82" s="1066"/>
      <c r="D82" s="1066"/>
      <c r="E82" s="1066"/>
      <c r="F82" s="1066"/>
      <c r="G82" s="1066">
        <v>2019</v>
      </c>
      <c r="H82" s="1066">
        <v>2019</v>
      </c>
      <c r="I82" s="1326" t="s">
        <v>20</v>
      </c>
      <c r="J82" s="3">
        <f>L82</f>
        <v>30833.33</v>
      </c>
      <c r="K82" s="3"/>
      <c r="L82" s="3">
        <f t="shared" ref="L82:AC82" si="57">L83</f>
        <v>30833.33</v>
      </c>
      <c r="M82" s="3">
        <f t="shared" si="57"/>
        <v>20000</v>
      </c>
      <c r="N82" s="3">
        <f t="shared" si="57"/>
        <v>9151.41</v>
      </c>
      <c r="O82" s="3">
        <f t="shared" si="57"/>
        <v>0</v>
      </c>
      <c r="P82" s="3">
        <v>0</v>
      </c>
      <c r="Q82" s="3">
        <f t="shared" si="57"/>
        <v>0</v>
      </c>
      <c r="R82" s="3">
        <f t="shared" si="57"/>
        <v>0</v>
      </c>
      <c r="S82" s="3">
        <f t="shared" si="57"/>
        <v>0</v>
      </c>
      <c r="T82" s="3">
        <f t="shared" si="57"/>
        <v>0</v>
      </c>
      <c r="U82" s="3">
        <f t="shared" si="57"/>
        <v>0</v>
      </c>
      <c r="V82" s="3">
        <f t="shared" si="57"/>
        <v>0</v>
      </c>
      <c r="W82" s="3">
        <f t="shared" si="57"/>
        <v>0</v>
      </c>
      <c r="X82" s="3">
        <f t="shared" si="57"/>
        <v>0</v>
      </c>
      <c r="Y82" s="3">
        <f t="shared" si="57"/>
        <v>0</v>
      </c>
      <c r="Z82" s="95">
        <v>0</v>
      </c>
      <c r="AA82" s="3">
        <f t="shared" si="57"/>
        <v>0</v>
      </c>
      <c r="AB82" s="3">
        <f t="shared" si="57"/>
        <v>0</v>
      </c>
      <c r="AC82" s="3">
        <f t="shared" si="57"/>
        <v>0</v>
      </c>
      <c r="AD82" s="3">
        <f>AD83</f>
        <v>0</v>
      </c>
      <c r="AE82" s="3">
        <f t="shared" ref="AE82:AJ82" si="58">AE83</f>
        <v>0</v>
      </c>
      <c r="AF82" s="3">
        <f t="shared" si="58"/>
        <v>0</v>
      </c>
      <c r="AG82" s="3">
        <f t="shared" si="58"/>
        <v>0</v>
      </c>
      <c r="AH82" s="3">
        <f t="shared" si="58"/>
        <v>0</v>
      </c>
      <c r="AI82" s="3">
        <f t="shared" si="58"/>
        <v>0</v>
      </c>
      <c r="AJ82" s="3">
        <f t="shared" si="58"/>
        <v>0</v>
      </c>
      <c r="AK82" s="3">
        <v>0</v>
      </c>
      <c r="AL82" s="3">
        <f>AK82</f>
        <v>0</v>
      </c>
      <c r="AM82" s="318" t="e">
        <f>ROUND((Q82*100%/P82*100),2)</f>
        <v>#DIV/0!</v>
      </c>
      <c r="AN82" s="3">
        <v>0</v>
      </c>
      <c r="AO82" s="3">
        <v>0</v>
      </c>
      <c r="AP82" s="633" t="s">
        <v>273</v>
      </c>
      <c r="AQ82" s="95">
        <v>0</v>
      </c>
    </row>
    <row r="83" spans="1:43" ht="14.25" hidden="1" customHeight="1" x14ac:dyDescent="0.25">
      <c r="A83" s="1383"/>
      <c r="B83" s="1" t="s">
        <v>201</v>
      </c>
      <c r="C83" s="1055"/>
      <c r="D83" s="1055"/>
      <c r="E83" s="1055"/>
      <c r="F83" s="1055"/>
      <c r="G83" s="1072"/>
      <c r="H83" s="1072"/>
      <c r="I83" s="1639"/>
      <c r="J83" s="47"/>
      <c r="K83" s="47"/>
      <c r="L83" s="47">
        <v>30833.33</v>
      </c>
      <c r="M83" s="47">
        <v>20000</v>
      </c>
      <c r="N83" s="47">
        <v>9151.41</v>
      </c>
      <c r="O83" s="47">
        <v>0</v>
      </c>
      <c r="P83" s="47">
        <v>1681.92</v>
      </c>
      <c r="Q83" s="47">
        <f>SUM(Q84:Q85)</f>
        <v>0</v>
      </c>
      <c r="R83" s="47">
        <f>SUM(R84:R85)</f>
        <v>0</v>
      </c>
      <c r="S83" s="47">
        <f>SUM(S84:S85)</f>
        <v>0</v>
      </c>
      <c r="T83" s="47">
        <f t="shared" ref="T83:AC83" si="59">SUM(T84:T85)</f>
        <v>0</v>
      </c>
      <c r="U83" s="47">
        <f t="shared" si="59"/>
        <v>0</v>
      </c>
      <c r="V83" s="47">
        <f t="shared" si="59"/>
        <v>0</v>
      </c>
      <c r="W83" s="47">
        <f t="shared" si="59"/>
        <v>0</v>
      </c>
      <c r="X83" s="47">
        <f t="shared" si="59"/>
        <v>0</v>
      </c>
      <c r="Y83" s="47">
        <f t="shared" si="59"/>
        <v>0</v>
      </c>
      <c r="Z83" s="96"/>
      <c r="AA83" s="47">
        <f t="shared" si="59"/>
        <v>0</v>
      </c>
      <c r="AB83" s="47">
        <f t="shared" si="59"/>
        <v>0</v>
      </c>
      <c r="AC83" s="47">
        <f t="shared" si="59"/>
        <v>0</v>
      </c>
      <c r="AD83" s="47">
        <f>SUM(AD84:AD85)</f>
        <v>0</v>
      </c>
      <c r="AE83" s="47">
        <f t="shared" ref="AE83:AJ83" si="60">SUM(AE84:AE85)</f>
        <v>0</v>
      </c>
      <c r="AF83" s="47">
        <f t="shared" si="60"/>
        <v>0</v>
      </c>
      <c r="AG83" s="47">
        <f t="shared" si="60"/>
        <v>0</v>
      </c>
      <c r="AH83" s="47">
        <f t="shared" si="60"/>
        <v>0</v>
      </c>
      <c r="AI83" s="47">
        <f t="shared" si="60"/>
        <v>0</v>
      </c>
      <c r="AJ83" s="47">
        <f t="shared" si="60"/>
        <v>0</v>
      </c>
      <c r="AK83" s="47">
        <v>0</v>
      </c>
      <c r="AL83" s="47">
        <v>0</v>
      </c>
      <c r="AM83" s="4">
        <v>0</v>
      </c>
      <c r="AN83" s="47">
        <v>0</v>
      </c>
      <c r="AO83" s="47">
        <v>0</v>
      </c>
      <c r="AP83" s="397"/>
      <c r="AQ83" s="96"/>
    </row>
    <row r="84" spans="1:43" s="266" customFormat="1" ht="15.75" hidden="1" x14ac:dyDescent="0.25">
      <c r="A84" s="1059"/>
      <c r="B84" s="102"/>
      <c r="C84" s="262"/>
      <c r="D84" s="262"/>
      <c r="E84" s="262"/>
      <c r="F84" s="262"/>
      <c r="G84" s="104"/>
      <c r="H84" s="104"/>
      <c r="I84" s="1098"/>
      <c r="J84" s="96"/>
      <c r="K84" s="96"/>
      <c r="L84" s="96"/>
      <c r="M84" s="96"/>
      <c r="N84" s="96"/>
      <c r="O84" s="96"/>
      <c r="P84" s="47">
        <f>Q84</f>
        <v>0</v>
      </c>
      <c r="Q84" s="96">
        <f>S84+U84+W84+Y84</f>
        <v>0</v>
      </c>
      <c r="R84" s="96">
        <f>S84</f>
        <v>0</v>
      </c>
      <c r="S84" s="96">
        <v>0</v>
      </c>
      <c r="T84" s="96">
        <v>0</v>
      </c>
      <c r="U84" s="96">
        <v>0</v>
      </c>
      <c r="V84" s="96">
        <f>W84</f>
        <v>0</v>
      </c>
      <c r="W84" s="96">
        <v>0</v>
      </c>
      <c r="X84" s="96">
        <f>Y84</f>
        <v>0</v>
      </c>
      <c r="Y84" s="96">
        <v>0</v>
      </c>
      <c r="Z84" s="96"/>
      <c r="AA84" s="96">
        <f>AB84+AD84</f>
        <v>0</v>
      </c>
      <c r="AB84" s="96">
        <v>0</v>
      </c>
      <c r="AC84" s="96">
        <v>0</v>
      </c>
      <c r="AD84" s="96">
        <v>0</v>
      </c>
      <c r="AE84" s="96">
        <v>0</v>
      </c>
      <c r="AF84" s="96">
        <f>AG84+AH84+AI84</f>
        <v>0</v>
      </c>
      <c r="AG84" s="96"/>
      <c r="AH84" s="96"/>
      <c r="AI84" s="96">
        <v>0</v>
      </c>
      <c r="AJ84" s="96"/>
      <c r="AK84" s="96"/>
      <c r="AL84" s="96"/>
      <c r="AM84" s="268"/>
      <c r="AN84" s="96"/>
      <c r="AO84" s="96"/>
      <c r="AP84" s="405"/>
      <c r="AQ84" s="96"/>
    </row>
    <row r="85" spans="1:43" ht="14.25" hidden="1" customHeight="1" x14ac:dyDescent="0.25">
      <c r="A85" s="1059"/>
      <c r="B85" s="1"/>
      <c r="C85" s="1055"/>
      <c r="D85" s="1055"/>
      <c r="E85" s="1055"/>
      <c r="F85" s="1055"/>
      <c r="G85" s="1072"/>
      <c r="H85" s="1072"/>
      <c r="I85" s="1098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96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"/>
      <c r="AN85" s="47"/>
      <c r="AO85" s="47"/>
      <c r="AP85" s="397"/>
      <c r="AQ85" s="96"/>
    </row>
    <row r="86" spans="1:43" s="327" customFormat="1" ht="27" customHeight="1" x14ac:dyDescent="0.25">
      <c r="A86" s="787" t="s">
        <v>58</v>
      </c>
      <c r="B86" s="780" t="s">
        <v>87</v>
      </c>
      <c r="C86" s="1326"/>
      <c r="D86" s="1326"/>
      <c r="E86" s="1326"/>
      <c r="F86" s="1326"/>
      <c r="G86" s="1066"/>
      <c r="H86" s="1066"/>
      <c r="I86" s="1326" t="s">
        <v>20</v>
      </c>
      <c r="J86" s="3">
        <f t="shared" ref="J86:J91" si="61">L86</f>
        <v>20425.87</v>
      </c>
      <c r="K86" s="3"/>
      <c r="L86" s="3">
        <f>L87+L91</f>
        <v>20425.87</v>
      </c>
      <c r="M86" s="3">
        <f t="shared" ref="M86:AO86" si="62">M87+M91</f>
        <v>616.66</v>
      </c>
      <c r="N86" s="3">
        <f t="shared" si="62"/>
        <v>6665.55</v>
      </c>
      <c r="O86" s="3">
        <f t="shared" si="62"/>
        <v>4018.39</v>
      </c>
      <c r="P86" s="3">
        <f t="shared" si="62"/>
        <v>4809.3900000000003</v>
      </c>
      <c r="Q86" s="3">
        <f t="shared" si="62"/>
        <v>0</v>
      </c>
      <c r="R86" s="3">
        <f t="shared" si="62"/>
        <v>0</v>
      </c>
      <c r="S86" s="3">
        <f t="shared" si="62"/>
        <v>416.67</v>
      </c>
      <c r="T86" s="3">
        <f t="shared" si="62"/>
        <v>495.38399999999996</v>
      </c>
      <c r="U86" s="3">
        <f t="shared" si="62"/>
        <v>495.38399999999996</v>
      </c>
      <c r="V86" s="3">
        <f t="shared" si="62"/>
        <v>278.41000000000003</v>
      </c>
      <c r="W86" s="3">
        <f t="shared" si="62"/>
        <v>318.26600000000002</v>
      </c>
      <c r="X86" s="3">
        <f t="shared" si="62"/>
        <v>0</v>
      </c>
      <c r="Y86" s="3">
        <f t="shared" si="62"/>
        <v>0</v>
      </c>
      <c r="Z86" s="95">
        <v>0</v>
      </c>
      <c r="AA86" s="3">
        <f>AA87+AA91+AQ86</f>
        <v>0</v>
      </c>
      <c r="AB86" s="3">
        <f t="shared" si="62"/>
        <v>0</v>
      </c>
      <c r="AC86" s="3">
        <f t="shared" si="62"/>
        <v>907.08299999999997</v>
      </c>
      <c r="AD86" s="3">
        <f t="shared" si="62"/>
        <v>308.33300000000003</v>
      </c>
      <c r="AE86" s="3">
        <f t="shared" si="62"/>
        <v>0</v>
      </c>
      <c r="AF86" s="3">
        <f t="shared" si="62"/>
        <v>0</v>
      </c>
      <c r="AG86" s="3">
        <f t="shared" si="62"/>
        <v>0</v>
      </c>
      <c r="AH86" s="3">
        <f t="shared" si="62"/>
        <v>0</v>
      </c>
      <c r="AI86" s="3">
        <f t="shared" si="62"/>
        <v>0</v>
      </c>
      <c r="AJ86" s="3">
        <f t="shared" si="62"/>
        <v>0</v>
      </c>
      <c r="AK86" s="3">
        <f>P86-Q86</f>
        <v>4809.3900000000003</v>
      </c>
      <c r="AL86" s="3">
        <f>AK86</f>
        <v>4809.3900000000003</v>
      </c>
      <c r="AM86" s="318">
        <f>ROUND((Q86*100%/P86*100),2)</f>
        <v>0</v>
      </c>
      <c r="AN86" s="3">
        <f t="shared" si="62"/>
        <v>0</v>
      </c>
      <c r="AO86" s="3">
        <f t="shared" si="62"/>
        <v>0</v>
      </c>
      <c r="AP86" s="633" t="s">
        <v>243</v>
      </c>
      <c r="AQ86" s="95">
        <v>0</v>
      </c>
    </row>
    <row r="87" spans="1:43" ht="14.25" customHeight="1" x14ac:dyDescent="0.25">
      <c r="A87" s="44"/>
      <c r="B87" s="1" t="s">
        <v>15</v>
      </c>
      <c r="C87" s="1327"/>
      <c r="D87" s="1327"/>
      <c r="E87" s="1327"/>
      <c r="F87" s="1327"/>
      <c r="G87" s="1072">
        <v>2020</v>
      </c>
      <c r="H87" s="1072">
        <v>2020</v>
      </c>
      <c r="I87" s="1327"/>
      <c r="J87" s="47">
        <f t="shared" si="61"/>
        <v>7560.63</v>
      </c>
      <c r="K87" s="47"/>
      <c r="L87" s="47">
        <v>7560.63</v>
      </c>
      <c r="M87" s="47">
        <v>616.66</v>
      </c>
      <c r="N87" s="47">
        <v>6665.55</v>
      </c>
      <c r="O87" s="47">
        <v>0</v>
      </c>
      <c r="P87" s="47">
        <v>791.01</v>
      </c>
      <c r="Q87" s="47">
        <v>0</v>
      </c>
      <c r="R87" s="47">
        <f>R90+R88+R89</f>
        <v>0</v>
      </c>
      <c r="S87" s="47">
        <f>S90+S88+S89</f>
        <v>416.67</v>
      </c>
      <c r="T87" s="47">
        <f>T90+T88+T89</f>
        <v>495.38399999999996</v>
      </c>
      <c r="U87" s="47">
        <f>SUM(U88:U90)</f>
        <v>495.38399999999996</v>
      </c>
      <c r="V87" s="47">
        <f t="shared" ref="V87:AK87" si="63">V90+V88</f>
        <v>278.41000000000003</v>
      </c>
      <c r="W87" s="47">
        <f>W90+W88+W89</f>
        <v>318.26600000000002</v>
      </c>
      <c r="X87" s="47">
        <f t="shared" si="63"/>
        <v>0</v>
      </c>
      <c r="Y87" s="47">
        <f t="shared" si="63"/>
        <v>0</v>
      </c>
      <c r="Z87" s="96"/>
      <c r="AA87" s="47">
        <v>0</v>
      </c>
      <c r="AB87" s="47">
        <f t="shared" si="63"/>
        <v>0</v>
      </c>
      <c r="AC87" s="47">
        <f t="shared" si="63"/>
        <v>907.08299999999997</v>
      </c>
      <c r="AD87" s="47">
        <f t="shared" si="63"/>
        <v>308.33300000000003</v>
      </c>
      <c r="AE87" s="47">
        <f t="shared" si="63"/>
        <v>0</v>
      </c>
      <c r="AF87" s="47">
        <f t="shared" si="63"/>
        <v>0</v>
      </c>
      <c r="AG87" s="47">
        <f t="shared" si="63"/>
        <v>0</v>
      </c>
      <c r="AH87" s="47">
        <f t="shared" si="63"/>
        <v>0</v>
      </c>
      <c r="AI87" s="47">
        <f t="shared" si="63"/>
        <v>0</v>
      </c>
      <c r="AJ87" s="47">
        <f t="shared" si="63"/>
        <v>0</v>
      </c>
      <c r="AK87" s="47">
        <f t="shared" si="63"/>
        <v>0</v>
      </c>
      <c r="AL87" s="47">
        <v>0</v>
      </c>
      <c r="AM87" s="47">
        <v>0</v>
      </c>
      <c r="AN87" s="47">
        <v>0</v>
      </c>
      <c r="AO87" s="47">
        <v>0</v>
      </c>
      <c r="AP87" s="397"/>
      <c r="AQ87" s="96"/>
    </row>
    <row r="88" spans="1:43" s="266" customFormat="1" ht="19.5" hidden="1" customHeight="1" x14ac:dyDescent="0.25">
      <c r="A88" s="251"/>
      <c r="B88" s="102" t="s">
        <v>297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96"/>
      <c r="Q88" s="96">
        <f>S88+U88+Y88+W88</f>
        <v>1215.42</v>
      </c>
      <c r="R88" s="96"/>
      <c r="S88" s="96">
        <v>416.67</v>
      </c>
      <c r="T88" s="96">
        <f>U88</f>
        <v>490.41699999999997</v>
      </c>
      <c r="U88" s="96">
        <v>490.41699999999997</v>
      </c>
      <c r="V88" s="96">
        <v>278.41000000000003</v>
      </c>
      <c r="W88" s="96">
        <v>308.33300000000003</v>
      </c>
      <c r="X88" s="96"/>
      <c r="Y88" s="96"/>
      <c r="Z88" s="96"/>
      <c r="AA88" s="96">
        <f>AC88+AD88</f>
        <v>1215.4159999999999</v>
      </c>
      <c r="AB88" s="96"/>
      <c r="AC88" s="96">
        <v>907.08299999999997</v>
      </c>
      <c r="AD88" s="96">
        <v>308.33300000000003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405"/>
      <c r="AQ88" s="96"/>
    </row>
    <row r="89" spans="1:43" s="266" customFormat="1" ht="19.5" hidden="1" customHeight="1" x14ac:dyDescent="0.25">
      <c r="A89" s="251"/>
      <c r="B89" s="102" t="s">
        <v>315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U89+W89</f>
        <v>14.899999999999999</v>
      </c>
      <c r="R89" s="96"/>
      <c r="S89" s="96">
        <v>0</v>
      </c>
      <c r="T89" s="96">
        <f>U89</f>
        <v>4.9669999999999996</v>
      </c>
      <c r="U89" s="96">
        <v>4.9669999999999996</v>
      </c>
      <c r="V89" s="96"/>
      <c r="W89" s="96">
        <v>9.9329999999999998</v>
      </c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6.5" hidden="1" customHeight="1" x14ac:dyDescent="0.25">
      <c r="A90" s="251"/>
      <c r="B90" s="102" t="s">
        <v>255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47">
        <v>0</v>
      </c>
      <c r="Q90" s="96">
        <f>S90+U90+Y90</f>
        <v>0</v>
      </c>
      <c r="R90" s="96">
        <f>S90</f>
        <v>0</v>
      </c>
      <c r="S90" s="96"/>
      <c r="T90" s="96"/>
      <c r="U90" s="96"/>
      <c r="V90" s="96"/>
      <c r="W90" s="96"/>
      <c r="X90" s="96"/>
      <c r="Y90" s="96">
        <v>0</v>
      </c>
      <c r="Z90" s="96"/>
      <c r="AA90" s="96">
        <f>AB90</f>
        <v>0</v>
      </c>
      <c r="AB90" s="96"/>
      <c r="AC90" s="96">
        <v>0</v>
      </c>
      <c r="AD90" s="96"/>
      <c r="AE90" s="96"/>
      <c r="AF90" s="96">
        <f>SUM(AG90:AG90)</f>
        <v>0</v>
      </c>
      <c r="AG90" s="96"/>
      <c r="AH90" s="96"/>
      <c r="AI90" s="96"/>
      <c r="AJ90" s="96"/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405"/>
      <c r="AQ90" s="96"/>
    </row>
    <row r="91" spans="1:43" ht="15.75" customHeight="1" x14ac:dyDescent="0.25">
      <c r="A91" s="44"/>
      <c r="B91" s="1" t="s">
        <v>16</v>
      </c>
      <c r="C91" s="1328"/>
      <c r="D91" s="1328"/>
      <c r="E91" s="1328"/>
      <c r="F91" s="1328"/>
      <c r="G91" s="1072">
        <v>2020</v>
      </c>
      <c r="H91" s="1072">
        <v>2020</v>
      </c>
      <c r="I91" s="1328"/>
      <c r="J91" s="47">
        <f t="shared" si="61"/>
        <v>12865.24</v>
      </c>
      <c r="K91" s="47"/>
      <c r="L91" s="47">
        <v>12865.24</v>
      </c>
      <c r="M91" s="47">
        <v>0</v>
      </c>
      <c r="N91" s="47">
        <v>0</v>
      </c>
      <c r="O91" s="47">
        <v>4018.39</v>
      </c>
      <c r="P91" s="47">
        <v>4018.38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96"/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397"/>
      <c r="AQ91" s="96"/>
    </row>
    <row r="92" spans="1:43" ht="44.25" hidden="1" customHeight="1" x14ac:dyDescent="0.25">
      <c r="A92" s="44" t="s">
        <v>59</v>
      </c>
      <c r="B92" s="1" t="s">
        <v>55</v>
      </c>
      <c r="C92" s="1072"/>
      <c r="D92" s="1072"/>
      <c r="E92" s="1072"/>
      <c r="F92" s="1072"/>
      <c r="G92" s="1072">
        <v>2021</v>
      </c>
      <c r="H92" s="1072"/>
      <c r="I92" s="1056" t="s">
        <v>20</v>
      </c>
      <c r="J92" s="1082">
        <v>313558.92</v>
      </c>
      <c r="K92" s="47"/>
      <c r="L92" s="47">
        <f>M92+N92+O92</f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v>0</v>
      </c>
      <c r="AB92" s="47">
        <v>0</v>
      </c>
      <c r="AC92" s="47"/>
      <c r="AD92" s="47"/>
      <c r="AE92" s="47"/>
      <c r="AF92" s="47">
        <v>0</v>
      </c>
      <c r="AG92" s="47"/>
      <c r="AH92" s="47"/>
      <c r="AI92" s="47"/>
      <c r="AJ92" s="47"/>
      <c r="AK92" s="47">
        <f>P92-Q92</f>
        <v>0</v>
      </c>
      <c r="AL92" s="47">
        <f>AK92</f>
        <v>0</v>
      </c>
      <c r="AM92" s="4">
        <v>0</v>
      </c>
      <c r="AN92" s="47">
        <v>0</v>
      </c>
      <c r="AO92" s="47">
        <v>0</v>
      </c>
      <c r="AP92" s="397" t="s">
        <v>158</v>
      </c>
      <c r="AQ92" s="96"/>
    </row>
    <row r="93" spans="1:43" s="327" customFormat="1" ht="40.5" customHeight="1" x14ac:dyDescent="0.25">
      <c r="A93" s="1372" t="s">
        <v>278</v>
      </c>
      <c r="B93" s="772" t="s">
        <v>202</v>
      </c>
      <c r="C93" s="312"/>
      <c r="D93" s="312"/>
      <c r="E93" s="312"/>
      <c r="F93" s="312"/>
      <c r="G93" s="312"/>
      <c r="H93" s="1067"/>
      <c r="I93" s="1326" t="s">
        <v>20</v>
      </c>
      <c r="J93" s="1074"/>
      <c r="K93" s="3"/>
      <c r="L93" s="3">
        <f>L94</f>
        <v>4214.49</v>
      </c>
      <c r="M93" s="3">
        <f t="shared" ref="M93:AO94" si="64">M94</f>
        <v>0</v>
      </c>
      <c r="N93" s="3">
        <f t="shared" si="64"/>
        <v>3995.07</v>
      </c>
      <c r="O93" s="3">
        <f t="shared" si="64"/>
        <v>0</v>
      </c>
      <c r="P93" s="3">
        <v>0</v>
      </c>
      <c r="Q93" s="3">
        <v>0</v>
      </c>
      <c r="R93" s="3">
        <f t="shared" si="64"/>
        <v>0</v>
      </c>
      <c r="S93" s="3">
        <f t="shared" si="64"/>
        <v>0</v>
      </c>
      <c r="T93" s="3">
        <f t="shared" si="64"/>
        <v>219.42</v>
      </c>
      <c r="U93" s="3">
        <f t="shared" si="64"/>
        <v>537.85</v>
      </c>
      <c r="V93" s="3">
        <f t="shared" si="64"/>
        <v>0</v>
      </c>
      <c r="W93" s="3">
        <f t="shared" si="64"/>
        <v>0</v>
      </c>
      <c r="X93" s="3">
        <f t="shared" si="64"/>
        <v>0</v>
      </c>
      <c r="Y93" s="3">
        <f t="shared" si="64"/>
        <v>0</v>
      </c>
      <c r="Z93" s="95">
        <v>0</v>
      </c>
      <c r="AA93" s="3">
        <v>0</v>
      </c>
      <c r="AB93" s="3">
        <f t="shared" si="64"/>
        <v>0</v>
      </c>
      <c r="AC93" s="3">
        <f t="shared" si="64"/>
        <v>0</v>
      </c>
      <c r="AD93" s="3">
        <f t="shared" si="64"/>
        <v>537.85400000000004</v>
      </c>
      <c r="AE93" s="3">
        <f t="shared" si="64"/>
        <v>0</v>
      </c>
      <c r="AF93" s="3">
        <f t="shared" si="64"/>
        <v>0</v>
      </c>
      <c r="AG93" s="3">
        <f t="shared" si="64"/>
        <v>0</v>
      </c>
      <c r="AH93" s="3">
        <f t="shared" si="64"/>
        <v>0</v>
      </c>
      <c r="AI93" s="3">
        <f t="shared" si="64"/>
        <v>0</v>
      </c>
      <c r="AJ93" s="3">
        <f t="shared" si="64"/>
        <v>0</v>
      </c>
      <c r="AK93" s="3">
        <f t="shared" si="64"/>
        <v>0</v>
      </c>
      <c r="AL93" s="3">
        <f t="shared" si="64"/>
        <v>0</v>
      </c>
      <c r="AM93" s="3">
        <f t="shared" si="64"/>
        <v>0</v>
      </c>
      <c r="AN93" s="3">
        <f t="shared" si="64"/>
        <v>0</v>
      </c>
      <c r="AO93" s="3">
        <f t="shared" si="64"/>
        <v>0</v>
      </c>
      <c r="AP93" s="633" t="s">
        <v>244</v>
      </c>
      <c r="AQ93" s="95">
        <v>0</v>
      </c>
    </row>
    <row r="94" spans="1:43" ht="17.25" hidden="1" customHeight="1" x14ac:dyDescent="0.25">
      <c r="A94" s="1638"/>
      <c r="B94" s="42" t="s">
        <v>203</v>
      </c>
      <c r="C94" s="313"/>
      <c r="D94" s="313"/>
      <c r="E94" s="313"/>
      <c r="F94" s="313"/>
      <c r="G94" s="313"/>
      <c r="H94" s="1088"/>
      <c r="I94" s="1639"/>
      <c r="J94" s="1082"/>
      <c r="K94" s="47"/>
      <c r="L94" s="47">
        <v>4214.49</v>
      </c>
      <c r="M94" s="47">
        <v>0</v>
      </c>
      <c r="N94" s="47">
        <v>3995.07</v>
      </c>
      <c r="O94" s="47">
        <v>0</v>
      </c>
      <c r="P94" s="47">
        <v>219.42</v>
      </c>
      <c r="Q94" s="47">
        <f>Q95</f>
        <v>537.85</v>
      </c>
      <c r="R94" s="47">
        <f t="shared" si="64"/>
        <v>0</v>
      </c>
      <c r="S94" s="47">
        <f t="shared" si="64"/>
        <v>0</v>
      </c>
      <c r="T94" s="47">
        <f t="shared" si="64"/>
        <v>219.42</v>
      </c>
      <c r="U94" s="47">
        <f t="shared" si="64"/>
        <v>537.85</v>
      </c>
      <c r="V94" s="47">
        <f t="shared" si="64"/>
        <v>0</v>
      </c>
      <c r="W94" s="47">
        <f t="shared" si="64"/>
        <v>0</v>
      </c>
      <c r="X94" s="47">
        <f t="shared" si="64"/>
        <v>0</v>
      </c>
      <c r="Y94" s="47">
        <f t="shared" si="64"/>
        <v>0</v>
      </c>
      <c r="Z94" s="96"/>
      <c r="AA94" s="47">
        <f t="shared" si="64"/>
        <v>537.85400000000004</v>
      </c>
      <c r="AB94" s="47">
        <f t="shared" si="64"/>
        <v>0</v>
      </c>
      <c r="AC94" s="47">
        <f t="shared" si="64"/>
        <v>0</v>
      </c>
      <c r="AD94" s="47">
        <f t="shared" si="64"/>
        <v>537.85400000000004</v>
      </c>
      <c r="AE94" s="47">
        <f t="shared" si="64"/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397"/>
      <c r="AQ94" s="96"/>
    </row>
    <row r="95" spans="1:43" s="266" customFormat="1" ht="28.5" hidden="1" customHeight="1" x14ac:dyDescent="0.25">
      <c r="A95" s="1639"/>
      <c r="B95" s="252" t="s">
        <v>267</v>
      </c>
      <c r="C95" s="363"/>
      <c r="D95" s="363"/>
      <c r="E95" s="363"/>
      <c r="F95" s="363"/>
      <c r="G95" s="363"/>
      <c r="H95" s="364"/>
      <c r="I95" s="539"/>
      <c r="J95" s="258"/>
      <c r="K95" s="96"/>
      <c r="L95" s="96"/>
      <c r="M95" s="96"/>
      <c r="N95" s="96"/>
      <c r="O95" s="96"/>
      <c r="P95" s="96"/>
      <c r="Q95" s="96">
        <f>S95+U95</f>
        <v>537.85</v>
      </c>
      <c r="R95" s="96"/>
      <c r="S95" s="96"/>
      <c r="T95" s="96">
        <v>219.42</v>
      </c>
      <c r="U95" s="96">
        <f>ROUND((645.425/1.2),2)</f>
        <v>537.85</v>
      </c>
      <c r="V95" s="96"/>
      <c r="W95" s="96"/>
      <c r="X95" s="96"/>
      <c r="Y95" s="96"/>
      <c r="Z95" s="96"/>
      <c r="AA95" s="96">
        <f>AD95</f>
        <v>537.85400000000004</v>
      </c>
      <c r="AB95" s="96"/>
      <c r="AC95" s="96"/>
      <c r="AD95" s="96">
        <v>537.85400000000004</v>
      </c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405"/>
      <c r="AQ95" s="96"/>
    </row>
    <row r="96" spans="1:43" s="327" customFormat="1" ht="42.75" customHeight="1" x14ac:dyDescent="0.25">
      <c r="A96" s="1372" t="s">
        <v>279</v>
      </c>
      <c r="B96" s="772" t="s">
        <v>204</v>
      </c>
      <c r="C96" s="312"/>
      <c r="D96" s="312"/>
      <c r="E96" s="312"/>
      <c r="F96" s="312"/>
      <c r="G96" s="312"/>
      <c r="H96" s="1067"/>
      <c r="I96" s="1326" t="s">
        <v>20</v>
      </c>
      <c r="J96" s="1074"/>
      <c r="K96" s="3"/>
      <c r="L96" s="3">
        <f>L97</f>
        <v>3214.56</v>
      </c>
      <c r="M96" s="3">
        <f t="shared" ref="M96:AO97" si="65">M97</f>
        <v>0</v>
      </c>
      <c r="N96" s="3">
        <f t="shared" si="65"/>
        <v>2956.68</v>
      </c>
      <c r="O96" s="3">
        <f t="shared" si="65"/>
        <v>0</v>
      </c>
      <c r="P96" s="3">
        <v>0</v>
      </c>
      <c r="Q96" s="3">
        <v>0</v>
      </c>
      <c r="R96" s="3">
        <f t="shared" si="65"/>
        <v>0</v>
      </c>
      <c r="S96" s="3">
        <f t="shared" si="65"/>
        <v>0</v>
      </c>
      <c r="T96" s="3">
        <f t="shared" si="65"/>
        <v>0</v>
      </c>
      <c r="U96" s="3">
        <f t="shared" si="65"/>
        <v>409.15</v>
      </c>
      <c r="V96" s="3">
        <f t="shared" si="65"/>
        <v>0</v>
      </c>
      <c r="W96" s="3">
        <f t="shared" si="65"/>
        <v>0</v>
      </c>
      <c r="X96" s="3">
        <f t="shared" si="65"/>
        <v>0</v>
      </c>
      <c r="Y96" s="3">
        <f t="shared" si="65"/>
        <v>0</v>
      </c>
      <c r="Z96" s="95">
        <v>0</v>
      </c>
      <c r="AA96" s="3">
        <v>0</v>
      </c>
      <c r="AB96" s="3">
        <f t="shared" si="65"/>
        <v>0</v>
      </c>
      <c r="AC96" s="3">
        <f t="shared" si="65"/>
        <v>0</v>
      </c>
      <c r="AD96" s="3">
        <f t="shared" si="65"/>
        <v>409.14699999999999</v>
      </c>
      <c r="AE96" s="3">
        <f t="shared" si="65"/>
        <v>0</v>
      </c>
      <c r="AF96" s="3">
        <f>AF97</f>
        <v>0</v>
      </c>
      <c r="AG96" s="3">
        <f t="shared" si="65"/>
        <v>0</v>
      </c>
      <c r="AH96" s="3">
        <f t="shared" si="65"/>
        <v>0</v>
      </c>
      <c r="AI96" s="3">
        <f t="shared" si="65"/>
        <v>0</v>
      </c>
      <c r="AJ96" s="3">
        <f t="shared" si="65"/>
        <v>0</v>
      </c>
      <c r="AK96" s="3">
        <f t="shared" si="65"/>
        <v>0</v>
      </c>
      <c r="AL96" s="3">
        <f t="shared" si="65"/>
        <v>0</v>
      </c>
      <c r="AM96" s="3">
        <f t="shared" si="65"/>
        <v>0</v>
      </c>
      <c r="AN96" s="3">
        <f t="shared" si="65"/>
        <v>0</v>
      </c>
      <c r="AO96" s="3">
        <f t="shared" si="65"/>
        <v>0</v>
      </c>
      <c r="AP96" s="633" t="s">
        <v>244</v>
      </c>
      <c r="AQ96" s="95">
        <v>0</v>
      </c>
    </row>
    <row r="97" spans="1:43" ht="17.25" hidden="1" customHeight="1" x14ac:dyDescent="0.25">
      <c r="A97" s="1382"/>
      <c r="B97" s="42" t="s">
        <v>203</v>
      </c>
      <c r="C97" s="313"/>
      <c r="D97" s="313"/>
      <c r="E97" s="313"/>
      <c r="F97" s="313"/>
      <c r="G97" s="313"/>
      <c r="H97" s="1088"/>
      <c r="I97" s="1639"/>
      <c r="J97" s="1082"/>
      <c r="K97" s="47"/>
      <c r="L97" s="47">
        <v>3214.56</v>
      </c>
      <c r="M97" s="47">
        <v>0</v>
      </c>
      <c r="N97" s="47">
        <v>2956.68</v>
      </c>
      <c r="O97" s="47">
        <v>0</v>
      </c>
      <c r="P97" s="47">
        <v>257.88</v>
      </c>
      <c r="Q97" s="47">
        <f>Q98</f>
        <v>409.15</v>
      </c>
      <c r="R97" s="47">
        <f t="shared" si="65"/>
        <v>0</v>
      </c>
      <c r="S97" s="47">
        <f t="shared" si="65"/>
        <v>0</v>
      </c>
      <c r="T97" s="47">
        <f t="shared" si="65"/>
        <v>0</v>
      </c>
      <c r="U97" s="47">
        <f t="shared" si="65"/>
        <v>409.15</v>
      </c>
      <c r="V97" s="47">
        <f t="shared" si="65"/>
        <v>0</v>
      </c>
      <c r="W97" s="47">
        <f t="shared" si="65"/>
        <v>0</v>
      </c>
      <c r="X97" s="47">
        <f t="shared" si="65"/>
        <v>0</v>
      </c>
      <c r="Y97" s="47">
        <f t="shared" si="65"/>
        <v>0</v>
      </c>
      <c r="Z97" s="96"/>
      <c r="AA97" s="47">
        <f t="shared" si="65"/>
        <v>409.14699999999999</v>
      </c>
      <c r="AB97" s="47">
        <f t="shared" si="65"/>
        <v>0</v>
      </c>
      <c r="AC97" s="47">
        <f t="shared" si="65"/>
        <v>0</v>
      </c>
      <c r="AD97" s="47">
        <f t="shared" si="65"/>
        <v>409.14699999999999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397"/>
      <c r="AQ97" s="96"/>
    </row>
    <row r="98" spans="1:43" s="266" customFormat="1" ht="27.75" hidden="1" customHeight="1" x14ac:dyDescent="0.25">
      <c r="A98" s="1639"/>
      <c r="B98" s="252" t="s">
        <v>267</v>
      </c>
      <c r="C98" s="363"/>
      <c r="D98" s="363"/>
      <c r="E98" s="363"/>
      <c r="F98" s="363"/>
      <c r="G98" s="363"/>
      <c r="H98" s="364"/>
      <c r="I98" s="539"/>
      <c r="J98" s="258"/>
      <c r="K98" s="96"/>
      <c r="L98" s="96"/>
      <c r="M98" s="96"/>
      <c r="N98" s="96"/>
      <c r="O98" s="96"/>
      <c r="P98" s="96"/>
      <c r="Q98" s="96">
        <f>S98+U98</f>
        <v>409.15</v>
      </c>
      <c r="R98" s="96"/>
      <c r="S98" s="96"/>
      <c r="T98" s="96"/>
      <c r="U98" s="96">
        <f>ROUND((490.979/1.2),2)</f>
        <v>409.15</v>
      </c>
      <c r="V98" s="96"/>
      <c r="W98" s="96"/>
      <c r="X98" s="96"/>
      <c r="Y98" s="96"/>
      <c r="Z98" s="96"/>
      <c r="AA98" s="96">
        <f>AD98</f>
        <v>409.14699999999999</v>
      </c>
      <c r="AB98" s="96"/>
      <c r="AC98" s="96"/>
      <c r="AD98" s="96">
        <v>409.14699999999999</v>
      </c>
      <c r="AE98" s="96"/>
      <c r="AF98" s="96"/>
      <c r="AG98" s="96"/>
      <c r="AH98" s="96"/>
      <c r="AI98" s="96"/>
      <c r="AJ98" s="96"/>
      <c r="AK98" s="96"/>
      <c r="AL98" s="96"/>
      <c r="AM98" s="268"/>
      <c r="AN98" s="96"/>
      <c r="AO98" s="96"/>
      <c r="AP98" s="405"/>
      <c r="AQ98" s="96"/>
    </row>
    <row r="99" spans="1:43" s="327" customFormat="1" ht="41.25" customHeight="1" x14ac:dyDescent="0.25">
      <c r="A99" s="1372" t="s">
        <v>159</v>
      </c>
      <c r="B99" s="772" t="s">
        <v>326</v>
      </c>
      <c r="C99" s="312"/>
      <c r="D99" s="312"/>
      <c r="E99" s="312"/>
      <c r="F99" s="312"/>
      <c r="G99" s="312"/>
      <c r="H99" s="1067"/>
      <c r="I99" s="1326" t="s">
        <v>20</v>
      </c>
      <c r="J99" s="1074"/>
      <c r="K99" s="3"/>
      <c r="L99" s="3">
        <f>L100</f>
        <v>372.9</v>
      </c>
      <c r="M99" s="3">
        <f>M100</f>
        <v>0</v>
      </c>
      <c r="N99" s="3">
        <f t="shared" ref="N99:AO100" si="66">N100</f>
        <v>372.9</v>
      </c>
      <c r="O99" s="3">
        <f t="shared" si="66"/>
        <v>0</v>
      </c>
      <c r="P99" s="3">
        <f t="shared" si="66"/>
        <v>0</v>
      </c>
      <c r="Q99" s="3">
        <f t="shared" si="66"/>
        <v>0</v>
      </c>
      <c r="R99" s="3">
        <f t="shared" si="66"/>
        <v>0</v>
      </c>
      <c r="S99" s="3">
        <f t="shared" si="66"/>
        <v>0</v>
      </c>
      <c r="T99" s="3">
        <f t="shared" si="66"/>
        <v>0</v>
      </c>
      <c r="U99" s="3">
        <f t="shared" si="66"/>
        <v>0</v>
      </c>
      <c r="V99" s="3">
        <f t="shared" si="66"/>
        <v>0</v>
      </c>
      <c r="W99" s="3">
        <f t="shared" si="66"/>
        <v>0</v>
      </c>
      <c r="X99" s="3">
        <f t="shared" si="66"/>
        <v>0</v>
      </c>
      <c r="Y99" s="3">
        <f t="shared" si="66"/>
        <v>0</v>
      </c>
      <c r="Z99" s="95">
        <v>0</v>
      </c>
      <c r="AA99" s="3">
        <f t="shared" si="66"/>
        <v>0</v>
      </c>
      <c r="AB99" s="3">
        <f t="shared" si="66"/>
        <v>0</v>
      </c>
      <c r="AC99" s="3">
        <f t="shared" si="66"/>
        <v>0</v>
      </c>
      <c r="AD99" s="3">
        <f t="shared" si="66"/>
        <v>0</v>
      </c>
      <c r="AE99" s="3">
        <f t="shared" si="66"/>
        <v>0</v>
      </c>
      <c r="AF99" s="3">
        <f t="shared" si="66"/>
        <v>0</v>
      </c>
      <c r="AG99" s="3">
        <f t="shared" si="66"/>
        <v>0</v>
      </c>
      <c r="AH99" s="3">
        <f t="shared" si="66"/>
        <v>0</v>
      </c>
      <c r="AI99" s="3">
        <f t="shared" si="66"/>
        <v>0</v>
      </c>
      <c r="AJ99" s="3">
        <f t="shared" si="66"/>
        <v>0</v>
      </c>
      <c r="AK99" s="3">
        <f>P99-Q99</f>
        <v>0</v>
      </c>
      <c r="AL99" s="3">
        <f t="shared" si="66"/>
        <v>0</v>
      </c>
      <c r="AM99" s="318">
        <v>0</v>
      </c>
      <c r="AN99" s="3">
        <f t="shared" si="66"/>
        <v>0</v>
      </c>
      <c r="AO99" s="3">
        <f t="shared" si="66"/>
        <v>0</v>
      </c>
      <c r="AP99" s="633" t="s">
        <v>274</v>
      </c>
      <c r="AQ99" s="95">
        <v>0</v>
      </c>
    </row>
    <row r="100" spans="1:43" ht="17.25" hidden="1" customHeight="1" x14ac:dyDescent="0.25">
      <c r="A100" s="1383"/>
      <c r="B100" s="42" t="s">
        <v>203</v>
      </c>
      <c r="C100" s="313"/>
      <c r="D100" s="313"/>
      <c r="E100" s="313"/>
      <c r="F100" s="313"/>
      <c r="G100" s="313"/>
      <c r="H100" s="1088"/>
      <c r="I100" s="1639"/>
      <c r="J100" s="1082"/>
      <c r="K100" s="47"/>
      <c r="L100" s="47">
        <v>372.9</v>
      </c>
      <c r="M100" s="47">
        <v>0</v>
      </c>
      <c r="N100" s="47">
        <v>372.9</v>
      </c>
      <c r="O100" s="47">
        <v>0</v>
      </c>
      <c r="P100" s="47">
        <v>0</v>
      </c>
      <c r="Q100" s="47">
        <f>Q101</f>
        <v>0</v>
      </c>
      <c r="R100" s="47">
        <f t="shared" si="66"/>
        <v>0</v>
      </c>
      <c r="S100" s="47">
        <f t="shared" si="66"/>
        <v>0</v>
      </c>
      <c r="T100" s="47">
        <f t="shared" si="66"/>
        <v>0</v>
      </c>
      <c r="U100" s="47">
        <f t="shared" si="66"/>
        <v>0</v>
      </c>
      <c r="V100" s="47">
        <f t="shared" si="66"/>
        <v>0</v>
      </c>
      <c r="W100" s="47">
        <f t="shared" si="66"/>
        <v>0</v>
      </c>
      <c r="X100" s="47">
        <f t="shared" si="66"/>
        <v>0</v>
      </c>
      <c r="Y100" s="47">
        <f t="shared" si="66"/>
        <v>0</v>
      </c>
      <c r="Z100" s="96"/>
      <c r="AA100" s="47">
        <f t="shared" si="66"/>
        <v>0</v>
      </c>
      <c r="AB100" s="47">
        <f t="shared" si="66"/>
        <v>0</v>
      </c>
      <c r="AC100" s="47">
        <f t="shared" si="66"/>
        <v>0</v>
      </c>
      <c r="AD100" s="47">
        <f t="shared" si="66"/>
        <v>0</v>
      </c>
      <c r="AE100" s="47">
        <f t="shared" si="66"/>
        <v>0</v>
      </c>
      <c r="AF100" s="47">
        <f>AF101</f>
        <v>0</v>
      </c>
      <c r="AG100" s="47">
        <f t="shared" si="66"/>
        <v>0</v>
      </c>
      <c r="AH100" s="47">
        <f t="shared" si="66"/>
        <v>0</v>
      </c>
      <c r="AI100" s="47">
        <f t="shared" si="66"/>
        <v>0</v>
      </c>
      <c r="AJ100" s="47">
        <f t="shared" si="66"/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397"/>
      <c r="AQ100" s="96"/>
    </row>
    <row r="101" spans="1:43" s="266" customFormat="1" ht="17.25" hidden="1" customHeight="1" x14ac:dyDescent="0.25">
      <c r="A101" s="362"/>
      <c r="B101" s="252" t="s">
        <v>224</v>
      </c>
      <c r="C101" s="363"/>
      <c r="D101" s="363"/>
      <c r="E101" s="363"/>
      <c r="F101" s="363"/>
      <c r="G101" s="363"/>
      <c r="H101" s="364"/>
      <c r="I101" s="539"/>
      <c r="J101" s="258"/>
      <c r="K101" s="96"/>
      <c r="L101" s="96"/>
      <c r="M101" s="96"/>
      <c r="N101" s="96"/>
      <c r="O101" s="96"/>
      <c r="P101" s="47"/>
      <c r="Q101" s="96">
        <f>Y101</f>
        <v>0</v>
      </c>
      <c r="R101" s="96"/>
      <c r="S101" s="96"/>
      <c r="T101" s="96"/>
      <c r="U101" s="96"/>
      <c r="V101" s="96"/>
      <c r="W101" s="96"/>
      <c r="X101" s="96">
        <v>0</v>
      </c>
      <c r="Y101" s="96">
        <v>0</v>
      </c>
      <c r="Z101" s="96"/>
      <c r="AA101" s="96">
        <v>0</v>
      </c>
      <c r="AB101" s="96">
        <v>0</v>
      </c>
      <c r="AC101" s="96"/>
      <c r="AD101" s="96"/>
      <c r="AE101" s="96"/>
      <c r="AF101" s="96">
        <f>SUM(AG101:AG101)</f>
        <v>0</v>
      </c>
      <c r="AG101" s="96"/>
      <c r="AH101" s="96"/>
      <c r="AI101" s="96"/>
      <c r="AJ101" s="96"/>
      <c r="AK101" s="96"/>
      <c r="AL101" s="96"/>
      <c r="AM101" s="96"/>
      <c r="AN101" s="96"/>
      <c r="AO101" s="96"/>
      <c r="AP101" s="405"/>
      <c r="AQ101" s="96"/>
    </row>
    <row r="102" spans="1:43" s="327" customFormat="1" ht="41.25" customHeight="1" x14ac:dyDescent="0.25">
      <c r="A102" s="1372" t="s">
        <v>160</v>
      </c>
      <c r="B102" s="772" t="s">
        <v>163</v>
      </c>
      <c r="C102" s="312"/>
      <c r="D102" s="312"/>
      <c r="E102" s="312"/>
      <c r="F102" s="312"/>
      <c r="G102" s="312"/>
      <c r="H102" s="1067"/>
      <c r="I102" s="1326" t="s">
        <v>20</v>
      </c>
      <c r="J102" s="1074"/>
      <c r="K102" s="3"/>
      <c r="L102" s="3">
        <f>L103+L107</f>
        <v>5513.9</v>
      </c>
      <c r="M102" s="3">
        <f t="shared" ref="M102:AO102" si="67">M103+M107</f>
        <v>297.18</v>
      </c>
      <c r="N102" s="3">
        <f t="shared" si="67"/>
        <v>1639.84</v>
      </c>
      <c r="O102" s="3">
        <f t="shared" si="67"/>
        <v>0</v>
      </c>
      <c r="P102" s="3">
        <f t="shared" si="67"/>
        <v>0</v>
      </c>
      <c r="Q102" s="3">
        <f t="shared" si="67"/>
        <v>0</v>
      </c>
      <c r="R102" s="3">
        <f t="shared" si="67"/>
        <v>0</v>
      </c>
      <c r="S102" s="3">
        <f t="shared" si="67"/>
        <v>0</v>
      </c>
      <c r="T102" s="3">
        <f t="shared" si="67"/>
        <v>0</v>
      </c>
      <c r="U102" s="3">
        <f t="shared" si="67"/>
        <v>0</v>
      </c>
      <c r="V102" s="3">
        <f t="shared" si="67"/>
        <v>0</v>
      </c>
      <c r="W102" s="3">
        <f t="shared" si="67"/>
        <v>0</v>
      </c>
      <c r="X102" s="3">
        <f t="shared" si="67"/>
        <v>0</v>
      </c>
      <c r="Y102" s="3">
        <f t="shared" si="67"/>
        <v>0</v>
      </c>
      <c r="Z102" s="95">
        <v>0</v>
      </c>
      <c r="AA102" s="3">
        <f t="shared" si="67"/>
        <v>0</v>
      </c>
      <c r="AB102" s="3">
        <f t="shared" si="67"/>
        <v>0</v>
      </c>
      <c r="AC102" s="3">
        <f t="shared" si="67"/>
        <v>0</v>
      </c>
      <c r="AD102" s="3">
        <f t="shared" si="67"/>
        <v>0</v>
      </c>
      <c r="AE102" s="3">
        <f t="shared" si="67"/>
        <v>0</v>
      </c>
      <c r="AF102" s="3">
        <f t="shared" si="67"/>
        <v>0</v>
      </c>
      <c r="AG102" s="3">
        <f t="shared" si="67"/>
        <v>0</v>
      </c>
      <c r="AH102" s="3">
        <f>AH103+AH107</f>
        <v>0</v>
      </c>
      <c r="AI102" s="3">
        <f>AI103+AI107</f>
        <v>0</v>
      </c>
      <c r="AJ102" s="3">
        <f>AJ103+AJ107</f>
        <v>0</v>
      </c>
      <c r="AK102" s="3">
        <f>P102-Q102</f>
        <v>0</v>
      </c>
      <c r="AL102" s="3">
        <f t="shared" si="67"/>
        <v>0</v>
      </c>
      <c r="AM102" s="318">
        <v>0</v>
      </c>
      <c r="AN102" s="3">
        <f t="shared" si="67"/>
        <v>0</v>
      </c>
      <c r="AO102" s="3">
        <f t="shared" si="67"/>
        <v>0</v>
      </c>
      <c r="AP102" s="633" t="s">
        <v>256</v>
      </c>
      <c r="AQ102" s="95">
        <v>0</v>
      </c>
    </row>
    <row r="103" spans="1:43" ht="17.25" hidden="1" customHeight="1" x14ac:dyDescent="0.25">
      <c r="A103" s="1382"/>
      <c r="B103" s="42" t="s">
        <v>15</v>
      </c>
      <c r="C103" s="313"/>
      <c r="D103" s="313"/>
      <c r="E103" s="313"/>
      <c r="F103" s="313"/>
      <c r="G103" s="313"/>
      <c r="H103" s="1088"/>
      <c r="I103" s="1638"/>
      <c r="J103" s="1082"/>
      <c r="K103" s="47"/>
      <c r="L103" s="47">
        <v>594.36</v>
      </c>
      <c r="M103" s="47">
        <v>297.18</v>
      </c>
      <c r="N103" s="47">
        <v>0</v>
      </c>
      <c r="O103" s="47">
        <v>0</v>
      </c>
      <c r="P103" s="47">
        <f>N103</f>
        <v>0</v>
      </c>
      <c r="Q103" s="47">
        <f>SUM(Q104:Q106)</f>
        <v>0</v>
      </c>
      <c r="R103" s="47">
        <f t="shared" ref="R103:AJ103" si="68">SUM(R104:R106)</f>
        <v>0</v>
      </c>
      <c r="S103" s="47">
        <f>SUM(S104:S106)</f>
        <v>0</v>
      </c>
      <c r="T103" s="47">
        <f t="shared" si="68"/>
        <v>0</v>
      </c>
      <c r="U103" s="47">
        <f t="shared" si="68"/>
        <v>0</v>
      </c>
      <c r="V103" s="47">
        <f t="shared" si="68"/>
        <v>0</v>
      </c>
      <c r="W103" s="47">
        <f t="shared" si="68"/>
        <v>0</v>
      </c>
      <c r="X103" s="47">
        <v>0</v>
      </c>
      <c r="Y103" s="47">
        <f t="shared" si="68"/>
        <v>0</v>
      </c>
      <c r="Z103" s="96"/>
      <c r="AA103" s="47">
        <f t="shared" si="68"/>
        <v>0</v>
      </c>
      <c r="AB103" s="47">
        <f t="shared" si="68"/>
        <v>0</v>
      </c>
      <c r="AC103" s="47">
        <f t="shared" si="68"/>
        <v>0</v>
      </c>
      <c r="AD103" s="47">
        <f t="shared" si="68"/>
        <v>0</v>
      </c>
      <c r="AE103" s="47">
        <f t="shared" si="68"/>
        <v>0</v>
      </c>
      <c r="AF103" s="47">
        <f>SUM(AF104:AF106)</f>
        <v>0</v>
      </c>
      <c r="AG103" s="47">
        <f t="shared" si="68"/>
        <v>0</v>
      </c>
      <c r="AH103" s="47">
        <f t="shared" si="68"/>
        <v>0</v>
      </c>
      <c r="AI103" s="47">
        <f t="shared" si="68"/>
        <v>0</v>
      </c>
      <c r="AJ103" s="47">
        <f t="shared" si="68"/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397">
        <v>159.434</v>
      </c>
      <c r="AQ103" s="96"/>
    </row>
    <row r="104" spans="1:43" s="266" customFormat="1" ht="17.25" hidden="1" customHeight="1" x14ac:dyDescent="0.25">
      <c r="A104" s="1382"/>
      <c r="B104" s="252" t="s">
        <v>225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s="266" customFormat="1" ht="17.25" hidden="1" customHeight="1" x14ac:dyDescent="0.25">
      <c r="A105" s="1382"/>
      <c r="B105" s="252" t="s">
        <v>226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S105</f>
        <v>0</v>
      </c>
      <c r="R105" s="96">
        <f>S105</f>
        <v>0</v>
      </c>
      <c r="S105" s="96">
        <v>0</v>
      </c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f>AB105</f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227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Y106</f>
        <v>0</v>
      </c>
      <c r="R106" s="96"/>
      <c r="S106" s="96"/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ht="16.5" hidden="1" customHeight="1" x14ac:dyDescent="0.25">
      <c r="A107" s="1383"/>
      <c r="B107" s="42" t="s">
        <v>32</v>
      </c>
      <c r="C107" s="313"/>
      <c r="D107" s="313"/>
      <c r="E107" s="313"/>
      <c r="F107" s="313"/>
      <c r="G107" s="313"/>
      <c r="H107" s="1088"/>
      <c r="I107" s="1639"/>
      <c r="J107" s="1082"/>
      <c r="K107" s="47"/>
      <c r="L107" s="47">
        <v>4919.54</v>
      </c>
      <c r="M107" s="47">
        <v>0</v>
      </c>
      <c r="N107" s="47">
        <v>1639.84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96"/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>
        <v>1639.8466699999999</v>
      </c>
      <c r="AQ107" s="96"/>
    </row>
    <row r="108" spans="1:43" s="327" customFormat="1" ht="40.5" customHeight="1" x14ac:dyDescent="0.25">
      <c r="A108" s="1372" t="s">
        <v>162</v>
      </c>
      <c r="B108" s="772" t="s">
        <v>166</v>
      </c>
      <c r="C108" s="312"/>
      <c r="D108" s="312"/>
      <c r="E108" s="312"/>
      <c r="F108" s="312"/>
      <c r="G108" s="312"/>
      <c r="H108" s="1067"/>
      <c r="I108" s="1326" t="s">
        <v>20</v>
      </c>
      <c r="J108" s="1074"/>
      <c r="K108" s="3"/>
      <c r="L108" s="3">
        <f>L109+L112</f>
        <v>94875.549999999988</v>
      </c>
      <c r="M108" s="3">
        <f t="shared" ref="M108:AO108" si="69">M109+M112</f>
        <v>2761.44</v>
      </c>
      <c r="N108" s="3">
        <f t="shared" si="69"/>
        <v>9629.67</v>
      </c>
      <c r="O108" s="3">
        <f t="shared" si="69"/>
        <v>22469.279999999999</v>
      </c>
      <c r="P108" s="3">
        <f>P109+P111</f>
        <v>18622.57</v>
      </c>
      <c r="Q108" s="3">
        <f t="shared" si="69"/>
        <v>0</v>
      </c>
      <c r="R108" s="3">
        <f t="shared" si="69"/>
        <v>646.03</v>
      </c>
      <c r="S108" s="3">
        <f t="shared" si="69"/>
        <v>646.02599999999995</v>
      </c>
      <c r="T108" s="3">
        <f t="shared" si="69"/>
        <v>872.63599999999997</v>
      </c>
      <c r="U108" s="3">
        <f t="shared" si="69"/>
        <v>872.63599999999997</v>
      </c>
      <c r="V108" s="3">
        <f t="shared" si="69"/>
        <v>0</v>
      </c>
      <c r="W108" s="3">
        <f t="shared" si="69"/>
        <v>0</v>
      </c>
      <c r="X108" s="3">
        <f t="shared" si="69"/>
        <v>0</v>
      </c>
      <c r="Y108" s="3">
        <f t="shared" si="69"/>
        <v>0</v>
      </c>
      <c r="Z108" s="95">
        <v>0</v>
      </c>
      <c r="AA108" s="3">
        <f t="shared" si="69"/>
        <v>0</v>
      </c>
      <c r="AB108" s="3">
        <f t="shared" si="69"/>
        <v>0</v>
      </c>
      <c r="AC108" s="3">
        <f t="shared" si="69"/>
        <v>0</v>
      </c>
      <c r="AD108" s="3">
        <f t="shared" si="69"/>
        <v>0</v>
      </c>
      <c r="AE108" s="3">
        <f t="shared" si="69"/>
        <v>0</v>
      </c>
      <c r="AF108" s="3">
        <f t="shared" si="69"/>
        <v>0</v>
      </c>
      <c r="AG108" s="3">
        <f t="shared" si="69"/>
        <v>0</v>
      </c>
      <c r="AH108" s="3">
        <f t="shared" si="69"/>
        <v>0</v>
      </c>
      <c r="AI108" s="3">
        <f t="shared" si="69"/>
        <v>0</v>
      </c>
      <c r="AJ108" s="3">
        <f t="shared" si="69"/>
        <v>0</v>
      </c>
      <c r="AK108" s="3">
        <f>P108-Q108</f>
        <v>18622.57</v>
      </c>
      <c r="AL108" s="3">
        <f t="shared" si="69"/>
        <v>0</v>
      </c>
      <c r="AM108" s="318">
        <f>ROUND((Q108*100%/P108*100),2)</f>
        <v>0</v>
      </c>
      <c r="AN108" s="3">
        <f t="shared" si="69"/>
        <v>0</v>
      </c>
      <c r="AO108" s="3">
        <f t="shared" si="69"/>
        <v>0</v>
      </c>
      <c r="AP108" s="633" t="s">
        <v>256</v>
      </c>
      <c r="AQ108" s="95">
        <v>0</v>
      </c>
    </row>
    <row r="109" spans="1:43" ht="16.5" customHeight="1" x14ac:dyDescent="0.25">
      <c r="A109" s="1382"/>
      <c r="B109" s="42" t="s">
        <v>15</v>
      </c>
      <c r="C109" s="313"/>
      <c r="D109" s="313"/>
      <c r="E109" s="313"/>
      <c r="F109" s="313"/>
      <c r="G109" s="313"/>
      <c r="H109" s="1088"/>
      <c r="I109" s="1638"/>
      <c r="J109" s="1082"/>
      <c r="K109" s="47"/>
      <c r="L109" s="47">
        <v>5734.87</v>
      </c>
      <c r="M109" s="47">
        <v>2761.44</v>
      </c>
      <c r="N109" s="47">
        <v>105.99</v>
      </c>
      <c r="O109" s="47">
        <v>0</v>
      </c>
      <c r="P109" s="47">
        <v>0</v>
      </c>
      <c r="Q109" s="47">
        <v>0</v>
      </c>
      <c r="R109" s="47">
        <v>646.03</v>
      </c>
      <c r="S109" s="47">
        <f t="shared" ref="S109:AJ109" si="70">SUM(S110:S111)</f>
        <v>646.02599999999995</v>
      </c>
      <c r="T109" s="47">
        <f t="shared" si="70"/>
        <v>872.63599999999997</v>
      </c>
      <c r="U109" s="47">
        <f t="shared" si="70"/>
        <v>872.63599999999997</v>
      </c>
      <c r="V109" s="47">
        <f t="shared" si="70"/>
        <v>0</v>
      </c>
      <c r="W109" s="47">
        <f t="shared" si="70"/>
        <v>0</v>
      </c>
      <c r="X109" s="47">
        <v>0</v>
      </c>
      <c r="Y109" s="47">
        <f t="shared" si="70"/>
        <v>0</v>
      </c>
      <c r="Z109" s="96"/>
      <c r="AA109" s="47">
        <f t="shared" si="70"/>
        <v>0</v>
      </c>
      <c r="AB109" s="47">
        <f t="shared" si="70"/>
        <v>0</v>
      </c>
      <c r="AC109" s="47">
        <f t="shared" si="70"/>
        <v>0</v>
      </c>
      <c r="AD109" s="47">
        <f t="shared" si="70"/>
        <v>0</v>
      </c>
      <c r="AE109" s="47">
        <f t="shared" si="70"/>
        <v>0</v>
      </c>
      <c r="AF109" s="47">
        <f t="shared" si="70"/>
        <v>0</v>
      </c>
      <c r="AG109" s="47">
        <f t="shared" si="70"/>
        <v>0</v>
      </c>
      <c r="AH109" s="47">
        <f t="shared" si="70"/>
        <v>0</v>
      </c>
      <c r="AI109" s="47">
        <f t="shared" si="70"/>
        <v>0</v>
      </c>
      <c r="AJ109" s="47">
        <f t="shared" si="70"/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397"/>
      <c r="AQ109" s="96"/>
    </row>
    <row r="110" spans="1:43" s="266" customFormat="1" ht="16.5" hidden="1" customHeight="1" x14ac:dyDescent="0.25">
      <c r="A110" s="1382"/>
      <c r="B110" s="252" t="s">
        <v>268</v>
      </c>
      <c r="C110" s="363"/>
      <c r="D110" s="363"/>
      <c r="E110" s="363"/>
      <c r="F110" s="363"/>
      <c r="G110" s="363"/>
      <c r="H110" s="364"/>
      <c r="I110" s="1638"/>
      <c r="J110" s="258"/>
      <c r="K110" s="96"/>
      <c r="L110" s="47">
        <f>SUM(M110:O110)</f>
        <v>0</v>
      </c>
      <c r="M110" s="96"/>
      <c r="N110" s="96"/>
      <c r="O110" s="96"/>
      <c r="P110" s="47"/>
      <c r="Q110" s="96">
        <f>S110+U110</f>
        <v>1518.6619999999998</v>
      </c>
      <c r="R110" s="96">
        <v>0</v>
      </c>
      <c r="S110" s="96">
        <v>646.02599999999995</v>
      </c>
      <c r="T110" s="96">
        <f>U110</f>
        <v>872.63599999999997</v>
      </c>
      <c r="U110" s="96">
        <v>872.63599999999997</v>
      </c>
      <c r="V110" s="96"/>
      <c r="W110" s="96"/>
      <c r="X110" s="96">
        <v>0</v>
      </c>
      <c r="Y110" s="96">
        <v>0</v>
      </c>
      <c r="Z110" s="96"/>
      <c r="AA110" s="96">
        <v>0</v>
      </c>
      <c r="AB110" s="96">
        <v>0</v>
      </c>
      <c r="AC110" s="96"/>
      <c r="AD110" s="96"/>
      <c r="AE110" s="96">
        <v>0</v>
      </c>
      <c r="AF110" s="96">
        <f>SUM(AG110:AG110)</f>
        <v>0</v>
      </c>
      <c r="AG110" s="96"/>
      <c r="AH110" s="96"/>
      <c r="AI110" s="96"/>
      <c r="AJ110" s="96"/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405"/>
      <c r="AQ110" s="96"/>
    </row>
    <row r="111" spans="1:43" ht="16.5" customHeight="1" x14ac:dyDescent="0.25">
      <c r="A111" s="1382"/>
      <c r="B111" s="42" t="s">
        <v>32</v>
      </c>
      <c r="C111" s="313"/>
      <c r="D111" s="313"/>
      <c r="E111" s="313"/>
      <c r="F111" s="313"/>
      <c r="G111" s="313"/>
      <c r="H111" s="1088"/>
      <c r="I111" s="1638"/>
      <c r="J111" s="1082"/>
      <c r="K111" s="47"/>
      <c r="L111" s="47">
        <f>SUM(M111:O111)</f>
        <v>0</v>
      </c>
      <c r="M111" s="47"/>
      <c r="N111" s="47"/>
      <c r="O111" s="47"/>
      <c r="P111" s="47">
        <v>18622.57</v>
      </c>
      <c r="Q111" s="47">
        <v>0</v>
      </c>
      <c r="R111" s="47"/>
      <c r="S111" s="47"/>
      <c r="T111" s="47">
        <f>U111</f>
        <v>0</v>
      </c>
      <c r="U111" s="47">
        <v>0</v>
      </c>
      <c r="V111" s="47"/>
      <c r="W111" s="47"/>
      <c r="X111" s="47"/>
      <c r="Y111" s="47"/>
      <c r="Z111" s="47"/>
      <c r="AA111" s="47">
        <f>SUM(AB111:AD111)</f>
        <v>0</v>
      </c>
      <c r="AB111" s="47"/>
      <c r="AC111" s="47">
        <v>0</v>
      </c>
      <c r="AD111" s="47">
        <v>0</v>
      </c>
      <c r="AE111" s="47"/>
      <c r="AF111" s="47">
        <f>SUM(AG111:AG111)</f>
        <v>0</v>
      </c>
      <c r="AG111" s="47"/>
      <c r="AH111" s="47"/>
      <c r="AI111" s="47"/>
      <c r="AJ111" s="47"/>
      <c r="AK111" s="47"/>
      <c r="AL111" s="47"/>
      <c r="AM111" s="47"/>
      <c r="AN111" s="47"/>
      <c r="AO111" s="47"/>
      <c r="AP111" s="397"/>
      <c r="AQ111" s="47"/>
    </row>
    <row r="112" spans="1:43" ht="0.75" customHeight="1" x14ac:dyDescent="0.25">
      <c r="A112" s="1383"/>
      <c r="B112" s="42" t="s">
        <v>32</v>
      </c>
      <c r="C112" s="313"/>
      <c r="D112" s="313"/>
      <c r="E112" s="313"/>
      <c r="F112" s="313"/>
      <c r="G112" s="313"/>
      <c r="H112" s="1088"/>
      <c r="I112" s="1639"/>
      <c r="J112" s="1082"/>
      <c r="K112" s="47"/>
      <c r="L112" s="47">
        <v>89140.68</v>
      </c>
      <c r="M112" s="47">
        <v>0</v>
      </c>
      <c r="N112" s="47">
        <v>9523.68</v>
      </c>
      <c r="O112" s="47">
        <v>22469.279999999999</v>
      </c>
      <c r="P112" s="47">
        <v>2605.9899999999998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96"/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327" customFormat="1" ht="52.5" customHeight="1" x14ac:dyDescent="0.25">
      <c r="A113" s="1372" t="s">
        <v>165</v>
      </c>
      <c r="B113" s="780" t="s">
        <v>280</v>
      </c>
      <c r="C113" s="312"/>
      <c r="D113" s="312"/>
      <c r="E113" s="312"/>
      <c r="F113" s="312"/>
      <c r="G113" s="312"/>
      <c r="H113" s="1067"/>
      <c r="I113" s="1326" t="s">
        <v>20</v>
      </c>
      <c r="J113" s="1074"/>
      <c r="K113" s="3"/>
      <c r="L113" s="3">
        <f>L114</f>
        <v>10177.64</v>
      </c>
      <c r="M113" s="3">
        <f>M114</f>
        <v>0</v>
      </c>
      <c r="N113" s="3">
        <f t="shared" ref="N113:AO117" si="71">N114</f>
        <v>0</v>
      </c>
      <c r="O113" s="3">
        <f t="shared" si="71"/>
        <v>0</v>
      </c>
      <c r="P113" s="3">
        <v>7317.14</v>
      </c>
      <c r="Q113" s="3">
        <v>0</v>
      </c>
      <c r="R113" s="3">
        <f t="shared" si="71"/>
        <v>40.5</v>
      </c>
      <c r="S113" s="3">
        <f t="shared" si="71"/>
        <v>40.5</v>
      </c>
      <c r="T113" s="3">
        <f t="shared" si="71"/>
        <v>0</v>
      </c>
      <c r="U113" s="3">
        <f t="shared" si="71"/>
        <v>0</v>
      </c>
      <c r="V113" s="3">
        <f t="shared" si="71"/>
        <v>0</v>
      </c>
      <c r="W113" s="3">
        <f t="shared" si="71"/>
        <v>0</v>
      </c>
      <c r="X113" s="3">
        <f t="shared" si="71"/>
        <v>0</v>
      </c>
      <c r="Y113" s="3">
        <f t="shared" si="71"/>
        <v>0</v>
      </c>
      <c r="Z113" s="95">
        <v>0</v>
      </c>
      <c r="AA113" s="3">
        <v>0</v>
      </c>
      <c r="AB113" s="3">
        <f t="shared" si="71"/>
        <v>40.5</v>
      </c>
      <c r="AC113" s="3">
        <f t="shared" si="71"/>
        <v>0</v>
      </c>
      <c r="AD113" s="3">
        <f t="shared" si="71"/>
        <v>0</v>
      </c>
      <c r="AE113" s="3">
        <f t="shared" si="71"/>
        <v>0</v>
      </c>
      <c r="AF113" s="3">
        <f t="shared" si="71"/>
        <v>0</v>
      </c>
      <c r="AG113" s="3">
        <f t="shared" si="71"/>
        <v>0</v>
      </c>
      <c r="AH113" s="3">
        <f t="shared" si="71"/>
        <v>0</v>
      </c>
      <c r="AI113" s="3">
        <f t="shared" si="71"/>
        <v>0</v>
      </c>
      <c r="AJ113" s="3">
        <f t="shared" si="71"/>
        <v>0</v>
      </c>
      <c r="AK113" s="3">
        <f>P113-Q113</f>
        <v>7317.14</v>
      </c>
      <c r="AL113" s="3">
        <f t="shared" si="71"/>
        <v>0</v>
      </c>
      <c r="AM113" s="3">
        <f t="shared" si="71"/>
        <v>0</v>
      </c>
      <c r="AN113" s="3">
        <f t="shared" si="71"/>
        <v>0</v>
      </c>
      <c r="AO113" s="3">
        <f t="shared" si="71"/>
        <v>0</v>
      </c>
      <c r="AP113" s="633"/>
      <c r="AQ113" s="95">
        <v>0</v>
      </c>
    </row>
    <row r="114" spans="1:45" ht="17.25" hidden="1" customHeight="1" x14ac:dyDescent="0.25">
      <c r="A114" s="1639"/>
      <c r="B114" s="42" t="s">
        <v>203</v>
      </c>
      <c r="C114" s="313"/>
      <c r="D114" s="313"/>
      <c r="E114" s="313"/>
      <c r="F114" s="313"/>
      <c r="G114" s="313"/>
      <c r="H114" s="1088"/>
      <c r="I114" s="1639"/>
      <c r="J114" s="1082"/>
      <c r="K114" s="47"/>
      <c r="L114" s="47">
        <v>10177.64</v>
      </c>
      <c r="M114" s="47">
        <v>0</v>
      </c>
      <c r="N114" s="47">
        <v>0</v>
      </c>
      <c r="O114" s="47">
        <v>0</v>
      </c>
      <c r="P114" s="47">
        <v>2591.96</v>
      </c>
      <c r="Q114" s="47">
        <f>Q115</f>
        <v>40.5</v>
      </c>
      <c r="R114" s="47">
        <f t="shared" si="71"/>
        <v>40.5</v>
      </c>
      <c r="S114" s="47">
        <f t="shared" si="71"/>
        <v>40.5</v>
      </c>
      <c r="T114" s="47">
        <f t="shared" si="71"/>
        <v>0</v>
      </c>
      <c r="U114" s="47">
        <f t="shared" si="71"/>
        <v>0</v>
      </c>
      <c r="V114" s="47">
        <f t="shared" si="71"/>
        <v>0</v>
      </c>
      <c r="W114" s="47">
        <f t="shared" si="71"/>
        <v>0</v>
      </c>
      <c r="X114" s="47">
        <f t="shared" si="71"/>
        <v>0</v>
      </c>
      <c r="Y114" s="47">
        <f t="shared" si="71"/>
        <v>0</v>
      </c>
      <c r="Z114" s="96"/>
      <c r="AA114" s="47">
        <f t="shared" si="71"/>
        <v>40.5</v>
      </c>
      <c r="AB114" s="47">
        <f t="shared" si="71"/>
        <v>40.5</v>
      </c>
      <c r="AC114" s="47">
        <f t="shared" si="71"/>
        <v>0</v>
      </c>
      <c r="AD114" s="47">
        <f t="shared" si="71"/>
        <v>0</v>
      </c>
      <c r="AE114" s="47">
        <f t="shared" si="71"/>
        <v>0</v>
      </c>
      <c r="AF114" s="47">
        <f t="shared" si="71"/>
        <v>0</v>
      </c>
      <c r="AG114" s="47">
        <f t="shared" si="71"/>
        <v>0</v>
      </c>
      <c r="AH114" s="47">
        <f t="shared" si="71"/>
        <v>0</v>
      </c>
      <c r="AI114" s="47">
        <f t="shared" si="71"/>
        <v>0</v>
      </c>
      <c r="AJ114" s="47">
        <f t="shared" si="71"/>
        <v>0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397"/>
      <c r="AQ114" s="96"/>
    </row>
    <row r="115" spans="1:45" s="266" customFormat="1" ht="17.25" hidden="1" customHeight="1" x14ac:dyDescent="0.25">
      <c r="A115" s="539"/>
      <c r="B115" s="252" t="s">
        <v>298</v>
      </c>
      <c r="C115" s="363"/>
      <c r="D115" s="363"/>
      <c r="E115" s="363"/>
      <c r="F115" s="363"/>
      <c r="G115" s="363"/>
      <c r="H115" s="364"/>
      <c r="I115" s="539"/>
      <c r="J115" s="258"/>
      <c r="K115" s="96"/>
      <c r="L115" s="96"/>
      <c r="M115" s="96"/>
      <c r="N115" s="96"/>
      <c r="O115" s="96"/>
      <c r="P115" s="96"/>
      <c r="Q115" s="96">
        <f>S115</f>
        <v>40.5</v>
      </c>
      <c r="R115" s="96">
        <f>S115</f>
        <v>40.5</v>
      </c>
      <c r="S115" s="96">
        <v>40.5</v>
      </c>
      <c r="T115" s="96"/>
      <c r="U115" s="96"/>
      <c r="V115" s="96"/>
      <c r="W115" s="96"/>
      <c r="X115" s="96"/>
      <c r="Y115" s="96"/>
      <c r="Z115" s="96"/>
      <c r="AA115" s="96">
        <f>AB115</f>
        <v>40.5</v>
      </c>
      <c r="AB115" s="96">
        <v>40.5</v>
      </c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268"/>
      <c r="AN115" s="96"/>
      <c r="AO115" s="96"/>
      <c r="AP115" s="405"/>
      <c r="AQ115" s="96"/>
    </row>
    <row r="116" spans="1:45" s="327" customFormat="1" ht="27.75" customHeight="1" x14ac:dyDescent="0.25">
      <c r="A116" s="1372" t="s">
        <v>281</v>
      </c>
      <c r="B116" s="772" t="s">
        <v>284</v>
      </c>
      <c r="C116" s="312"/>
      <c r="D116" s="312"/>
      <c r="E116" s="312"/>
      <c r="F116" s="312"/>
      <c r="G116" s="312"/>
      <c r="H116" s="1067"/>
      <c r="I116" s="1326" t="s">
        <v>20</v>
      </c>
      <c r="J116" s="1074"/>
      <c r="K116" s="3"/>
      <c r="L116" s="3">
        <f>SUM(L117:L119)</f>
        <v>12294.88</v>
      </c>
      <c r="M116" s="3">
        <f>SUM(M117:M119)</f>
        <v>0</v>
      </c>
      <c r="N116" s="3">
        <f>SUM(N117:N119)</f>
        <v>0</v>
      </c>
      <c r="O116" s="3">
        <f>SUM(O117:O119)</f>
        <v>0</v>
      </c>
      <c r="P116" s="3">
        <f>SUM(P117:P119)</f>
        <v>11314.88</v>
      </c>
      <c r="Q116" s="3">
        <f t="shared" si="71"/>
        <v>0</v>
      </c>
      <c r="R116" s="3">
        <f t="shared" si="71"/>
        <v>686</v>
      </c>
      <c r="S116" s="3">
        <f t="shared" si="71"/>
        <v>686</v>
      </c>
      <c r="T116" s="3">
        <f t="shared" si="71"/>
        <v>294</v>
      </c>
      <c r="U116" s="3">
        <f t="shared" si="71"/>
        <v>294</v>
      </c>
      <c r="V116" s="3">
        <f t="shared" si="71"/>
        <v>0</v>
      </c>
      <c r="W116" s="3">
        <f t="shared" si="71"/>
        <v>0</v>
      </c>
      <c r="X116" s="3">
        <f t="shared" si="71"/>
        <v>0</v>
      </c>
      <c r="Y116" s="3">
        <f t="shared" si="71"/>
        <v>0</v>
      </c>
      <c r="Z116" s="95">
        <v>0</v>
      </c>
      <c r="AA116" s="3">
        <f t="shared" si="71"/>
        <v>0</v>
      </c>
      <c r="AB116" s="3">
        <f t="shared" si="71"/>
        <v>0</v>
      </c>
      <c r="AC116" s="3">
        <f t="shared" si="71"/>
        <v>0</v>
      </c>
      <c r="AD116" s="3">
        <f t="shared" si="71"/>
        <v>0</v>
      </c>
      <c r="AE116" s="3">
        <f t="shared" si="71"/>
        <v>0</v>
      </c>
      <c r="AF116" s="3">
        <f t="shared" si="71"/>
        <v>0</v>
      </c>
      <c r="AG116" s="3">
        <f t="shared" si="71"/>
        <v>0</v>
      </c>
      <c r="AH116" s="3">
        <f t="shared" si="71"/>
        <v>0</v>
      </c>
      <c r="AI116" s="3">
        <f t="shared" si="71"/>
        <v>0</v>
      </c>
      <c r="AJ116" s="3">
        <f t="shared" si="71"/>
        <v>0</v>
      </c>
      <c r="AK116" s="3">
        <f>P116-Q116</f>
        <v>11314.88</v>
      </c>
      <c r="AL116" s="3">
        <f>AL119</f>
        <v>0</v>
      </c>
      <c r="AM116" s="318">
        <v>0</v>
      </c>
      <c r="AN116" s="3">
        <f>AN119</f>
        <v>0</v>
      </c>
      <c r="AO116" s="3">
        <f>AO119</f>
        <v>0</v>
      </c>
      <c r="AP116" s="633" t="s">
        <v>256</v>
      </c>
      <c r="AQ116" s="95">
        <v>0</v>
      </c>
    </row>
    <row r="117" spans="1:45" ht="20.25" customHeight="1" x14ac:dyDescent="0.25">
      <c r="A117" s="1382"/>
      <c r="B117" s="42" t="s">
        <v>285</v>
      </c>
      <c r="C117" s="313"/>
      <c r="D117" s="313"/>
      <c r="E117" s="313"/>
      <c r="F117" s="313"/>
      <c r="G117" s="313"/>
      <c r="H117" s="1088"/>
      <c r="I117" s="1327"/>
      <c r="J117" s="1082"/>
      <c r="K117" s="47"/>
      <c r="L117" s="47">
        <v>980</v>
      </c>
      <c r="M117" s="47"/>
      <c r="N117" s="47">
        <v>0</v>
      </c>
      <c r="O117" s="47"/>
      <c r="P117" s="47">
        <v>0</v>
      </c>
      <c r="Q117" s="47">
        <v>0</v>
      </c>
      <c r="R117" s="47">
        <f t="shared" si="71"/>
        <v>686</v>
      </c>
      <c r="S117" s="47">
        <f t="shared" si="71"/>
        <v>686</v>
      </c>
      <c r="T117" s="47">
        <f t="shared" si="71"/>
        <v>294</v>
      </c>
      <c r="U117" s="47">
        <f t="shared" si="71"/>
        <v>294</v>
      </c>
      <c r="V117" s="47">
        <f t="shared" si="71"/>
        <v>0</v>
      </c>
      <c r="W117" s="47">
        <f t="shared" si="71"/>
        <v>0</v>
      </c>
      <c r="X117" s="47">
        <f t="shared" si="71"/>
        <v>0</v>
      </c>
      <c r="Y117" s="47">
        <f t="shared" si="71"/>
        <v>0</v>
      </c>
      <c r="Z117" s="96"/>
      <c r="AA117" s="47">
        <f t="shared" si="71"/>
        <v>0</v>
      </c>
      <c r="AB117" s="47">
        <f t="shared" si="71"/>
        <v>0</v>
      </c>
      <c r="AC117" s="47">
        <f t="shared" si="71"/>
        <v>0</v>
      </c>
      <c r="AD117" s="47">
        <f t="shared" si="71"/>
        <v>0</v>
      </c>
      <c r="AE117" s="47">
        <f t="shared" si="71"/>
        <v>0</v>
      </c>
      <c r="AF117" s="47">
        <f t="shared" si="71"/>
        <v>0</v>
      </c>
      <c r="AG117" s="47">
        <f t="shared" si="71"/>
        <v>0</v>
      </c>
      <c r="AH117" s="47">
        <f t="shared" si="71"/>
        <v>0</v>
      </c>
      <c r="AI117" s="47">
        <f t="shared" si="71"/>
        <v>0</v>
      </c>
      <c r="AJ117" s="47">
        <f t="shared" si="71"/>
        <v>0</v>
      </c>
      <c r="AK117" s="47">
        <v>0</v>
      </c>
      <c r="AL117" s="47"/>
      <c r="AM117" s="47"/>
      <c r="AN117" s="47"/>
      <c r="AO117" s="47"/>
      <c r="AP117" s="397"/>
      <c r="AQ117" s="96"/>
    </row>
    <row r="118" spans="1:45" s="266" customFormat="1" ht="20.25" hidden="1" customHeight="1" x14ac:dyDescent="0.25">
      <c r="A118" s="1382"/>
      <c r="B118" s="252" t="s">
        <v>299</v>
      </c>
      <c r="C118" s="363"/>
      <c r="D118" s="363"/>
      <c r="E118" s="363"/>
      <c r="F118" s="363"/>
      <c r="G118" s="363"/>
      <c r="H118" s="364"/>
      <c r="I118" s="1327"/>
      <c r="J118" s="258"/>
      <c r="K118" s="96"/>
      <c r="L118" s="96"/>
      <c r="M118" s="96"/>
      <c r="N118" s="96"/>
      <c r="O118" s="96"/>
      <c r="P118" s="96"/>
      <c r="Q118" s="96">
        <f>S118+U118</f>
        <v>980</v>
      </c>
      <c r="R118" s="96">
        <f>S118</f>
        <v>686</v>
      </c>
      <c r="S118" s="96">
        <v>686</v>
      </c>
      <c r="T118" s="96">
        <v>294</v>
      </c>
      <c r="U118" s="96">
        <v>294</v>
      </c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405"/>
      <c r="AQ118" s="96"/>
    </row>
    <row r="119" spans="1:45" ht="17.25" customHeight="1" x14ac:dyDescent="0.25">
      <c r="A119" s="1639"/>
      <c r="B119" s="42" t="s">
        <v>287</v>
      </c>
      <c r="C119" s="313"/>
      <c r="D119" s="313"/>
      <c r="E119" s="313"/>
      <c r="F119" s="313"/>
      <c r="G119" s="313"/>
      <c r="H119" s="1088"/>
      <c r="I119" s="1639"/>
      <c r="J119" s="1082"/>
      <c r="K119" s="47"/>
      <c r="L119" s="47">
        <v>11314.88</v>
      </c>
      <c r="M119" s="47">
        <v>0</v>
      </c>
      <c r="N119" s="47">
        <v>0</v>
      </c>
      <c r="O119" s="47">
        <v>0</v>
      </c>
      <c r="P119" s="47">
        <v>11314.88</v>
      </c>
      <c r="Q119" s="47">
        <v>0</v>
      </c>
      <c r="R119" s="47">
        <v>0</v>
      </c>
      <c r="S119" s="47">
        <v>0</v>
      </c>
      <c r="T119" s="47">
        <f t="shared" ref="T119:Y119" si="72">T129</f>
        <v>980</v>
      </c>
      <c r="U119" s="47">
        <v>0</v>
      </c>
      <c r="V119" s="47">
        <f t="shared" si="72"/>
        <v>0</v>
      </c>
      <c r="W119" s="47">
        <f t="shared" si="72"/>
        <v>0</v>
      </c>
      <c r="X119" s="47">
        <f t="shared" si="72"/>
        <v>0</v>
      </c>
      <c r="Y119" s="47">
        <f t="shared" si="72"/>
        <v>0</v>
      </c>
      <c r="Z119" s="96"/>
      <c r="AA119" s="47">
        <v>0</v>
      </c>
      <c r="AB119" s="47">
        <v>0</v>
      </c>
      <c r="AC119" s="47">
        <f t="shared" ref="AC119:AJ119" si="73">AC129</f>
        <v>0</v>
      </c>
      <c r="AD119" s="47">
        <f t="shared" si="73"/>
        <v>0</v>
      </c>
      <c r="AE119" s="47">
        <f t="shared" si="73"/>
        <v>0</v>
      </c>
      <c r="AF119" s="47">
        <f t="shared" si="73"/>
        <v>0</v>
      </c>
      <c r="AG119" s="47">
        <f t="shared" si="73"/>
        <v>0</v>
      </c>
      <c r="AH119" s="47">
        <f t="shared" si="73"/>
        <v>0</v>
      </c>
      <c r="AI119" s="47">
        <f t="shared" si="73"/>
        <v>0</v>
      </c>
      <c r="AJ119" s="47">
        <f t="shared" si="73"/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397"/>
      <c r="AQ119" s="96"/>
    </row>
    <row r="120" spans="1:45" s="327" customFormat="1" ht="24.75" customHeight="1" x14ac:dyDescent="0.25">
      <c r="A120" s="1372" t="s">
        <v>282</v>
      </c>
      <c r="B120" s="772" t="s">
        <v>286</v>
      </c>
      <c r="C120" s="312"/>
      <c r="D120" s="312"/>
      <c r="E120" s="312"/>
      <c r="F120" s="312"/>
      <c r="G120" s="312"/>
      <c r="H120" s="1067"/>
      <c r="I120" s="1326" t="s">
        <v>20</v>
      </c>
      <c r="J120" s="1074"/>
      <c r="K120" s="3"/>
      <c r="L120" s="3">
        <f>SUM(L121:L124)</f>
        <v>2085.84</v>
      </c>
      <c r="M120" s="3">
        <f>SUM(M121:M124)</f>
        <v>0</v>
      </c>
      <c r="N120" s="3">
        <f>SUM(N121:N124)</f>
        <v>0</v>
      </c>
      <c r="O120" s="3">
        <f>SUM(O121:O124)</f>
        <v>0</v>
      </c>
      <c r="P120" s="3">
        <f>SUM(P121:P124)</f>
        <v>86.18</v>
      </c>
      <c r="Q120" s="3">
        <f>Q121+Q124</f>
        <v>0</v>
      </c>
      <c r="R120" s="3">
        <f t="shared" ref="R120:AD120" si="74">R121+R124</f>
        <v>0</v>
      </c>
      <c r="S120" s="3">
        <f t="shared" si="74"/>
        <v>0</v>
      </c>
      <c r="T120" s="3">
        <f t="shared" si="74"/>
        <v>1066.18</v>
      </c>
      <c r="U120" s="3">
        <f t="shared" si="74"/>
        <v>86.18</v>
      </c>
      <c r="V120" s="3">
        <f t="shared" si="74"/>
        <v>1597.7769999999998</v>
      </c>
      <c r="W120" s="3">
        <f t="shared" si="74"/>
        <v>1597.7769999999998</v>
      </c>
      <c r="X120" s="3">
        <f t="shared" si="74"/>
        <v>0</v>
      </c>
      <c r="Y120" s="3">
        <f t="shared" si="74"/>
        <v>0</v>
      </c>
      <c r="Z120" s="95">
        <v>0</v>
      </c>
      <c r="AA120" s="3">
        <v>0</v>
      </c>
      <c r="AB120" s="3">
        <f t="shared" si="74"/>
        <v>0</v>
      </c>
      <c r="AC120" s="3">
        <f t="shared" si="74"/>
        <v>0</v>
      </c>
      <c r="AD120" s="3">
        <f t="shared" si="74"/>
        <v>1550</v>
      </c>
      <c r="AE120" s="3">
        <f t="shared" ref="AE120:AJ120" si="75">AE124</f>
        <v>0</v>
      </c>
      <c r="AF120" s="3">
        <f t="shared" si="75"/>
        <v>0</v>
      </c>
      <c r="AG120" s="3">
        <f t="shared" si="75"/>
        <v>0</v>
      </c>
      <c r="AH120" s="3">
        <f t="shared" si="75"/>
        <v>0</v>
      </c>
      <c r="AI120" s="3">
        <f t="shared" si="75"/>
        <v>0</v>
      </c>
      <c r="AJ120" s="3">
        <f t="shared" si="75"/>
        <v>0</v>
      </c>
      <c r="AK120" s="3">
        <f>P120-Q120</f>
        <v>86.18</v>
      </c>
      <c r="AL120" s="3">
        <f>AL124</f>
        <v>0</v>
      </c>
      <c r="AM120" s="3">
        <f>AM124</f>
        <v>0</v>
      </c>
      <c r="AN120" s="3">
        <f>AN124</f>
        <v>0</v>
      </c>
      <c r="AO120" s="3">
        <f>AO124</f>
        <v>0</v>
      </c>
      <c r="AP120" s="633" t="s">
        <v>244</v>
      </c>
      <c r="AQ120" s="95">
        <v>0</v>
      </c>
      <c r="AS120" s="3"/>
    </row>
    <row r="121" spans="1:45" ht="20.25" customHeight="1" x14ac:dyDescent="0.25">
      <c r="A121" s="1382"/>
      <c r="B121" s="42" t="s">
        <v>285</v>
      </c>
      <c r="C121" s="313"/>
      <c r="D121" s="313"/>
      <c r="E121" s="313"/>
      <c r="F121" s="313"/>
      <c r="G121" s="313"/>
      <c r="H121" s="1088"/>
      <c r="I121" s="1327"/>
      <c r="J121" s="1082"/>
      <c r="K121" s="47"/>
      <c r="L121" s="47">
        <v>2085.84</v>
      </c>
      <c r="M121" s="47"/>
      <c r="N121" s="47">
        <v>0</v>
      </c>
      <c r="O121" s="47"/>
      <c r="P121" s="47">
        <v>86.18</v>
      </c>
      <c r="Q121" s="47">
        <v>0</v>
      </c>
      <c r="R121" s="47">
        <f t="shared" ref="R121:AD121" si="76">R123+R122</f>
        <v>0</v>
      </c>
      <c r="S121" s="47">
        <f t="shared" si="76"/>
        <v>0</v>
      </c>
      <c r="T121" s="47">
        <f t="shared" si="76"/>
        <v>86.18</v>
      </c>
      <c r="U121" s="47">
        <f t="shared" si="76"/>
        <v>86.18</v>
      </c>
      <c r="V121" s="47">
        <f t="shared" si="76"/>
        <v>1597.7769999999998</v>
      </c>
      <c r="W121" s="47">
        <f t="shared" si="76"/>
        <v>1597.7769999999998</v>
      </c>
      <c r="X121" s="47">
        <f t="shared" si="76"/>
        <v>0</v>
      </c>
      <c r="Y121" s="47">
        <f t="shared" si="76"/>
        <v>0</v>
      </c>
      <c r="Z121" s="96"/>
      <c r="AA121" s="47">
        <v>0</v>
      </c>
      <c r="AB121" s="47">
        <f t="shared" si="76"/>
        <v>0</v>
      </c>
      <c r="AC121" s="47">
        <f t="shared" si="76"/>
        <v>0</v>
      </c>
      <c r="AD121" s="47">
        <f t="shared" si="76"/>
        <v>1550</v>
      </c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397"/>
      <c r="AQ121" s="96"/>
    </row>
    <row r="122" spans="1:45" s="266" customFormat="1" ht="38.25" hidden="1" customHeight="1" x14ac:dyDescent="0.25">
      <c r="A122" s="1382"/>
      <c r="B122" s="252" t="s">
        <v>321</v>
      </c>
      <c r="C122" s="363"/>
      <c r="D122" s="363"/>
      <c r="E122" s="363"/>
      <c r="F122" s="363"/>
      <c r="G122" s="363"/>
      <c r="H122" s="364"/>
      <c r="I122" s="1327"/>
      <c r="J122" s="258"/>
      <c r="K122" s="96"/>
      <c r="L122" s="96"/>
      <c r="M122" s="96"/>
      <c r="N122" s="96"/>
      <c r="O122" s="96"/>
      <c r="P122" s="96"/>
      <c r="Q122" s="96">
        <f>W122</f>
        <v>1511.6</v>
      </c>
      <c r="R122" s="96"/>
      <c r="S122" s="96"/>
      <c r="T122" s="96"/>
      <c r="U122" s="96"/>
      <c r="V122" s="96">
        <f>W122</f>
        <v>1511.6</v>
      </c>
      <c r="W122" s="96">
        <v>1511.6</v>
      </c>
      <c r="X122" s="96"/>
      <c r="Y122" s="96"/>
      <c r="Z122" s="96"/>
      <c r="AA122" s="96">
        <f>AD122</f>
        <v>1550</v>
      </c>
      <c r="AB122" s="96"/>
      <c r="AC122" s="96"/>
      <c r="AD122" s="96">
        <v>1550</v>
      </c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405"/>
      <c r="AQ122" s="96"/>
    </row>
    <row r="123" spans="1:45" s="266" customFormat="1" ht="27" hidden="1" customHeight="1" x14ac:dyDescent="0.25">
      <c r="A123" s="1382"/>
      <c r="B123" s="252" t="s">
        <v>313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S123+U123</f>
        <v>86.18</v>
      </c>
      <c r="R123" s="96"/>
      <c r="S123" s="96"/>
      <c r="T123" s="96">
        <f>U123</f>
        <v>86.18</v>
      </c>
      <c r="U123" s="96">
        <f>ROUND((103.412/1.2),2)</f>
        <v>86.18</v>
      </c>
      <c r="V123" s="96">
        <f>W123</f>
        <v>86.177000000000007</v>
      </c>
      <c r="W123" s="96">
        <v>86.177000000000007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ht="17.25" customHeight="1" x14ac:dyDescent="0.25">
      <c r="A124" s="1639"/>
      <c r="B124" s="42" t="s">
        <v>287</v>
      </c>
      <c r="C124" s="313"/>
      <c r="D124" s="313"/>
      <c r="E124" s="313"/>
      <c r="F124" s="313"/>
      <c r="G124" s="313"/>
      <c r="H124" s="1088"/>
      <c r="I124" s="1639"/>
      <c r="J124" s="1082"/>
      <c r="K124" s="47"/>
      <c r="L124" s="47">
        <v>0</v>
      </c>
      <c r="M124" s="47">
        <v>0</v>
      </c>
      <c r="N124" s="47">
        <v>0</v>
      </c>
      <c r="O124" s="47">
        <v>0</v>
      </c>
      <c r="P124" s="47">
        <f>N124</f>
        <v>0</v>
      </c>
      <c r="Q124" s="47">
        <v>0</v>
      </c>
      <c r="R124" s="47">
        <v>0</v>
      </c>
      <c r="S124" s="47">
        <v>0</v>
      </c>
      <c r="T124" s="47">
        <f t="shared" ref="T124:Y124" si="77">T138</f>
        <v>980</v>
      </c>
      <c r="U124" s="47">
        <v>0</v>
      </c>
      <c r="V124" s="47">
        <f t="shared" si="77"/>
        <v>0</v>
      </c>
      <c r="W124" s="47">
        <f t="shared" si="77"/>
        <v>0</v>
      </c>
      <c r="X124" s="47">
        <f t="shared" si="77"/>
        <v>0</v>
      </c>
      <c r="Y124" s="47">
        <f t="shared" si="77"/>
        <v>0</v>
      </c>
      <c r="Z124" s="96"/>
      <c r="AA124" s="47">
        <v>0</v>
      </c>
      <c r="AB124" s="47">
        <v>0</v>
      </c>
      <c r="AC124" s="47">
        <f t="shared" ref="AC124:AJ124" si="78">AC138</f>
        <v>0</v>
      </c>
      <c r="AD124" s="47">
        <f t="shared" si="78"/>
        <v>0</v>
      </c>
      <c r="AE124" s="47">
        <f t="shared" si="78"/>
        <v>0</v>
      </c>
      <c r="AF124" s="47">
        <f t="shared" si="78"/>
        <v>0</v>
      </c>
      <c r="AG124" s="47">
        <f t="shared" si="78"/>
        <v>0</v>
      </c>
      <c r="AH124" s="47">
        <f t="shared" si="78"/>
        <v>0</v>
      </c>
      <c r="AI124" s="47">
        <f t="shared" si="78"/>
        <v>0</v>
      </c>
      <c r="AJ124" s="47">
        <f t="shared" si="78"/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327" customFormat="1" ht="31.5" customHeight="1" x14ac:dyDescent="0.25">
      <c r="A125" s="1372" t="s">
        <v>283</v>
      </c>
      <c r="B125" s="772" t="s">
        <v>288</v>
      </c>
      <c r="C125" s="312"/>
      <c r="D125" s="312"/>
      <c r="E125" s="312"/>
      <c r="F125" s="312"/>
      <c r="G125" s="312"/>
      <c r="H125" s="1067"/>
      <c r="I125" s="1326" t="s">
        <v>20</v>
      </c>
      <c r="J125" s="1074"/>
      <c r="K125" s="3"/>
      <c r="L125" s="3">
        <f t="shared" ref="L125:AJ126" si="79">L126</f>
        <v>28990</v>
      </c>
      <c r="M125" s="3">
        <f t="shared" si="79"/>
        <v>0</v>
      </c>
      <c r="N125" s="3">
        <f t="shared" si="79"/>
        <v>10150</v>
      </c>
      <c r="O125" s="3">
        <f t="shared" si="79"/>
        <v>0</v>
      </c>
      <c r="P125" s="3">
        <v>0</v>
      </c>
      <c r="Q125" s="3">
        <v>0</v>
      </c>
      <c r="R125" s="3">
        <f t="shared" si="79"/>
        <v>10000</v>
      </c>
      <c r="S125" s="3">
        <f t="shared" si="79"/>
        <v>10000</v>
      </c>
      <c r="T125" s="3">
        <f t="shared" si="79"/>
        <v>14158.333000000001</v>
      </c>
      <c r="U125" s="3">
        <f t="shared" si="79"/>
        <v>14158.333000000001</v>
      </c>
      <c r="V125" s="3">
        <f t="shared" si="79"/>
        <v>0</v>
      </c>
      <c r="W125" s="3">
        <f t="shared" si="79"/>
        <v>0</v>
      </c>
      <c r="X125" s="3">
        <f t="shared" si="79"/>
        <v>0</v>
      </c>
      <c r="Y125" s="3">
        <f t="shared" si="79"/>
        <v>0</v>
      </c>
      <c r="Z125" s="95">
        <v>0</v>
      </c>
      <c r="AA125" s="3">
        <f t="shared" si="79"/>
        <v>0</v>
      </c>
      <c r="AB125" s="3">
        <f t="shared" si="79"/>
        <v>0</v>
      </c>
      <c r="AC125" s="3">
        <f t="shared" si="79"/>
        <v>0</v>
      </c>
      <c r="AD125" s="3">
        <f t="shared" si="79"/>
        <v>0</v>
      </c>
      <c r="AE125" s="3">
        <f t="shared" si="79"/>
        <v>0</v>
      </c>
      <c r="AF125" s="3">
        <f t="shared" si="79"/>
        <v>0</v>
      </c>
      <c r="AG125" s="3">
        <f t="shared" si="79"/>
        <v>0</v>
      </c>
      <c r="AH125" s="3">
        <f t="shared" si="79"/>
        <v>0</v>
      </c>
      <c r="AI125" s="3">
        <f t="shared" si="79"/>
        <v>0</v>
      </c>
      <c r="AJ125" s="3">
        <f t="shared" si="79"/>
        <v>0</v>
      </c>
      <c r="AK125" s="3">
        <f>P125-Q125</f>
        <v>0</v>
      </c>
      <c r="AL125" s="3">
        <f>AL126</f>
        <v>0</v>
      </c>
      <c r="AM125" s="318" t="e">
        <f>ROUND((Q125*100%/P125*100),2)</f>
        <v>#DIV/0!</v>
      </c>
      <c r="AN125" s="3">
        <f>AN126</f>
        <v>0</v>
      </c>
      <c r="AO125" s="3">
        <f>AO126</f>
        <v>0</v>
      </c>
      <c r="AP125" s="633" t="s">
        <v>295</v>
      </c>
      <c r="AQ125" s="95">
        <v>0</v>
      </c>
    </row>
    <row r="126" spans="1:45" ht="17.25" hidden="1" customHeight="1" x14ac:dyDescent="0.25">
      <c r="A126" s="1639"/>
      <c r="B126" s="42" t="s">
        <v>201</v>
      </c>
      <c r="C126" s="313"/>
      <c r="D126" s="313"/>
      <c r="E126" s="313"/>
      <c r="F126" s="313"/>
      <c r="G126" s="313"/>
      <c r="H126" s="1088"/>
      <c r="I126" s="1639"/>
      <c r="J126" s="1082"/>
      <c r="K126" s="47"/>
      <c r="L126" s="47">
        <v>28990</v>
      </c>
      <c r="M126" s="47">
        <v>0</v>
      </c>
      <c r="N126" s="47">
        <v>10150</v>
      </c>
      <c r="O126" s="47">
        <v>0</v>
      </c>
      <c r="P126" s="47">
        <v>18840</v>
      </c>
      <c r="Q126" s="47">
        <f>Q127</f>
        <v>24158.332999999999</v>
      </c>
      <c r="R126" s="47">
        <f t="shared" si="79"/>
        <v>10000</v>
      </c>
      <c r="S126" s="47">
        <f t="shared" si="79"/>
        <v>10000</v>
      </c>
      <c r="T126" s="47">
        <f t="shared" si="79"/>
        <v>14158.333000000001</v>
      </c>
      <c r="U126" s="47">
        <f t="shared" si="79"/>
        <v>14158.333000000001</v>
      </c>
      <c r="V126" s="47">
        <f t="shared" si="79"/>
        <v>0</v>
      </c>
      <c r="W126" s="47">
        <f t="shared" si="79"/>
        <v>0</v>
      </c>
      <c r="X126" s="47">
        <f t="shared" si="79"/>
        <v>0</v>
      </c>
      <c r="Y126" s="47">
        <f t="shared" si="79"/>
        <v>0</v>
      </c>
      <c r="Z126" s="96"/>
      <c r="AA126" s="47">
        <f t="shared" si="79"/>
        <v>0</v>
      </c>
      <c r="AB126" s="47">
        <f t="shared" si="79"/>
        <v>0</v>
      </c>
      <c r="AC126" s="47">
        <f t="shared" si="79"/>
        <v>0</v>
      </c>
      <c r="AD126" s="47">
        <f t="shared" si="79"/>
        <v>0</v>
      </c>
      <c r="AE126" s="47">
        <f>AE127</f>
        <v>0</v>
      </c>
      <c r="AF126" s="47">
        <f>AF141+AJ126</f>
        <v>0</v>
      </c>
      <c r="AG126" s="47">
        <f>AG141</f>
        <v>0</v>
      </c>
      <c r="AH126" s="47">
        <f>AH141</f>
        <v>0</v>
      </c>
      <c r="AI126" s="47">
        <f>AI141</f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s="266" customFormat="1" ht="24.75" hidden="1" customHeight="1" x14ac:dyDescent="0.25">
      <c r="A127" s="539"/>
      <c r="B127" s="252" t="s">
        <v>290</v>
      </c>
      <c r="C127" s="363"/>
      <c r="D127" s="363"/>
      <c r="E127" s="363"/>
      <c r="F127" s="363"/>
      <c r="G127" s="363"/>
      <c r="H127" s="364"/>
      <c r="I127" s="614"/>
      <c r="J127" s="258"/>
      <c r="K127" s="96"/>
      <c r="L127" s="96"/>
      <c r="M127" s="96"/>
      <c r="N127" s="96"/>
      <c r="O127" s="96"/>
      <c r="P127" s="96"/>
      <c r="Q127" s="96">
        <f>S127+U127</f>
        <v>24158.332999999999</v>
      </c>
      <c r="R127" s="96">
        <f>S127</f>
        <v>10000</v>
      </c>
      <c r="S127" s="96">
        <v>10000</v>
      </c>
      <c r="T127" s="96">
        <f>U127</f>
        <v>14158.333000000001</v>
      </c>
      <c r="U127" s="96">
        <v>14158.333000000001</v>
      </c>
      <c r="V127" s="96"/>
      <c r="W127" s="96"/>
      <c r="X127" s="96"/>
      <c r="Y127" s="96"/>
      <c r="Z127" s="96"/>
      <c r="AA127" s="96">
        <f>SUM(AB127:AE127)</f>
        <v>0</v>
      </c>
      <c r="AB127" s="96"/>
      <c r="AC127" s="96"/>
      <c r="AD127" s="96"/>
      <c r="AE127" s="96">
        <v>0</v>
      </c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405"/>
      <c r="AQ127" s="96"/>
    </row>
    <row r="128" spans="1:45" ht="54" hidden="1" customHeight="1" x14ac:dyDescent="0.25">
      <c r="A128" s="1332" t="s">
        <v>60</v>
      </c>
      <c r="B128" s="1613" t="s">
        <v>45</v>
      </c>
      <c r="C128" s="1614"/>
      <c r="D128" s="1614"/>
      <c r="E128" s="1614"/>
      <c r="F128" s="1614"/>
      <c r="G128" s="1614"/>
      <c r="H128" s="1615"/>
      <c r="I128" s="23" t="s">
        <v>19</v>
      </c>
      <c r="J128" s="47">
        <v>0</v>
      </c>
      <c r="K128" s="47">
        <f>K131</f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42.75" hidden="1" customHeight="1" x14ac:dyDescent="0.25">
      <c r="A129" s="1333"/>
      <c r="B129" s="1616"/>
      <c r="C129" s="1617"/>
      <c r="D129" s="1617"/>
      <c r="E129" s="1617"/>
      <c r="F129" s="1617"/>
      <c r="G129" s="1617"/>
      <c r="H129" s="1618"/>
      <c r="I129" s="23" t="s">
        <v>20</v>
      </c>
      <c r="J129" s="47">
        <f>J138</f>
        <v>4106.3500000000004</v>
      </c>
      <c r="K129" s="47">
        <v>0</v>
      </c>
      <c r="L129" s="47">
        <f>L138</f>
        <v>6022.96</v>
      </c>
      <c r="M129" s="47">
        <f>M138</f>
        <v>0</v>
      </c>
      <c r="N129" s="47">
        <f t="shared" ref="N129:AO129" si="80">N138</f>
        <v>980</v>
      </c>
      <c r="O129" s="47">
        <f t="shared" si="80"/>
        <v>0</v>
      </c>
      <c r="P129" s="47">
        <f t="shared" si="80"/>
        <v>420.48</v>
      </c>
      <c r="Q129" s="47">
        <f t="shared" si="80"/>
        <v>0</v>
      </c>
      <c r="R129" s="47">
        <f t="shared" si="80"/>
        <v>0</v>
      </c>
      <c r="S129" s="47">
        <f t="shared" si="80"/>
        <v>0</v>
      </c>
      <c r="T129" s="47">
        <f t="shared" si="80"/>
        <v>980</v>
      </c>
      <c r="U129" s="47">
        <f t="shared" si="80"/>
        <v>980</v>
      </c>
      <c r="V129" s="47">
        <f t="shared" si="80"/>
        <v>0</v>
      </c>
      <c r="W129" s="47">
        <f t="shared" si="80"/>
        <v>0</v>
      </c>
      <c r="X129" s="47">
        <f t="shared" si="80"/>
        <v>0</v>
      </c>
      <c r="Y129" s="47">
        <f t="shared" si="80"/>
        <v>0</v>
      </c>
      <c r="Z129" s="96"/>
      <c r="AA129" s="47">
        <f t="shared" si="80"/>
        <v>0</v>
      </c>
      <c r="AB129" s="47">
        <f t="shared" si="80"/>
        <v>0</v>
      </c>
      <c r="AC129" s="47">
        <f t="shared" si="80"/>
        <v>0</v>
      </c>
      <c r="AD129" s="47">
        <f t="shared" si="80"/>
        <v>0</v>
      </c>
      <c r="AE129" s="47">
        <f t="shared" si="80"/>
        <v>0</v>
      </c>
      <c r="AF129" s="47">
        <f t="shared" si="80"/>
        <v>0</v>
      </c>
      <c r="AG129" s="47">
        <f t="shared" si="80"/>
        <v>0</v>
      </c>
      <c r="AH129" s="47">
        <f t="shared" si="80"/>
        <v>0</v>
      </c>
      <c r="AI129" s="47">
        <f t="shared" si="80"/>
        <v>0</v>
      </c>
      <c r="AJ129" s="47">
        <f t="shared" si="80"/>
        <v>0</v>
      </c>
      <c r="AK129" s="47">
        <f t="shared" si="80"/>
        <v>420.48</v>
      </c>
      <c r="AL129" s="47">
        <f t="shared" si="80"/>
        <v>420.48</v>
      </c>
      <c r="AM129" s="47">
        <f t="shared" si="80"/>
        <v>0</v>
      </c>
      <c r="AN129" s="47">
        <f t="shared" si="80"/>
        <v>0</v>
      </c>
      <c r="AO129" s="47">
        <f t="shared" si="80"/>
        <v>0</v>
      </c>
      <c r="AP129" s="397"/>
      <c r="AQ129" s="96"/>
    </row>
    <row r="130" spans="1:43" ht="25.5" hidden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10</v>
      </c>
      <c r="J130" s="47">
        <v>0</v>
      </c>
      <c r="K130" s="47">
        <v>0</v>
      </c>
      <c r="L130" s="47">
        <f>M130+N130+O130</f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96"/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397"/>
      <c r="AQ130" s="96"/>
    </row>
    <row r="131" spans="1:43" ht="129" hidden="1" customHeight="1" x14ac:dyDescent="0.25">
      <c r="A131" s="1334"/>
      <c r="B131" s="1619"/>
      <c r="C131" s="1620"/>
      <c r="D131" s="1620"/>
      <c r="E131" s="1620"/>
      <c r="F131" s="1620"/>
      <c r="G131" s="1620"/>
      <c r="H131" s="1621"/>
      <c r="I131" s="23" t="s">
        <v>9</v>
      </c>
      <c r="J131" s="47">
        <v>0</v>
      </c>
      <c r="K131" s="47"/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s="327" customFormat="1" ht="31.5" customHeight="1" x14ac:dyDescent="0.25">
      <c r="A132" s="789"/>
      <c r="B132" s="772" t="s">
        <v>405</v>
      </c>
      <c r="C132" s="312"/>
      <c r="D132" s="312"/>
      <c r="E132" s="312"/>
      <c r="F132" s="312"/>
      <c r="G132" s="312"/>
      <c r="H132" s="1067"/>
      <c r="I132" s="1093"/>
      <c r="J132" s="1074"/>
      <c r="K132" s="3"/>
      <c r="L132" s="3"/>
      <c r="M132" s="3"/>
      <c r="N132" s="3"/>
      <c r="O132" s="3"/>
      <c r="P132" s="3">
        <f>SUM(P133:P134)</f>
        <v>2820.43</v>
      </c>
      <c r="Q132" s="3">
        <f t="shared" ref="Q132:AA132" si="81">SUM(Q133:Q134)</f>
        <v>0</v>
      </c>
      <c r="R132" s="3">
        <f t="shared" si="81"/>
        <v>0</v>
      </c>
      <c r="S132" s="3">
        <f t="shared" si="81"/>
        <v>0</v>
      </c>
      <c r="T132" s="3">
        <f t="shared" si="81"/>
        <v>0</v>
      </c>
      <c r="U132" s="3">
        <f t="shared" si="81"/>
        <v>0</v>
      </c>
      <c r="V132" s="3">
        <f t="shared" si="81"/>
        <v>0</v>
      </c>
      <c r="W132" s="3">
        <f t="shared" si="81"/>
        <v>0</v>
      </c>
      <c r="X132" s="3">
        <f t="shared" si="81"/>
        <v>0</v>
      </c>
      <c r="Y132" s="3">
        <f t="shared" si="81"/>
        <v>0</v>
      </c>
      <c r="Z132" s="3">
        <f t="shared" si="81"/>
        <v>0</v>
      </c>
      <c r="AA132" s="3">
        <f t="shared" si="81"/>
        <v>0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18"/>
      <c r="AN132" s="3"/>
      <c r="AO132" s="3"/>
      <c r="AP132" s="633"/>
      <c r="AQ132" s="95"/>
    </row>
    <row r="133" spans="1:43" ht="15.75" x14ac:dyDescent="0.25">
      <c r="A133" s="1052"/>
      <c r="B133" s="42" t="s">
        <v>285</v>
      </c>
      <c r="C133" s="1086"/>
      <c r="D133" s="1086"/>
      <c r="E133" s="1086"/>
      <c r="F133" s="1086"/>
      <c r="G133" s="1086"/>
      <c r="H133" s="1087"/>
      <c r="I133" s="1053"/>
      <c r="J133" s="4"/>
      <c r="K133" s="47"/>
      <c r="L133" s="47"/>
      <c r="M133" s="47"/>
      <c r="N133" s="47"/>
      <c r="O133" s="47"/>
      <c r="P133" s="47">
        <v>508</v>
      </c>
      <c r="Q133" s="47">
        <v>0</v>
      </c>
      <c r="R133" s="47"/>
      <c r="S133" s="47"/>
      <c r="T133" s="47"/>
      <c r="U133" s="47"/>
      <c r="V133" s="47"/>
      <c r="W133" s="47"/>
      <c r="X133" s="47"/>
      <c r="Y133" s="47"/>
      <c r="Z133" s="96"/>
      <c r="AA133" s="47">
        <v>0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"/>
      <c r="AN133" s="47"/>
      <c r="AO133" s="47"/>
      <c r="AP133" s="397"/>
      <c r="AQ133" s="96"/>
    </row>
    <row r="134" spans="1:43" ht="17.25" customHeight="1" x14ac:dyDescent="0.25">
      <c r="A134" s="1052"/>
      <c r="B134" s="42" t="s">
        <v>213</v>
      </c>
      <c r="C134" s="313"/>
      <c r="D134" s="313"/>
      <c r="E134" s="313"/>
      <c r="F134" s="313"/>
      <c r="G134" s="313"/>
      <c r="H134" s="1088"/>
      <c r="I134" s="1053"/>
      <c r="J134" s="1082"/>
      <c r="K134" s="47"/>
      <c r="L134" s="47"/>
      <c r="M134" s="47"/>
      <c r="N134" s="47"/>
      <c r="O134" s="47"/>
      <c r="P134" s="47">
        <v>2312.4299999999998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397"/>
      <c r="AQ134" s="96"/>
    </row>
    <row r="135" spans="1:43" s="327" customFormat="1" ht="31.5" customHeight="1" x14ac:dyDescent="0.25">
      <c r="A135" s="789"/>
      <c r="B135" s="772" t="s">
        <v>406</v>
      </c>
      <c r="C135" s="312"/>
      <c r="D135" s="312"/>
      <c r="E135" s="312"/>
      <c r="F135" s="312"/>
      <c r="G135" s="312"/>
      <c r="H135" s="1067"/>
      <c r="I135" s="1093"/>
      <c r="J135" s="1074"/>
      <c r="K135" s="3"/>
      <c r="L135" s="3"/>
      <c r="M135" s="3"/>
      <c r="N135" s="3"/>
      <c r="O135" s="3"/>
      <c r="P135" s="3">
        <f>SUM(P136:P137)</f>
        <v>3423.47</v>
      </c>
      <c r="Q135" s="3">
        <f t="shared" ref="Q135:AA135" si="82">SUM(Q136:Q137)</f>
        <v>0</v>
      </c>
      <c r="R135" s="3">
        <f t="shared" si="82"/>
        <v>0</v>
      </c>
      <c r="S135" s="3">
        <f t="shared" si="82"/>
        <v>0</v>
      </c>
      <c r="T135" s="3">
        <f t="shared" si="82"/>
        <v>0</v>
      </c>
      <c r="U135" s="3">
        <f t="shared" si="82"/>
        <v>0</v>
      </c>
      <c r="V135" s="3">
        <f t="shared" si="82"/>
        <v>0</v>
      </c>
      <c r="W135" s="3">
        <f t="shared" si="82"/>
        <v>0</v>
      </c>
      <c r="X135" s="3">
        <f t="shared" si="82"/>
        <v>0</v>
      </c>
      <c r="Y135" s="3">
        <f t="shared" si="82"/>
        <v>0</v>
      </c>
      <c r="Z135" s="3">
        <f t="shared" si="82"/>
        <v>0</v>
      </c>
      <c r="AA135" s="3">
        <f t="shared" si="82"/>
        <v>0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18"/>
      <c r="AN135" s="3"/>
      <c r="AO135" s="3"/>
      <c r="AP135" s="633"/>
      <c r="AQ135" s="95"/>
    </row>
    <row r="136" spans="1:43" ht="15.75" x14ac:dyDescent="0.25">
      <c r="A136" s="1052"/>
      <c r="B136" s="42" t="s">
        <v>285</v>
      </c>
      <c r="C136" s="1086"/>
      <c r="D136" s="1086"/>
      <c r="E136" s="1086"/>
      <c r="F136" s="1086"/>
      <c r="G136" s="1086"/>
      <c r="H136" s="1087"/>
      <c r="I136" s="1053"/>
      <c r="J136" s="4"/>
      <c r="K136" s="47"/>
      <c r="L136" s="47"/>
      <c r="M136" s="47"/>
      <c r="N136" s="47"/>
      <c r="O136" s="47"/>
      <c r="P136" s="47">
        <v>489</v>
      </c>
      <c r="Q136" s="47">
        <v>0</v>
      </c>
      <c r="R136" s="47"/>
      <c r="S136" s="47"/>
      <c r="T136" s="47"/>
      <c r="U136" s="47"/>
      <c r="V136" s="47"/>
      <c r="W136" s="47"/>
      <c r="X136" s="47"/>
      <c r="Y136" s="47"/>
      <c r="Z136" s="96"/>
      <c r="AA136" s="47">
        <v>0</v>
      </c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"/>
      <c r="AN136" s="47"/>
      <c r="AO136" s="47"/>
      <c r="AP136" s="397"/>
      <c r="AQ136" s="96"/>
    </row>
    <row r="137" spans="1:43" ht="17.25" customHeight="1" x14ac:dyDescent="0.25">
      <c r="A137" s="1052"/>
      <c r="B137" s="42" t="s">
        <v>213</v>
      </c>
      <c r="C137" s="313"/>
      <c r="D137" s="313"/>
      <c r="E137" s="313"/>
      <c r="F137" s="313"/>
      <c r="G137" s="313"/>
      <c r="H137" s="1088"/>
      <c r="I137" s="1053"/>
      <c r="J137" s="1082"/>
      <c r="K137" s="47"/>
      <c r="L137" s="47"/>
      <c r="M137" s="47"/>
      <c r="N137" s="47"/>
      <c r="O137" s="47"/>
      <c r="P137" s="47">
        <v>2934.47</v>
      </c>
      <c r="Q137" s="47">
        <v>0</v>
      </c>
      <c r="R137" s="47"/>
      <c r="S137" s="47"/>
      <c r="T137" s="47"/>
      <c r="U137" s="47"/>
      <c r="V137" s="47"/>
      <c r="W137" s="47"/>
      <c r="X137" s="47"/>
      <c r="Y137" s="47"/>
      <c r="Z137" s="96"/>
      <c r="AA137" s="47">
        <v>0</v>
      </c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397"/>
      <c r="AQ137" s="96"/>
    </row>
    <row r="138" spans="1:43" s="327" customFormat="1" ht="30" customHeight="1" x14ac:dyDescent="0.25">
      <c r="A138" s="1372" t="s">
        <v>61</v>
      </c>
      <c r="B138" s="609" t="s">
        <v>88</v>
      </c>
      <c r="C138" s="790"/>
      <c r="D138" s="790"/>
      <c r="E138" s="790"/>
      <c r="F138" s="790"/>
      <c r="G138" s="790"/>
      <c r="H138" s="790"/>
      <c r="I138" s="1463" t="s">
        <v>20</v>
      </c>
      <c r="J138" s="1622">
        <v>4106.3500000000004</v>
      </c>
      <c r="K138" s="3">
        <v>0</v>
      </c>
      <c r="L138" s="3">
        <f>L139+L142</f>
        <v>6022.96</v>
      </c>
      <c r="M138" s="3">
        <f>M139+M142</f>
        <v>0</v>
      </c>
      <c r="N138" s="3">
        <f>N139+N142</f>
        <v>980</v>
      </c>
      <c r="O138" s="3">
        <f>O139+O142</f>
        <v>0</v>
      </c>
      <c r="P138" s="3">
        <f>P139+P142</f>
        <v>420.48</v>
      </c>
      <c r="Q138" s="3">
        <f t="shared" ref="Q138:AO138" si="83">Q139+Q142</f>
        <v>0</v>
      </c>
      <c r="R138" s="3">
        <f t="shared" si="83"/>
        <v>0</v>
      </c>
      <c r="S138" s="3">
        <f t="shared" si="83"/>
        <v>0</v>
      </c>
      <c r="T138" s="3">
        <f t="shared" si="83"/>
        <v>980</v>
      </c>
      <c r="U138" s="3">
        <f t="shared" si="83"/>
        <v>980</v>
      </c>
      <c r="V138" s="3">
        <f t="shared" si="83"/>
        <v>0</v>
      </c>
      <c r="W138" s="3">
        <f t="shared" si="83"/>
        <v>0</v>
      </c>
      <c r="X138" s="3">
        <f t="shared" si="83"/>
        <v>0</v>
      </c>
      <c r="Y138" s="3">
        <f t="shared" si="83"/>
        <v>0</v>
      </c>
      <c r="Z138" s="95">
        <v>0</v>
      </c>
      <c r="AA138" s="3">
        <f t="shared" si="83"/>
        <v>0</v>
      </c>
      <c r="AB138" s="3">
        <f>AB139+AB142</f>
        <v>0</v>
      </c>
      <c r="AC138" s="3">
        <f>AC139+AC142</f>
        <v>0</v>
      </c>
      <c r="AD138" s="3">
        <f>AD139+AD142</f>
        <v>0</v>
      </c>
      <c r="AE138" s="3">
        <f>AE139+AE142</f>
        <v>0</v>
      </c>
      <c r="AF138" s="3">
        <f t="shared" si="83"/>
        <v>0</v>
      </c>
      <c r="AG138" s="3">
        <f t="shared" si="83"/>
        <v>0</v>
      </c>
      <c r="AH138" s="3">
        <f t="shared" si="83"/>
        <v>0</v>
      </c>
      <c r="AI138" s="3">
        <f t="shared" si="83"/>
        <v>0</v>
      </c>
      <c r="AJ138" s="3">
        <f t="shared" si="83"/>
        <v>0</v>
      </c>
      <c r="AK138" s="3">
        <f>P138-Q138</f>
        <v>420.48</v>
      </c>
      <c r="AL138" s="3">
        <f>AK138</f>
        <v>420.48</v>
      </c>
      <c r="AM138" s="318">
        <f>ROUND((Q138*100%/P138*100),2)</f>
        <v>0</v>
      </c>
      <c r="AN138" s="3">
        <f t="shared" si="83"/>
        <v>0</v>
      </c>
      <c r="AO138" s="3">
        <f t="shared" si="83"/>
        <v>0</v>
      </c>
      <c r="AP138" s="633" t="s">
        <v>256</v>
      </c>
      <c r="AQ138" s="95">
        <v>0</v>
      </c>
    </row>
    <row r="139" spans="1:43" x14ac:dyDescent="0.25">
      <c r="A139" s="1382"/>
      <c r="B139" s="23" t="s">
        <v>15</v>
      </c>
      <c r="C139" s="46"/>
      <c r="D139" s="46"/>
      <c r="E139" s="46"/>
      <c r="F139" s="46"/>
      <c r="G139" s="1055">
        <v>2019</v>
      </c>
      <c r="H139" s="1055">
        <v>2019</v>
      </c>
      <c r="I139" s="1464"/>
      <c r="J139" s="1623"/>
      <c r="K139" s="47"/>
      <c r="L139" s="47">
        <v>1000</v>
      </c>
      <c r="M139" s="47">
        <v>0</v>
      </c>
      <c r="N139" s="47">
        <v>980</v>
      </c>
      <c r="O139" s="47">
        <v>0</v>
      </c>
      <c r="P139" s="47">
        <v>0</v>
      </c>
      <c r="Q139" s="47">
        <v>0</v>
      </c>
      <c r="R139" s="47">
        <f t="shared" ref="R139:AA139" si="84">R140+R141</f>
        <v>0</v>
      </c>
      <c r="S139" s="47">
        <f t="shared" si="84"/>
        <v>0</v>
      </c>
      <c r="T139" s="47">
        <f t="shared" si="84"/>
        <v>980</v>
      </c>
      <c r="U139" s="47">
        <f t="shared" si="84"/>
        <v>980</v>
      </c>
      <c r="V139" s="47">
        <f t="shared" si="84"/>
        <v>0</v>
      </c>
      <c r="W139" s="47">
        <f t="shared" si="84"/>
        <v>0</v>
      </c>
      <c r="X139" s="47">
        <f t="shared" si="84"/>
        <v>0</v>
      </c>
      <c r="Y139" s="47">
        <f t="shared" si="84"/>
        <v>0</v>
      </c>
      <c r="Z139" s="96"/>
      <c r="AA139" s="47">
        <f t="shared" si="84"/>
        <v>0</v>
      </c>
      <c r="AB139" s="47">
        <f>AB140+AB141</f>
        <v>0</v>
      </c>
      <c r="AC139" s="47">
        <f>AC140+AC141</f>
        <v>0</v>
      </c>
      <c r="AD139" s="47">
        <f>AD140+AD141</f>
        <v>0</v>
      </c>
      <c r="AE139" s="47">
        <f>AE140+AE141</f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397"/>
      <c r="AQ139" s="96"/>
    </row>
    <row r="140" spans="1:43" s="266" customFormat="1" hidden="1" x14ac:dyDescent="0.25">
      <c r="A140" s="1382"/>
      <c r="B140" s="443" t="s">
        <v>251</v>
      </c>
      <c r="C140" s="444"/>
      <c r="D140" s="444"/>
      <c r="E140" s="444"/>
      <c r="F140" s="444"/>
      <c r="G140" s="262"/>
      <c r="H140" s="262"/>
      <c r="I140" s="1464"/>
      <c r="J140" s="1623"/>
      <c r="K140" s="96"/>
      <c r="L140" s="96"/>
      <c r="M140" s="96"/>
      <c r="N140" s="96"/>
      <c r="O140" s="96"/>
      <c r="P140" s="96">
        <v>0</v>
      </c>
      <c r="Q140" s="96">
        <f>S140+U140</f>
        <v>980</v>
      </c>
      <c r="R140" s="96">
        <v>0</v>
      </c>
      <c r="S140" s="96">
        <v>0</v>
      </c>
      <c r="T140" s="96">
        <f>U140</f>
        <v>980</v>
      </c>
      <c r="U140" s="96">
        <v>980</v>
      </c>
      <c r="V140" s="96"/>
      <c r="W140" s="96"/>
      <c r="X140" s="96"/>
      <c r="Y140" s="96"/>
      <c r="Z140" s="96"/>
      <c r="AA140" s="96">
        <f>AB140</f>
        <v>0</v>
      </c>
      <c r="AB140" s="96">
        <v>0</v>
      </c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405"/>
      <c r="AQ140" s="96"/>
    </row>
    <row r="141" spans="1:43" s="266" customFormat="1" hidden="1" x14ac:dyDescent="0.25">
      <c r="A141" s="1382"/>
      <c r="B141" s="443" t="s">
        <v>252</v>
      </c>
      <c r="C141" s="444"/>
      <c r="D141" s="444"/>
      <c r="E141" s="444"/>
      <c r="F141" s="444"/>
      <c r="G141" s="262"/>
      <c r="H141" s="262"/>
      <c r="I141" s="1464"/>
      <c r="J141" s="1623"/>
      <c r="K141" s="96"/>
      <c r="L141" s="96"/>
      <c r="M141" s="96"/>
      <c r="N141" s="96"/>
      <c r="O141" s="96"/>
      <c r="P141" s="96"/>
      <c r="Q141" s="96">
        <f>S141</f>
        <v>0</v>
      </c>
      <c r="R141" s="96">
        <f>S141</f>
        <v>0</v>
      </c>
      <c r="S141" s="96">
        <v>0</v>
      </c>
      <c r="T141" s="96"/>
      <c r="U141" s="96"/>
      <c r="V141" s="96"/>
      <c r="W141" s="96"/>
      <c r="X141" s="96"/>
      <c r="Y141" s="96"/>
      <c r="Z141" s="96"/>
      <c r="AA141" s="96">
        <f>AB141</f>
        <v>0</v>
      </c>
      <c r="AB141" s="96">
        <v>0</v>
      </c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405"/>
      <c r="AQ141" s="96"/>
    </row>
    <row r="142" spans="1:43" x14ac:dyDescent="0.25">
      <c r="A142" s="1383"/>
      <c r="B142" s="23" t="s">
        <v>16</v>
      </c>
      <c r="C142" s="46"/>
      <c r="D142" s="46"/>
      <c r="E142" s="46"/>
      <c r="F142" s="46"/>
      <c r="G142" s="1055">
        <v>2020</v>
      </c>
      <c r="H142" s="1055">
        <v>2021</v>
      </c>
      <c r="I142" s="1465"/>
      <c r="J142" s="1624"/>
      <c r="K142" s="47"/>
      <c r="L142" s="47">
        <v>5022.96</v>
      </c>
      <c r="M142" s="47">
        <v>0</v>
      </c>
      <c r="N142" s="47">
        <v>0</v>
      </c>
      <c r="O142" s="47">
        <v>0</v>
      </c>
      <c r="P142" s="47">
        <v>420.48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96">
        <v>0</v>
      </c>
      <c r="Y142" s="96">
        <v>0</v>
      </c>
      <c r="Z142" s="96"/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327" customFormat="1" ht="30" customHeight="1" x14ac:dyDescent="0.25">
      <c r="A143" s="1372" t="s">
        <v>61</v>
      </c>
      <c r="B143" s="609" t="s">
        <v>407</v>
      </c>
      <c r="C143" s="790"/>
      <c r="D143" s="790"/>
      <c r="E143" s="790"/>
      <c r="F143" s="790"/>
      <c r="G143" s="790"/>
      <c r="H143" s="790"/>
      <c r="I143" s="1463" t="s">
        <v>20</v>
      </c>
      <c r="J143" s="1622">
        <v>4106.3500000000004</v>
      </c>
      <c r="K143" s="3">
        <v>0</v>
      </c>
      <c r="L143" s="3">
        <f>L144+L147</f>
        <v>6022.96</v>
      </c>
      <c r="M143" s="3">
        <f>M144+M147</f>
        <v>0</v>
      </c>
      <c r="N143" s="3">
        <f>N144+N147</f>
        <v>980</v>
      </c>
      <c r="O143" s="3">
        <f>O144+O147</f>
        <v>0</v>
      </c>
      <c r="P143" s="3">
        <f>P144+P147</f>
        <v>1281.25</v>
      </c>
      <c r="Q143" s="3">
        <f t="shared" ref="Q143:Y143" si="85">Q144+Q147</f>
        <v>0</v>
      </c>
      <c r="R143" s="3">
        <f t="shared" si="85"/>
        <v>0</v>
      </c>
      <c r="S143" s="3">
        <f t="shared" si="85"/>
        <v>0</v>
      </c>
      <c r="T143" s="3">
        <f t="shared" si="85"/>
        <v>980</v>
      </c>
      <c r="U143" s="3">
        <f t="shared" si="85"/>
        <v>980</v>
      </c>
      <c r="V143" s="3">
        <f t="shared" si="85"/>
        <v>0</v>
      </c>
      <c r="W143" s="3">
        <f t="shared" si="85"/>
        <v>0</v>
      </c>
      <c r="X143" s="3">
        <f t="shared" si="85"/>
        <v>0</v>
      </c>
      <c r="Y143" s="3">
        <f t="shared" si="85"/>
        <v>0</v>
      </c>
      <c r="Z143" s="95">
        <v>0</v>
      </c>
      <c r="AA143" s="3">
        <f t="shared" ref="AA143" si="86">AA144+AA147</f>
        <v>0</v>
      </c>
      <c r="AB143" s="3">
        <f>AB144+AB147</f>
        <v>0</v>
      </c>
      <c r="AC143" s="3">
        <f>AC144+AC147</f>
        <v>0</v>
      </c>
      <c r="AD143" s="3">
        <f>AD144+AD147</f>
        <v>0</v>
      </c>
      <c r="AE143" s="3">
        <f>AE144+AE147</f>
        <v>0</v>
      </c>
      <c r="AF143" s="3">
        <f t="shared" ref="AF143:AJ143" si="87">AF144+AF147</f>
        <v>0</v>
      </c>
      <c r="AG143" s="3">
        <f t="shared" si="87"/>
        <v>0</v>
      </c>
      <c r="AH143" s="3">
        <f t="shared" si="87"/>
        <v>0</v>
      </c>
      <c r="AI143" s="3">
        <f t="shared" si="87"/>
        <v>0</v>
      </c>
      <c r="AJ143" s="3">
        <f t="shared" si="87"/>
        <v>0</v>
      </c>
      <c r="AK143" s="3">
        <f>P143-Q143</f>
        <v>1281.25</v>
      </c>
      <c r="AL143" s="3">
        <f>AK143</f>
        <v>1281.25</v>
      </c>
      <c r="AM143" s="318">
        <f>ROUND((Q143*100%/P143*100),2)</f>
        <v>0</v>
      </c>
      <c r="AN143" s="3">
        <f t="shared" ref="AN143:AO143" si="88">AN144+AN147</f>
        <v>0</v>
      </c>
      <c r="AO143" s="3">
        <f t="shared" si="88"/>
        <v>0</v>
      </c>
      <c r="AP143" s="633" t="s">
        <v>256</v>
      </c>
      <c r="AQ143" s="95">
        <v>0</v>
      </c>
    </row>
    <row r="144" spans="1:43" x14ac:dyDescent="0.25">
      <c r="A144" s="1382"/>
      <c r="B144" s="23" t="s">
        <v>15</v>
      </c>
      <c r="C144" s="46"/>
      <c r="D144" s="46"/>
      <c r="E144" s="46"/>
      <c r="F144" s="46"/>
      <c r="G144" s="1055">
        <v>2019</v>
      </c>
      <c r="H144" s="1055">
        <v>2019</v>
      </c>
      <c r="I144" s="1464"/>
      <c r="J144" s="1623"/>
      <c r="K144" s="47"/>
      <c r="L144" s="47">
        <v>1000</v>
      </c>
      <c r="M144" s="47">
        <v>0</v>
      </c>
      <c r="N144" s="47">
        <v>980</v>
      </c>
      <c r="O144" s="47">
        <v>0</v>
      </c>
      <c r="P144" s="47">
        <v>377.91</v>
      </c>
      <c r="Q144" s="47">
        <v>0</v>
      </c>
      <c r="R144" s="47">
        <f t="shared" ref="R144:Y144" si="89">R145+R146</f>
        <v>0</v>
      </c>
      <c r="S144" s="47">
        <f t="shared" si="89"/>
        <v>0</v>
      </c>
      <c r="T144" s="47">
        <f t="shared" si="89"/>
        <v>980</v>
      </c>
      <c r="U144" s="47">
        <f t="shared" si="89"/>
        <v>980</v>
      </c>
      <c r="V144" s="47">
        <f t="shared" si="89"/>
        <v>0</v>
      </c>
      <c r="W144" s="47">
        <f t="shared" si="89"/>
        <v>0</v>
      </c>
      <c r="X144" s="47">
        <f t="shared" si="89"/>
        <v>0</v>
      </c>
      <c r="Y144" s="47">
        <f t="shared" si="89"/>
        <v>0</v>
      </c>
      <c r="Z144" s="96"/>
      <c r="AA144" s="47">
        <f t="shared" ref="AA144" si="90">AA145+AA146</f>
        <v>0</v>
      </c>
      <c r="AB144" s="47">
        <f>AB145+AB146</f>
        <v>0</v>
      </c>
      <c r="AC144" s="47">
        <f>AC145+AC146</f>
        <v>0</v>
      </c>
      <c r="AD144" s="47">
        <f>AD145+AD146</f>
        <v>0</v>
      </c>
      <c r="AE144" s="47">
        <f>AE145+AE146</f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397"/>
      <c r="AQ144" s="96"/>
    </row>
    <row r="145" spans="1:43" s="266" customFormat="1" hidden="1" x14ac:dyDescent="0.25">
      <c r="A145" s="1382"/>
      <c r="B145" s="443" t="s">
        <v>251</v>
      </c>
      <c r="C145" s="444"/>
      <c r="D145" s="444"/>
      <c r="E145" s="444"/>
      <c r="F145" s="444"/>
      <c r="G145" s="262"/>
      <c r="H145" s="262"/>
      <c r="I145" s="1464"/>
      <c r="J145" s="1623"/>
      <c r="K145" s="96"/>
      <c r="L145" s="96"/>
      <c r="M145" s="96"/>
      <c r="N145" s="96"/>
      <c r="O145" s="96"/>
      <c r="P145" s="96">
        <v>0</v>
      </c>
      <c r="Q145" s="96">
        <f>S145+U145</f>
        <v>980</v>
      </c>
      <c r="R145" s="96">
        <v>0</v>
      </c>
      <c r="S145" s="96">
        <v>0</v>
      </c>
      <c r="T145" s="96">
        <f>U145</f>
        <v>980</v>
      </c>
      <c r="U145" s="96">
        <v>980</v>
      </c>
      <c r="V145" s="96"/>
      <c r="W145" s="96"/>
      <c r="X145" s="96"/>
      <c r="Y145" s="96"/>
      <c r="Z145" s="96"/>
      <c r="AA145" s="96">
        <f>AB145</f>
        <v>0</v>
      </c>
      <c r="AB145" s="96">
        <v>0</v>
      </c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405"/>
      <c r="AQ145" s="96"/>
    </row>
    <row r="146" spans="1:43" s="266" customFormat="1" hidden="1" x14ac:dyDescent="0.25">
      <c r="A146" s="1382"/>
      <c r="B146" s="443" t="s">
        <v>252</v>
      </c>
      <c r="C146" s="444"/>
      <c r="D146" s="444"/>
      <c r="E146" s="444"/>
      <c r="F146" s="444"/>
      <c r="G146" s="262"/>
      <c r="H146" s="262"/>
      <c r="I146" s="1464"/>
      <c r="J146" s="1623"/>
      <c r="K146" s="96"/>
      <c r="L146" s="96"/>
      <c r="M146" s="96"/>
      <c r="N146" s="96"/>
      <c r="O146" s="96"/>
      <c r="P146" s="96"/>
      <c r="Q146" s="96">
        <f>S146</f>
        <v>0</v>
      </c>
      <c r="R146" s="96">
        <f>S146</f>
        <v>0</v>
      </c>
      <c r="S146" s="96">
        <v>0</v>
      </c>
      <c r="T146" s="96"/>
      <c r="U146" s="96"/>
      <c r="V146" s="96"/>
      <c r="W146" s="96"/>
      <c r="X146" s="96"/>
      <c r="Y146" s="96"/>
      <c r="Z146" s="96"/>
      <c r="AA146" s="96">
        <f>AB146</f>
        <v>0</v>
      </c>
      <c r="AB146" s="96">
        <v>0</v>
      </c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405"/>
      <c r="AQ146" s="96"/>
    </row>
    <row r="147" spans="1:43" x14ac:dyDescent="0.25">
      <c r="A147" s="1383"/>
      <c r="B147" s="23" t="s">
        <v>16</v>
      </c>
      <c r="C147" s="46"/>
      <c r="D147" s="46"/>
      <c r="E147" s="46"/>
      <c r="F147" s="46"/>
      <c r="G147" s="1055">
        <v>2020</v>
      </c>
      <c r="H147" s="1055">
        <v>2021</v>
      </c>
      <c r="I147" s="1465"/>
      <c r="J147" s="1624"/>
      <c r="K147" s="47"/>
      <c r="L147" s="47">
        <v>5022.96</v>
      </c>
      <c r="M147" s="47">
        <v>0</v>
      </c>
      <c r="N147" s="47">
        <v>0</v>
      </c>
      <c r="O147" s="47">
        <v>0</v>
      </c>
      <c r="P147" s="47">
        <v>903.34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96">
        <v>0</v>
      </c>
      <c r="Y147" s="96">
        <v>0</v>
      </c>
      <c r="Z147" s="96"/>
      <c r="AA147" s="47">
        <v>0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327" customFormat="1" ht="30" customHeight="1" x14ac:dyDescent="0.25">
      <c r="A148" s="1372" t="s">
        <v>61</v>
      </c>
      <c r="B148" s="609" t="s">
        <v>408</v>
      </c>
      <c r="C148" s="790"/>
      <c r="D148" s="790"/>
      <c r="E148" s="790"/>
      <c r="F148" s="790"/>
      <c r="G148" s="790"/>
      <c r="H148" s="790"/>
      <c r="I148" s="1463" t="s">
        <v>20</v>
      </c>
      <c r="J148" s="1622">
        <v>4106.3500000000004</v>
      </c>
      <c r="K148" s="3">
        <v>0</v>
      </c>
      <c r="L148" s="3">
        <f>L149+L152</f>
        <v>6022.96</v>
      </c>
      <c r="M148" s="3">
        <f>M149+M152</f>
        <v>0</v>
      </c>
      <c r="N148" s="3">
        <f>N149+N152</f>
        <v>980</v>
      </c>
      <c r="O148" s="3">
        <f>O149+O152</f>
        <v>0</v>
      </c>
      <c r="P148" s="3">
        <f>P149+P152</f>
        <v>1281.2539999999999</v>
      </c>
      <c r="Q148" s="3">
        <f t="shared" ref="Q148:Y148" si="91">Q149+Q152</f>
        <v>0</v>
      </c>
      <c r="R148" s="3">
        <f t="shared" si="91"/>
        <v>0</v>
      </c>
      <c r="S148" s="3">
        <f t="shared" si="91"/>
        <v>0</v>
      </c>
      <c r="T148" s="3">
        <f t="shared" si="91"/>
        <v>980</v>
      </c>
      <c r="U148" s="3">
        <f t="shared" si="91"/>
        <v>980</v>
      </c>
      <c r="V148" s="3">
        <f t="shared" si="91"/>
        <v>0</v>
      </c>
      <c r="W148" s="3">
        <f t="shared" si="91"/>
        <v>0</v>
      </c>
      <c r="X148" s="3">
        <f t="shared" si="91"/>
        <v>0</v>
      </c>
      <c r="Y148" s="3">
        <f t="shared" si="91"/>
        <v>0</v>
      </c>
      <c r="Z148" s="95">
        <v>0</v>
      </c>
      <c r="AA148" s="3">
        <f t="shared" ref="AA148" si="92">AA149+AA152</f>
        <v>0</v>
      </c>
      <c r="AB148" s="3">
        <f>AB149+AB152</f>
        <v>0</v>
      </c>
      <c r="AC148" s="3">
        <f>AC149+AC152</f>
        <v>0</v>
      </c>
      <c r="AD148" s="3">
        <f>AD149+AD152</f>
        <v>0</v>
      </c>
      <c r="AE148" s="3">
        <f>AE149+AE152</f>
        <v>0</v>
      </c>
      <c r="AF148" s="3">
        <f t="shared" ref="AF148:AJ148" si="93">AF149+AF152</f>
        <v>0</v>
      </c>
      <c r="AG148" s="3">
        <f t="shared" si="93"/>
        <v>0</v>
      </c>
      <c r="AH148" s="3">
        <f t="shared" si="93"/>
        <v>0</v>
      </c>
      <c r="AI148" s="3">
        <f t="shared" si="93"/>
        <v>0</v>
      </c>
      <c r="AJ148" s="3">
        <f t="shared" si="93"/>
        <v>0</v>
      </c>
      <c r="AK148" s="3">
        <f>P148-Q148</f>
        <v>1281.2539999999999</v>
      </c>
      <c r="AL148" s="3">
        <f>AK148</f>
        <v>1281.2539999999999</v>
      </c>
      <c r="AM148" s="318">
        <f>ROUND((Q148*100%/P148*100),2)</f>
        <v>0</v>
      </c>
      <c r="AN148" s="3">
        <f t="shared" ref="AN148:AO148" si="94">AN149+AN152</f>
        <v>0</v>
      </c>
      <c r="AO148" s="3">
        <f t="shared" si="94"/>
        <v>0</v>
      </c>
      <c r="AP148" s="633" t="s">
        <v>256</v>
      </c>
      <c r="AQ148" s="95">
        <v>0</v>
      </c>
    </row>
    <row r="149" spans="1:43" x14ac:dyDescent="0.25">
      <c r="A149" s="1382"/>
      <c r="B149" s="23" t="s">
        <v>15</v>
      </c>
      <c r="C149" s="46"/>
      <c r="D149" s="46"/>
      <c r="E149" s="46"/>
      <c r="F149" s="46"/>
      <c r="G149" s="1055">
        <v>2019</v>
      </c>
      <c r="H149" s="1055">
        <v>2019</v>
      </c>
      <c r="I149" s="1464"/>
      <c r="J149" s="1623"/>
      <c r="K149" s="47"/>
      <c r="L149" s="47">
        <v>1000</v>
      </c>
      <c r="M149" s="47">
        <v>0</v>
      </c>
      <c r="N149" s="47">
        <v>980</v>
      </c>
      <c r="O149" s="47">
        <v>0</v>
      </c>
      <c r="P149" s="47">
        <v>377.91399999999999</v>
      </c>
      <c r="Q149" s="47">
        <v>0</v>
      </c>
      <c r="R149" s="47">
        <f t="shared" ref="R149:Y149" si="95">R150+R151</f>
        <v>0</v>
      </c>
      <c r="S149" s="47">
        <f t="shared" si="95"/>
        <v>0</v>
      </c>
      <c r="T149" s="47">
        <f t="shared" si="95"/>
        <v>980</v>
      </c>
      <c r="U149" s="47">
        <f t="shared" si="95"/>
        <v>980</v>
      </c>
      <c r="V149" s="47">
        <f t="shared" si="95"/>
        <v>0</v>
      </c>
      <c r="W149" s="47">
        <f t="shared" si="95"/>
        <v>0</v>
      </c>
      <c r="X149" s="47">
        <f t="shared" si="95"/>
        <v>0</v>
      </c>
      <c r="Y149" s="47">
        <f t="shared" si="95"/>
        <v>0</v>
      </c>
      <c r="Z149" s="96"/>
      <c r="AA149" s="47">
        <f t="shared" ref="AA149" si="96">AA150+AA151</f>
        <v>0</v>
      </c>
      <c r="AB149" s="47">
        <f>AB150+AB151</f>
        <v>0</v>
      </c>
      <c r="AC149" s="47">
        <f>AC150+AC151</f>
        <v>0</v>
      </c>
      <c r="AD149" s="47">
        <f>AD150+AD151</f>
        <v>0</v>
      </c>
      <c r="AE149" s="47">
        <f>AE150+AE151</f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397"/>
      <c r="AQ149" s="96"/>
    </row>
    <row r="150" spans="1:43" s="266" customFormat="1" hidden="1" x14ac:dyDescent="0.25">
      <c r="A150" s="1382"/>
      <c r="B150" s="443" t="s">
        <v>251</v>
      </c>
      <c r="C150" s="444"/>
      <c r="D150" s="444"/>
      <c r="E150" s="444"/>
      <c r="F150" s="444"/>
      <c r="G150" s="262"/>
      <c r="H150" s="262"/>
      <c r="I150" s="1464"/>
      <c r="J150" s="1623"/>
      <c r="K150" s="96"/>
      <c r="L150" s="96"/>
      <c r="M150" s="96"/>
      <c r="N150" s="96"/>
      <c r="O150" s="96"/>
      <c r="P150" s="96">
        <v>0</v>
      </c>
      <c r="Q150" s="96">
        <f>S150+U150</f>
        <v>980</v>
      </c>
      <c r="R150" s="96">
        <v>0</v>
      </c>
      <c r="S150" s="96">
        <v>0</v>
      </c>
      <c r="T150" s="96">
        <f>U150</f>
        <v>980</v>
      </c>
      <c r="U150" s="96">
        <v>980</v>
      </c>
      <c r="V150" s="96"/>
      <c r="W150" s="96"/>
      <c r="X150" s="96"/>
      <c r="Y150" s="96"/>
      <c r="Z150" s="96"/>
      <c r="AA150" s="96">
        <f>AB150</f>
        <v>0</v>
      </c>
      <c r="AB150" s="96">
        <v>0</v>
      </c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405"/>
      <c r="AQ150" s="96"/>
    </row>
    <row r="151" spans="1:43" s="266" customFormat="1" hidden="1" x14ac:dyDescent="0.25">
      <c r="A151" s="1382"/>
      <c r="B151" s="443" t="s">
        <v>252</v>
      </c>
      <c r="C151" s="444"/>
      <c r="D151" s="444"/>
      <c r="E151" s="444"/>
      <c r="F151" s="444"/>
      <c r="G151" s="262"/>
      <c r="H151" s="262"/>
      <c r="I151" s="1464"/>
      <c r="J151" s="1623"/>
      <c r="K151" s="96"/>
      <c r="L151" s="96"/>
      <c r="M151" s="96"/>
      <c r="N151" s="96"/>
      <c r="O151" s="96"/>
      <c r="P151" s="96"/>
      <c r="Q151" s="96">
        <f>S151</f>
        <v>0</v>
      </c>
      <c r="R151" s="96">
        <f>S151</f>
        <v>0</v>
      </c>
      <c r="S151" s="96">
        <v>0</v>
      </c>
      <c r="T151" s="96"/>
      <c r="U151" s="96"/>
      <c r="V151" s="96"/>
      <c r="W151" s="96"/>
      <c r="X151" s="96"/>
      <c r="Y151" s="96"/>
      <c r="Z151" s="96"/>
      <c r="AA151" s="96">
        <f>AB151</f>
        <v>0</v>
      </c>
      <c r="AB151" s="96">
        <v>0</v>
      </c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405"/>
      <c r="AQ151" s="96"/>
    </row>
    <row r="152" spans="1:43" x14ac:dyDescent="0.25">
      <c r="A152" s="1383"/>
      <c r="B152" s="23" t="s">
        <v>16</v>
      </c>
      <c r="C152" s="46"/>
      <c r="D152" s="46"/>
      <c r="E152" s="46"/>
      <c r="F152" s="46"/>
      <c r="G152" s="1055">
        <v>2020</v>
      </c>
      <c r="H152" s="1055">
        <v>2021</v>
      </c>
      <c r="I152" s="1465"/>
      <c r="J152" s="1624"/>
      <c r="K152" s="47"/>
      <c r="L152" s="47">
        <v>5022.96</v>
      </c>
      <c r="M152" s="47">
        <v>0</v>
      </c>
      <c r="N152" s="47">
        <v>0</v>
      </c>
      <c r="O152" s="47">
        <v>0</v>
      </c>
      <c r="P152" s="47">
        <v>903.34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96">
        <v>0</v>
      </c>
      <c r="Y152" s="96">
        <v>0</v>
      </c>
      <c r="Z152" s="96"/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ht="15.75" x14ac:dyDescent="0.25">
      <c r="A153" s="1059"/>
      <c r="B153" s="791"/>
      <c r="C153" s="792"/>
      <c r="D153" s="792"/>
      <c r="E153" s="792"/>
      <c r="F153" s="792"/>
      <c r="G153" s="313"/>
      <c r="H153" s="313"/>
      <c r="I153" s="793"/>
      <c r="J153" s="794"/>
      <c r="K153" s="795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7"/>
      <c r="Y153" s="797"/>
      <c r="Z153" s="797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8"/>
      <c r="AQ153" s="797"/>
    </row>
    <row r="154" spans="1:43" s="925" customFormat="1" ht="15.75" x14ac:dyDescent="0.25">
      <c r="A154" s="929" t="s">
        <v>13</v>
      </c>
      <c r="B154" s="926"/>
      <c r="C154" s="927"/>
      <c r="D154" s="927"/>
      <c r="E154" s="927"/>
      <c r="F154" s="927"/>
      <c r="G154" s="927"/>
      <c r="H154" s="927"/>
      <c r="I154" s="927"/>
      <c r="J154" s="927"/>
      <c r="K154" s="927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30"/>
      <c r="AQ154" s="928"/>
    </row>
    <row r="155" spans="1:43" s="934" customFormat="1" ht="12.75" x14ac:dyDescent="0.2">
      <c r="A155" s="1604" t="s">
        <v>443</v>
      </c>
      <c r="B155" s="1605"/>
      <c r="C155" s="1605"/>
      <c r="D155" s="1605"/>
      <c r="E155" s="1605"/>
      <c r="F155" s="1605"/>
      <c r="G155" s="1605"/>
      <c r="H155" s="1606"/>
      <c r="I155" s="931" t="s">
        <v>21</v>
      </c>
      <c r="J155" s="932">
        <f t="shared" ref="J155:AO155" si="97">J156+J157+J158+J159</f>
        <v>165965.11999999997</v>
      </c>
      <c r="K155" s="932">
        <f t="shared" si="97"/>
        <v>25354.1</v>
      </c>
      <c r="L155" s="932">
        <f t="shared" si="97"/>
        <v>1042119.19</v>
      </c>
      <c r="M155" s="932">
        <f t="shared" si="97"/>
        <v>571026.48</v>
      </c>
      <c r="N155" s="932">
        <f t="shared" si="97"/>
        <v>616839.18000000005</v>
      </c>
      <c r="O155" s="932">
        <f t="shared" si="97"/>
        <v>381271.67000000004</v>
      </c>
      <c r="P155" s="932">
        <f>P164+P167+P171+P180+P184+P187+P208+P213+P219+P225+P227+P238+P249+P252+P257+P260+P267+P269+P273+P278+P285+P288+P195+P198+P201+P229+P235+P242+P298+P308+P311</f>
        <v>292742.20000000007</v>
      </c>
      <c r="Q155" s="932">
        <f>Q164+Q167+Q171+Q180+Q184+Q187+Q208+Q213+Q219+Q225+Q227+Q238+Q249+Q252+Q257+Q260+Q267+Q269+Q273+Q278+Q285+Q288+Q195+Q198+Q201+Q229+Q235+Q242+Q298+Q308+Q311</f>
        <v>80537.290229999999</v>
      </c>
      <c r="R155" s="932">
        <f t="shared" ref="R155:Z155" si="98">R164+R167+R171+R180+R184+R187+R208+R213+R219+R225+R227+R238+R249+R252+R257+R260+R267+R269+R273+R278+R285+R288+R195+R198+R201+R229+R235+R242+R298+R308+R311</f>
        <v>23233.600000000002</v>
      </c>
      <c r="S155" s="932">
        <f t="shared" si="98"/>
        <v>26233.599999999999</v>
      </c>
      <c r="T155" s="932">
        <f t="shared" si="98"/>
        <v>25740.546000000002</v>
      </c>
      <c r="U155" s="932">
        <f t="shared" si="98"/>
        <v>27949.284000000003</v>
      </c>
      <c r="V155" s="932">
        <f t="shared" si="98"/>
        <v>54714.664999999994</v>
      </c>
      <c r="W155" s="932">
        <f t="shared" si="98"/>
        <v>55653.578999999998</v>
      </c>
      <c r="X155" s="932">
        <f t="shared" si="98"/>
        <v>21705.95</v>
      </c>
      <c r="Y155" s="932">
        <f t="shared" si="98"/>
        <v>21705.95</v>
      </c>
      <c r="Z155" s="932">
        <f t="shared" si="98"/>
        <v>21705.95</v>
      </c>
      <c r="AA155" s="932">
        <f>AA164+AA167+AA171+AA180+AA184+AA187+AA208+AA213+AA219+AA225+AA227+AA238+AA249+AA252+AA257+AA260+AA267+AA269+AA273+AA278+AA285+AA288+AA195+AA198+AA201+AA229+AA235+AA242+AA298+AA308+AA311</f>
        <v>88362.982699999993</v>
      </c>
      <c r="AB155" s="932">
        <f t="shared" si="97"/>
        <v>20471.075000000001</v>
      </c>
      <c r="AC155" s="932">
        <f t="shared" si="97"/>
        <v>35341.406000000003</v>
      </c>
      <c r="AD155" s="932">
        <f t="shared" si="97"/>
        <v>69790.480890000006</v>
      </c>
      <c r="AE155" s="932">
        <f t="shared" si="97"/>
        <v>0</v>
      </c>
      <c r="AF155" s="932">
        <f t="shared" si="97"/>
        <v>0</v>
      </c>
      <c r="AG155" s="932">
        <f t="shared" si="97"/>
        <v>0</v>
      </c>
      <c r="AH155" s="932">
        <f t="shared" si="97"/>
        <v>0</v>
      </c>
      <c r="AI155" s="932">
        <f t="shared" si="97"/>
        <v>0</v>
      </c>
      <c r="AJ155" s="932">
        <f t="shared" si="97"/>
        <v>0</v>
      </c>
      <c r="AK155" s="932">
        <f t="shared" si="97"/>
        <v>147253.24</v>
      </c>
      <c r="AL155" s="932">
        <f t="shared" si="97"/>
        <v>147253.24</v>
      </c>
      <c r="AM155" s="932" t="e">
        <f t="shared" si="97"/>
        <v>#DIV/0!</v>
      </c>
      <c r="AN155" s="932">
        <f t="shared" si="97"/>
        <v>0</v>
      </c>
      <c r="AO155" s="932">
        <f t="shared" si="97"/>
        <v>0</v>
      </c>
      <c r="AP155" s="933"/>
      <c r="AQ155" s="932">
        <f>AQ164+AQ167+AQ171+AQ180+AQ184+AQ187+AQ208+AQ213+AQ219+AQ225+AQ227+AQ238+AQ249+AQ252+AQ257+AQ260+AQ267+AQ269+AQ273+AQ278+AQ285+AQ288</f>
        <v>4894.7240000000002</v>
      </c>
    </row>
    <row r="156" spans="1:43" s="615" customFormat="1" ht="5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19</v>
      </c>
      <c r="J156" s="71">
        <f t="shared" ref="J156:AO159" si="99">J160+J204+J231</f>
        <v>152888.53999999998</v>
      </c>
      <c r="K156" s="71">
        <f t="shared" si="99"/>
        <v>25354.1</v>
      </c>
      <c r="L156" s="47">
        <f t="shared" si="99"/>
        <v>193023.18</v>
      </c>
      <c r="M156" s="47">
        <f t="shared" si="99"/>
        <v>42443.12</v>
      </c>
      <c r="N156" s="47">
        <f t="shared" si="99"/>
        <v>35331.160000000003</v>
      </c>
      <c r="O156" s="47">
        <f t="shared" si="99"/>
        <v>29531.94</v>
      </c>
      <c r="P156" s="47">
        <f t="shared" si="99"/>
        <v>100162.01</v>
      </c>
      <c r="Q156" s="47">
        <f t="shared" si="99"/>
        <v>0</v>
      </c>
      <c r="R156" s="47">
        <f t="shared" si="99"/>
        <v>743.47199999999998</v>
      </c>
      <c r="S156" s="47">
        <f t="shared" si="99"/>
        <v>3743.4719999999998</v>
      </c>
      <c r="T156" s="47">
        <f t="shared" si="99"/>
        <v>31.5</v>
      </c>
      <c r="U156" s="47">
        <f t="shared" si="99"/>
        <v>2236.8380000000002</v>
      </c>
      <c r="V156" s="47">
        <f t="shared" si="99"/>
        <v>0</v>
      </c>
      <c r="W156" s="47">
        <f t="shared" si="99"/>
        <v>0</v>
      </c>
      <c r="X156" s="47">
        <f t="shared" si="99"/>
        <v>0</v>
      </c>
      <c r="Y156" s="47">
        <f t="shared" si="99"/>
        <v>0</v>
      </c>
      <c r="Z156" s="96"/>
      <c r="AA156" s="47">
        <f t="shared" si="99"/>
        <v>0</v>
      </c>
      <c r="AB156" s="47">
        <f t="shared" si="99"/>
        <v>2948.8069999999998</v>
      </c>
      <c r="AC156" s="47">
        <f t="shared" si="99"/>
        <v>0</v>
      </c>
      <c r="AD156" s="47">
        <f t="shared" si="99"/>
        <v>31.5</v>
      </c>
      <c r="AE156" s="47">
        <f t="shared" si="99"/>
        <v>0</v>
      </c>
      <c r="AF156" s="47">
        <f t="shared" si="99"/>
        <v>0</v>
      </c>
      <c r="AG156" s="47">
        <f t="shared" si="99"/>
        <v>0</v>
      </c>
      <c r="AH156" s="47">
        <f t="shared" si="99"/>
        <v>0</v>
      </c>
      <c r="AI156" s="47">
        <f t="shared" si="99"/>
        <v>0</v>
      </c>
      <c r="AJ156" s="47">
        <f t="shared" si="99"/>
        <v>0</v>
      </c>
      <c r="AK156" s="47">
        <f t="shared" si="99"/>
        <v>28946.75</v>
      </c>
      <c r="AL156" s="47">
        <f t="shared" si="99"/>
        <v>28946.75</v>
      </c>
      <c r="AM156" s="47" t="e">
        <f t="shared" si="99"/>
        <v>#DIV/0!</v>
      </c>
      <c r="AN156" s="47">
        <f t="shared" si="99"/>
        <v>0</v>
      </c>
      <c r="AO156" s="47">
        <f t="shared" si="99"/>
        <v>0</v>
      </c>
      <c r="AP156" s="397"/>
      <c r="AQ156" s="96"/>
    </row>
    <row r="157" spans="1:43" s="615" customFormat="1" ht="45.75" hidden="1" customHeight="1" x14ac:dyDescent="0.2">
      <c r="A157" s="1607"/>
      <c r="B157" s="1608"/>
      <c r="C157" s="1608"/>
      <c r="D157" s="1608"/>
      <c r="E157" s="1608"/>
      <c r="F157" s="1608"/>
      <c r="G157" s="1608"/>
      <c r="H157" s="1609"/>
      <c r="I157" s="23" t="s">
        <v>20</v>
      </c>
      <c r="J157" s="71">
        <f t="shared" si="99"/>
        <v>13076.579999999998</v>
      </c>
      <c r="K157" s="71">
        <f t="shared" si="99"/>
        <v>0</v>
      </c>
      <c r="L157" s="47">
        <f t="shared" ref="L157:Y158" si="100">L161+L205+L232+L246</f>
        <v>353562.91999999993</v>
      </c>
      <c r="M157" s="47">
        <f t="shared" si="100"/>
        <v>36205.620000000003</v>
      </c>
      <c r="N157" s="47">
        <f t="shared" si="100"/>
        <v>88280.380000000019</v>
      </c>
      <c r="O157" s="47">
        <f t="shared" si="100"/>
        <v>53996.09</v>
      </c>
      <c r="P157" s="47">
        <f t="shared" si="100"/>
        <v>132010.46000000002</v>
      </c>
      <c r="Q157" s="47">
        <f t="shared" si="100"/>
        <v>2298.65</v>
      </c>
      <c r="R157" s="47">
        <f t="shared" si="100"/>
        <v>784.17799999999988</v>
      </c>
      <c r="S157" s="47">
        <f t="shared" si="100"/>
        <v>784.17799999999988</v>
      </c>
      <c r="T157" s="47">
        <f t="shared" si="100"/>
        <v>4003.096</v>
      </c>
      <c r="U157" s="47">
        <f t="shared" si="100"/>
        <v>4006.4960000000001</v>
      </c>
      <c r="V157" s="47">
        <f t="shared" si="100"/>
        <v>4331.41</v>
      </c>
      <c r="W157" s="47">
        <f t="shared" si="100"/>
        <v>5270.3239999999996</v>
      </c>
      <c r="X157" s="47">
        <f t="shared" si="100"/>
        <v>0</v>
      </c>
      <c r="Y157" s="47">
        <f t="shared" si="100"/>
        <v>0</v>
      </c>
      <c r="Z157" s="96"/>
      <c r="AA157" s="47">
        <f>AA161+AA205+AA232+AA246</f>
        <v>2340</v>
      </c>
      <c r="AB157" s="47">
        <f>AB161+AB205+AB232+AB246</f>
        <v>0</v>
      </c>
      <c r="AC157" s="47">
        <f>AC161+AC205+AC232+AC246</f>
        <v>3241.61</v>
      </c>
      <c r="AD157" s="47">
        <f>AD161+AD205+AD232+AD246</f>
        <v>69758.980890000006</v>
      </c>
      <c r="AE157" s="47">
        <f>AE161+AE205+AE232+AE246</f>
        <v>0</v>
      </c>
      <c r="AF157" s="47">
        <f t="shared" si="99"/>
        <v>0</v>
      </c>
      <c r="AG157" s="47">
        <f t="shared" si="99"/>
        <v>0</v>
      </c>
      <c r="AH157" s="47">
        <f t="shared" si="99"/>
        <v>0</v>
      </c>
      <c r="AI157" s="47">
        <f t="shared" si="99"/>
        <v>0</v>
      </c>
      <c r="AJ157" s="47">
        <f t="shared" si="99"/>
        <v>0</v>
      </c>
      <c r="AK157" s="47">
        <f t="shared" si="99"/>
        <v>118306.49</v>
      </c>
      <c r="AL157" s="47">
        <f t="shared" si="99"/>
        <v>118306.49</v>
      </c>
      <c r="AM157" s="47" t="e">
        <f t="shared" si="99"/>
        <v>#DIV/0!</v>
      </c>
      <c r="AN157" s="47">
        <f t="shared" si="99"/>
        <v>0</v>
      </c>
      <c r="AO157" s="47">
        <f t="shared" si="99"/>
        <v>0</v>
      </c>
      <c r="AP157" s="397"/>
      <c r="AQ157" s="96"/>
    </row>
    <row r="158" spans="1:43" s="615" customFormat="1" ht="28.5" hidden="1" customHeight="1" x14ac:dyDescent="0.2">
      <c r="A158" s="1607"/>
      <c r="B158" s="1608"/>
      <c r="C158" s="1608"/>
      <c r="D158" s="1608"/>
      <c r="E158" s="1608"/>
      <c r="F158" s="1608"/>
      <c r="G158" s="1608"/>
      <c r="H158" s="1609"/>
      <c r="I158" s="23" t="s">
        <v>10</v>
      </c>
      <c r="J158" s="71">
        <f t="shared" si="99"/>
        <v>0</v>
      </c>
      <c r="K158" s="71">
        <f t="shared" si="99"/>
        <v>0</v>
      </c>
      <c r="L158" s="47">
        <f t="shared" si="100"/>
        <v>495533.09</v>
      </c>
      <c r="M158" s="47">
        <f t="shared" si="100"/>
        <v>492377.74</v>
      </c>
      <c r="N158" s="47">
        <f t="shared" si="100"/>
        <v>493227.64</v>
      </c>
      <c r="O158" s="47">
        <f t="shared" si="100"/>
        <v>297742.64</v>
      </c>
      <c r="P158" s="47">
        <f t="shared" si="100"/>
        <v>0</v>
      </c>
      <c r="Q158" s="47">
        <f t="shared" si="100"/>
        <v>78238.64022999999</v>
      </c>
      <c r="R158" s="47">
        <f t="shared" si="100"/>
        <v>21705.95</v>
      </c>
      <c r="S158" s="47">
        <f t="shared" si="100"/>
        <v>21705.95</v>
      </c>
      <c r="T158" s="47">
        <f t="shared" si="100"/>
        <v>21705.95</v>
      </c>
      <c r="U158" s="47">
        <f t="shared" si="100"/>
        <v>21705.95</v>
      </c>
      <c r="V158" s="47">
        <f t="shared" si="100"/>
        <v>50383.255000000005</v>
      </c>
      <c r="W158" s="47">
        <f t="shared" si="100"/>
        <v>50383.255000000005</v>
      </c>
      <c r="X158" s="47">
        <f t="shared" si="100"/>
        <v>21705.95</v>
      </c>
      <c r="Y158" s="47">
        <f t="shared" si="100"/>
        <v>21705.95</v>
      </c>
      <c r="Z158" s="96"/>
      <c r="AA158" s="47">
        <f>AA162+AA206+AA233+AA247</f>
        <v>85624.982699999993</v>
      </c>
      <c r="AB158" s="47">
        <f>AB162+AB206+AB233+AB247</f>
        <v>17522.268</v>
      </c>
      <c r="AC158" s="47">
        <f>AC162+AC206+AC233+AC247</f>
        <v>32099.796000000002</v>
      </c>
      <c r="AD158" s="47">
        <f>AD162+AD206+AD233</f>
        <v>0</v>
      </c>
      <c r="AE158" s="47">
        <f>AE162+AE206+AE233</f>
        <v>0</v>
      </c>
      <c r="AF158" s="47">
        <f t="shared" si="99"/>
        <v>0</v>
      </c>
      <c r="AG158" s="47">
        <f t="shared" si="99"/>
        <v>0</v>
      </c>
      <c r="AH158" s="47">
        <f t="shared" si="99"/>
        <v>0</v>
      </c>
      <c r="AI158" s="47">
        <f t="shared" si="99"/>
        <v>0</v>
      </c>
      <c r="AJ158" s="47">
        <f t="shared" si="99"/>
        <v>0</v>
      </c>
      <c r="AK158" s="47">
        <f t="shared" si="99"/>
        <v>0</v>
      </c>
      <c r="AL158" s="47">
        <f t="shared" si="99"/>
        <v>0</v>
      </c>
      <c r="AM158" s="47">
        <f t="shared" si="99"/>
        <v>0</v>
      </c>
      <c r="AN158" s="47">
        <f t="shared" si="99"/>
        <v>0</v>
      </c>
      <c r="AO158" s="47">
        <f t="shared" si="99"/>
        <v>0</v>
      </c>
      <c r="AP158" s="397"/>
      <c r="AQ158" s="96"/>
    </row>
    <row r="159" spans="1:43" s="615" customFormat="1" ht="25.5" hidden="1" customHeight="1" x14ac:dyDescent="0.2">
      <c r="A159" s="1610"/>
      <c r="B159" s="1611"/>
      <c r="C159" s="1611"/>
      <c r="D159" s="1611"/>
      <c r="E159" s="1611"/>
      <c r="F159" s="1611"/>
      <c r="G159" s="1611"/>
      <c r="H159" s="1612"/>
      <c r="I159" s="23" t="s">
        <v>9</v>
      </c>
      <c r="J159" s="71">
        <f t="shared" si="99"/>
        <v>0</v>
      </c>
      <c r="K159" s="71">
        <f t="shared" si="99"/>
        <v>0</v>
      </c>
      <c r="L159" s="47">
        <v>0</v>
      </c>
      <c r="M159" s="47">
        <f>M163+M207+M234</f>
        <v>0</v>
      </c>
      <c r="N159" s="47">
        <f>N163+N207+N234</f>
        <v>0</v>
      </c>
      <c r="O159" s="47">
        <f>O163+O207+O234</f>
        <v>1</v>
      </c>
      <c r="P159" s="47">
        <f>P163+P207+P234</f>
        <v>0</v>
      </c>
      <c r="Q159" s="47">
        <f t="shared" ref="Q159:AO159" si="101">Q163+Q207+Q234</f>
        <v>0</v>
      </c>
      <c r="R159" s="47">
        <f t="shared" si="101"/>
        <v>0</v>
      </c>
      <c r="S159" s="47">
        <f t="shared" si="101"/>
        <v>0</v>
      </c>
      <c r="T159" s="47">
        <f t="shared" si="101"/>
        <v>0</v>
      </c>
      <c r="U159" s="47">
        <f t="shared" si="101"/>
        <v>0</v>
      </c>
      <c r="V159" s="47">
        <f t="shared" si="101"/>
        <v>0</v>
      </c>
      <c r="W159" s="47">
        <f t="shared" si="101"/>
        <v>0</v>
      </c>
      <c r="X159" s="47">
        <f t="shared" si="101"/>
        <v>0</v>
      </c>
      <c r="Y159" s="47">
        <f t="shared" si="101"/>
        <v>0</v>
      </c>
      <c r="Z159" s="96"/>
      <c r="AA159" s="47">
        <f t="shared" si="101"/>
        <v>0</v>
      </c>
      <c r="AB159" s="47">
        <f t="shared" si="101"/>
        <v>0</v>
      </c>
      <c r="AC159" s="47">
        <f t="shared" si="101"/>
        <v>0</v>
      </c>
      <c r="AD159" s="47">
        <f t="shared" si="101"/>
        <v>0</v>
      </c>
      <c r="AE159" s="47">
        <f t="shared" si="101"/>
        <v>0</v>
      </c>
      <c r="AF159" s="47">
        <f t="shared" si="101"/>
        <v>0</v>
      </c>
      <c r="AG159" s="47">
        <f>AG163+AG207+AG234</f>
        <v>0</v>
      </c>
      <c r="AH159" s="47">
        <f>AH163+AH207+AH234</f>
        <v>0</v>
      </c>
      <c r="AI159" s="47">
        <f>AI163+AI207+AI234</f>
        <v>0</v>
      </c>
      <c r="AJ159" s="47">
        <f>AJ163+AJ207+AJ234</f>
        <v>0</v>
      </c>
      <c r="AK159" s="47">
        <f t="shared" si="101"/>
        <v>0</v>
      </c>
      <c r="AL159" s="47">
        <f t="shared" si="101"/>
        <v>0</v>
      </c>
      <c r="AM159" s="47">
        <f t="shared" si="101"/>
        <v>0</v>
      </c>
      <c r="AN159" s="47">
        <f t="shared" si="101"/>
        <v>0</v>
      </c>
      <c r="AO159" s="47">
        <f t="shared" si="101"/>
        <v>0</v>
      </c>
      <c r="AP159" s="397"/>
      <c r="AQ159" s="96"/>
    </row>
    <row r="160" spans="1:43" ht="51.75" hidden="1" customHeight="1" x14ac:dyDescent="0.25">
      <c r="A160" s="1332" t="s">
        <v>27</v>
      </c>
      <c r="B160" s="1613" t="s">
        <v>214</v>
      </c>
      <c r="C160" s="1614"/>
      <c r="D160" s="1614"/>
      <c r="E160" s="1614"/>
      <c r="F160" s="1614"/>
      <c r="G160" s="1614"/>
      <c r="H160" s="1615"/>
      <c r="I160" s="23" t="s">
        <v>19</v>
      </c>
      <c r="J160" s="47">
        <f>J164+J167+J171</f>
        <v>152888.53999999998</v>
      </c>
      <c r="K160" s="47">
        <f>K164+K167+K171</f>
        <v>25354.1</v>
      </c>
      <c r="L160" s="47">
        <f>L164+L167+L171+L180+L184+L188</f>
        <v>193023.18</v>
      </c>
      <c r="M160" s="47">
        <f>M164+M167+M171+M180+M184+M188</f>
        <v>42443.12</v>
      </c>
      <c r="N160" s="47">
        <f>N164+N167+N171+N180+N184+N188</f>
        <v>35331.160000000003</v>
      </c>
      <c r="O160" s="47">
        <f>O164+O167+O171+O180+O184+O187</f>
        <v>29530.94</v>
      </c>
      <c r="P160" s="47">
        <f>P164+P167+P171+P180+P184+P188</f>
        <v>100162.01</v>
      </c>
      <c r="Q160" s="47">
        <f>Q164+Q167+Q171+Q180+Q184+Q187</f>
        <v>0</v>
      </c>
      <c r="R160" s="47">
        <f t="shared" ref="R160:AA160" si="102">R164+R167+R171+R180+R184+R187</f>
        <v>743.47199999999998</v>
      </c>
      <c r="S160" s="47">
        <f t="shared" si="102"/>
        <v>3743.4719999999998</v>
      </c>
      <c r="T160" s="47">
        <f t="shared" si="102"/>
        <v>31.5</v>
      </c>
      <c r="U160" s="47">
        <f t="shared" si="102"/>
        <v>2236.8380000000002</v>
      </c>
      <c r="V160" s="47">
        <f t="shared" si="102"/>
        <v>0</v>
      </c>
      <c r="W160" s="47">
        <f t="shared" si="102"/>
        <v>0</v>
      </c>
      <c r="X160" s="47">
        <f t="shared" si="102"/>
        <v>0</v>
      </c>
      <c r="Y160" s="47">
        <f t="shared" si="102"/>
        <v>0</v>
      </c>
      <c r="Z160" s="96"/>
      <c r="AA160" s="47">
        <f t="shared" si="102"/>
        <v>0</v>
      </c>
      <c r="AB160" s="47">
        <f>AB164+AB167+AB171+AB180+AB184+AB187</f>
        <v>2948.8069999999998</v>
      </c>
      <c r="AC160" s="47">
        <f>AC164+AC167+AC171+AC180+AC184+AC187</f>
        <v>0</v>
      </c>
      <c r="AD160" s="47">
        <f>AD164+AD167+AD171+AD180+AD184+AD187</f>
        <v>31.5</v>
      </c>
      <c r="AE160" s="47">
        <f>AE164+AE167+AE171+AE180+AE184+AE187</f>
        <v>0</v>
      </c>
      <c r="AF160" s="47">
        <f t="shared" ref="AF160:AO160" si="103">AF164+AF167+AF171</f>
        <v>0</v>
      </c>
      <c r="AG160" s="47">
        <f t="shared" si="103"/>
        <v>0</v>
      </c>
      <c r="AH160" s="47">
        <f t="shared" si="103"/>
        <v>0</v>
      </c>
      <c r="AI160" s="47">
        <f t="shared" si="103"/>
        <v>0</v>
      </c>
      <c r="AJ160" s="47">
        <f t="shared" si="103"/>
        <v>0</v>
      </c>
      <c r="AK160" s="47">
        <f t="shared" si="103"/>
        <v>28946.75</v>
      </c>
      <c r="AL160" s="47">
        <f t="shared" si="103"/>
        <v>28946.75</v>
      </c>
      <c r="AM160" s="47" t="e">
        <f t="shared" si="103"/>
        <v>#DIV/0!</v>
      </c>
      <c r="AN160" s="47">
        <f t="shared" si="103"/>
        <v>0</v>
      </c>
      <c r="AO160" s="47">
        <f t="shared" si="103"/>
        <v>0</v>
      </c>
      <c r="AP160" s="397"/>
      <c r="AQ160" s="96"/>
    </row>
    <row r="161" spans="1:43" ht="47.25" hidden="1" customHeight="1" x14ac:dyDescent="0.25">
      <c r="A161" s="1333"/>
      <c r="B161" s="1616"/>
      <c r="C161" s="1617"/>
      <c r="D161" s="1617"/>
      <c r="E161" s="1617"/>
      <c r="F161" s="1617"/>
      <c r="G161" s="1617"/>
      <c r="H161" s="1618"/>
      <c r="I161" s="23" t="s">
        <v>20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ht="28.5" hidden="1" customHeight="1" x14ac:dyDescent="0.25">
      <c r="A162" s="1333"/>
      <c r="B162" s="1616"/>
      <c r="C162" s="1617"/>
      <c r="D162" s="1617"/>
      <c r="E162" s="1617"/>
      <c r="F162" s="1617"/>
      <c r="G162" s="1617"/>
      <c r="H162" s="1618"/>
      <c r="I162" s="23" t="s">
        <v>10</v>
      </c>
      <c r="J162" s="47">
        <v>0</v>
      </c>
      <c r="K162" s="47">
        <v>0</v>
      </c>
      <c r="L162" s="47">
        <f>L194</f>
        <v>195485</v>
      </c>
      <c r="M162" s="47">
        <f>M194</f>
        <v>195485</v>
      </c>
      <c r="N162" s="47">
        <f>N194</f>
        <v>195485</v>
      </c>
      <c r="O162" s="47">
        <v>0</v>
      </c>
      <c r="P162" s="47">
        <f>P194</f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96"/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397"/>
      <c r="AQ162" s="96"/>
    </row>
    <row r="163" spans="1:43" ht="25.5" hidden="1" customHeight="1" x14ac:dyDescent="0.25">
      <c r="A163" s="1334"/>
      <c r="B163" s="1619"/>
      <c r="C163" s="1620"/>
      <c r="D163" s="1620"/>
      <c r="E163" s="1620"/>
      <c r="F163" s="1620"/>
      <c r="G163" s="1620"/>
      <c r="H163" s="1621"/>
      <c r="I163" s="23" t="s">
        <v>9</v>
      </c>
      <c r="J163" s="47">
        <v>0</v>
      </c>
      <c r="K163" s="47">
        <v>0</v>
      </c>
      <c r="L163" s="47">
        <f>M163+N163+O163</f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96"/>
      <c r="AA163" s="47">
        <v>0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397"/>
      <c r="AQ163" s="96"/>
    </row>
    <row r="164" spans="1:43" s="327" customFormat="1" ht="27.75" customHeight="1" x14ac:dyDescent="0.25">
      <c r="A164" s="1473" t="s">
        <v>34</v>
      </c>
      <c r="B164" s="780" t="s">
        <v>441</v>
      </c>
      <c r="C164" s="1332"/>
      <c r="D164" s="1332"/>
      <c r="E164" s="1332"/>
      <c r="F164" s="1644">
        <v>220000</v>
      </c>
      <c r="G164" s="1473">
        <v>2018</v>
      </c>
      <c r="H164" s="1473">
        <v>2021</v>
      </c>
      <c r="I164" s="1463" t="s">
        <v>19</v>
      </c>
      <c r="J164" s="1627">
        <v>66036</v>
      </c>
      <c r="K164" s="1627">
        <v>16509</v>
      </c>
      <c r="L164" s="804">
        <f t="shared" ref="L164:O164" si="104">L165</f>
        <v>67541.3</v>
      </c>
      <c r="M164" s="804">
        <f t="shared" si="104"/>
        <v>16509</v>
      </c>
      <c r="N164" s="804">
        <f t="shared" si="104"/>
        <v>800</v>
      </c>
      <c r="O164" s="804">
        <f t="shared" si="104"/>
        <v>6409</v>
      </c>
      <c r="P164" s="804">
        <v>27314.3</v>
      </c>
      <c r="Q164" s="804">
        <v>0</v>
      </c>
      <c r="R164" s="804">
        <f t="shared" ref="R164:AO165" si="105">R165</f>
        <v>36</v>
      </c>
      <c r="S164" s="804">
        <f t="shared" si="105"/>
        <v>36</v>
      </c>
      <c r="T164" s="804">
        <f t="shared" si="105"/>
        <v>31.5</v>
      </c>
      <c r="U164" s="804">
        <f t="shared" si="105"/>
        <v>31.5</v>
      </c>
      <c r="V164" s="804">
        <f t="shared" si="105"/>
        <v>0</v>
      </c>
      <c r="W164" s="804">
        <f t="shared" si="105"/>
        <v>0</v>
      </c>
      <c r="X164" s="804">
        <f t="shared" si="105"/>
        <v>0</v>
      </c>
      <c r="Y164" s="804">
        <f t="shared" si="105"/>
        <v>0</v>
      </c>
      <c r="Z164" s="805">
        <v>0</v>
      </c>
      <c r="AA164" s="804">
        <v>0</v>
      </c>
      <c r="AB164" s="804">
        <f t="shared" si="105"/>
        <v>36</v>
      </c>
      <c r="AC164" s="804">
        <f t="shared" si="105"/>
        <v>0</v>
      </c>
      <c r="AD164" s="804">
        <f t="shared" si="105"/>
        <v>31.5</v>
      </c>
      <c r="AE164" s="804">
        <f t="shared" si="105"/>
        <v>0</v>
      </c>
      <c r="AF164" s="804">
        <f t="shared" si="105"/>
        <v>0</v>
      </c>
      <c r="AG164" s="804">
        <f t="shared" si="105"/>
        <v>0</v>
      </c>
      <c r="AH164" s="804">
        <f t="shared" si="105"/>
        <v>0</v>
      </c>
      <c r="AI164" s="804">
        <f t="shared" si="105"/>
        <v>0</v>
      </c>
      <c r="AJ164" s="804">
        <f t="shared" si="105"/>
        <v>0</v>
      </c>
      <c r="AK164" s="3">
        <f>P164-Q164</f>
        <v>27314.3</v>
      </c>
      <c r="AL164" s="3">
        <f>AK164</f>
        <v>27314.3</v>
      </c>
      <c r="AM164" s="318">
        <f>ROUND((Q164*100%/P164*100),2)</f>
        <v>0</v>
      </c>
      <c r="AN164" s="804">
        <f t="shared" si="105"/>
        <v>0</v>
      </c>
      <c r="AO164" s="804">
        <f t="shared" si="105"/>
        <v>0</v>
      </c>
      <c r="AP164" s="806"/>
      <c r="AQ164" s="805">
        <v>0</v>
      </c>
    </row>
    <row r="165" spans="1:43" ht="18" hidden="1" customHeight="1" x14ac:dyDescent="0.25">
      <c r="A165" s="1474"/>
      <c r="B165" s="1050" t="s">
        <v>39</v>
      </c>
      <c r="C165" s="1334"/>
      <c r="D165" s="1334"/>
      <c r="E165" s="1334"/>
      <c r="F165" s="1472"/>
      <c r="G165" s="1474"/>
      <c r="H165" s="1474"/>
      <c r="I165" s="1465"/>
      <c r="J165" s="1629"/>
      <c r="K165" s="1629"/>
      <c r="L165" s="1082">
        <v>67541.3</v>
      </c>
      <c r="M165" s="83">
        <v>16509</v>
      </c>
      <c r="N165" s="83">
        <v>800</v>
      </c>
      <c r="O165" s="83">
        <v>6409</v>
      </c>
      <c r="P165" s="83">
        <v>6409</v>
      </c>
      <c r="Q165" s="83">
        <f>Q166</f>
        <v>67.5</v>
      </c>
      <c r="R165" s="83">
        <f t="shared" si="105"/>
        <v>36</v>
      </c>
      <c r="S165" s="83">
        <f t="shared" si="105"/>
        <v>36</v>
      </c>
      <c r="T165" s="83">
        <f t="shared" si="105"/>
        <v>31.5</v>
      </c>
      <c r="U165" s="83">
        <f t="shared" si="105"/>
        <v>31.5</v>
      </c>
      <c r="V165" s="83">
        <f t="shared" si="105"/>
        <v>0</v>
      </c>
      <c r="W165" s="83">
        <f t="shared" si="105"/>
        <v>0</v>
      </c>
      <c r="X165" s="83">
        <f t="shared" si="105"/>
        <v>0</v>
      </c>
      <c r="Y165" s="83">
        <f t="shared" si="105"/>
        <v>0</v>
      </c>
      <c r="Z165" s="259"/>
      <c r="AA165" s="83">
        <f t="shared" si="105"/>
        <v>67.5</v>
      </c>
      <c r="AB165" s="83">
        <f t="shared" si="105"/>
        <v>36</v>
      </c>
      <c r="AC165" s="83">
        <f t="shared" si="105"/>
        <v>0</v>
      </c>
      <c r="AD165" s="83">
        <f t="shared" si="105"/>
        <v>31.5</v>
      </c>
      <c r="AE165" s="83">
        <f t="shared" si="105"/>
        <v>0</v>
      </c>
      <c r="AF165" s="83">
        <f t="shared" si="105"/>
        <v>0</v>
      </c>
      <c r="AG165" s="83">
        <f t="shared" si="105"/>
        <v>0</v>
      </c>
      <c r="AH165" s="83">
        <f t="shared" si="105"/>
        <v>0</v>
      </c>
      <c r="AI165" s="83">
        <f t="shared" si="105"/>
        <v>0</v>
      </c>
      <c r="AJ165" s="83">
        <f t="shared" si="105"/>
        <v>0</v>
      </c>
      <c r="AK165" s="83">
        <f t="shared" si="105"/>
        <v>0</v>
      </c>
      <c r="AL165" s="83">
        <v>0</v>
      </c>
      <c r="AM165" s="83">
        <v>0</v>
      </c>
      <c r="AN165" s="83">
        <v>0</v>
      </c>
      <c r="AO165" s="83">
        <v>0</v>
      </c>
      <c r="AP165" s="409"/>
      <c r="AQ165" s="259"/>
    </row>
    <row r="166" spans="1:43" s="266" customFormat="1" ht="26.25" hidden="1" customHeight="1" x14ac:dyDescent="0.25">
      <c r="A166" s="616"/>
      <c r="B166" s="537" t="s">
        <v>300</v>
      </c>
      <c r="C166" s="647"/>
      <c r="D166" s="647"/>
      <c r="E166" s="647"/>
      <c r="F166" s="539"/>
      <c r="G166" s="540"/>
      <c r="H166" s="540"/>
      <c r="I166" s="370"/>
      <c r="J166" s="648"/>
      <c r="K166" s="648"/>
      <c r="L166" s="258"/>
      <c r="M166" s="259"/>
      <c r="N166" s="259"/>
      <c r="O166" s="259"/>
      <c r="P166" s="259"/>
      <c r="Q166" s="259">
        <f>S166+U166</f>
        <v>67.5</v>
      </c>
      <c r="R166" s="259">
        <f>S166</f>
        <v>36</v>
      </c>
      <c r="S166" s="259">
        <v>36</v>
      </c>
      <c r="T166" s="259">
        <f>U166</f>
        <v>31.5</v>
      </c>
      <c r="U166" s="259">
        <v>31.5</v>
      </c>
      <c r="V166" s="259"/>
      <c r="W166" s="259"/>
      <c r="X166" s="259"/>
      <c r="Y166" s="259"/>
      <c r="Z166" s="259"/>
      <c r="AA166" s="259">
        <f>AB166+AD166</f>
        <v>67.5</v>
      </c>
      <c r="AB166" s="259">
        <v>36</v>
      </c>
      <c r="AC166" s="259"/>
      <c r="AD166" s="259">
        <v>31.5</v>
      </c>
      <c r="AE166" s="259"/>
      <c r="AF166" s="259"/>
      <c r="AG166" s="259"/>
      <c r="AH166" s="259"/>
      <c r="AI166" s="259"/>
      <c r="AJ166" s="259"/>
      <c r="AK166" s="259"/>
      <c r="AL166" s="259"/>
      <c r="AM166" s="543"/>
      <c r="AN166" s="259"/>
      <c r="AO166" s="259"/>
      <c r="AP166" s="411"/>
      <c r="AQ166" s="259"/>
    </row>
    <row r="167" spans="1:43" s="327" customFormat="1" ht="24" customHeight="1" x14ac:dyDescent="0.25">
      <c r="A167" s="1473" t="s">
        <v>42</v>
      </c>
      <c r="B167" s="780" t="s">
        <v>205</v>
      </c>
      <c r="C167" s="807"/>
      <c r="D167" s="807"/>
      <c r="E167" s="807"/>
      <c r="F167" s="1644">
        <v>2400</v>
      </c>
      <c r="G167" s="807"/>
      <c r="H167" s="807"/>
      <c r="I167" s="1463" t="s">
        <v>19</v>
      </c>
      <c r="J167" s="25">
        <v>12351.86</v>
      </c>
      <c r="K167" s="25">
        <f t="shared" ref="K167:P167" si="106">K168+K170</f>
        <v>8845.1</v>
      </c>
      <c r="L167" s="3">
        <f t="shared" si="106"/>
        <v>25182.28</v>
      </c>
      <c r="M167" s="3">
        <f t="shared" si="106"/>
        <v>1753.38</v>
      </c>
      <c r="N167" s="3">
        <f t="shared" si="106"/>
        <v>1168.92</v>
      </c>
      <c r="O167" s="3">
        <f t="shared" si="106"/>
        <v>997.45</v>
      </c>
      <c r="P167" s="3">
        <f t="shared" si="106"/>
        <v>1632.45</v>
      </c>
      <c r="Q167" s="3">
        <f t="shared" ref="Q167:AO167" si="107">Q170+Q168</f>
        <v>0</v>
      </c>
      <c r="R167" s="3">
        <f t="shared" si="107"/>
        <v>707.47199999999998</v>
      </c>
      <c r="S167" s="3">
        <f t="shared" si="107"/>
        <v>707.47199999999998</v>
      </c>
      <c r="T167" s="3">
        <f t="shared" si="107"/>
        <v>0</v>
      </c>
      <c r="U167" s="3">
        <f t="shared" si="107"/>
        <v>0</v>
      </c>
      <c r="V167" s="3">
        <f t="shared" si="107"/>
        <v>0</v>
      </c>
      <c r="W167" s="3">
        <f t="shared" si="107"/>
        <v>0</v>
      </c>
      <c r="X167" s="3">
        <f t="shared" si="107"/>
        <v>0</v>
      </c>
      <c r="Y167" s="3">
        <f t="shared" si="107"/>
        <v>0</v>
      </c>
      <c r="Z167" s="95">
        <v>0</v>
      </c>
      <c r="AA167" s="3">
        <f t="shared" si="107"/>
        <v>0</v>
      </c>
      <c r="AB167" s="3">
        <f t="shared" si="107"/>
        <v>707.47</v>
      </c>
      <c r="AC167" s="3">
        <f t="shared" si="107"/>
        <v>0</v>
      </c>
      <c r="AD167" s="3">
        <f t="shared" si="107"/>
        <v>0</v>
      </c>
      <c r="AE167" s="3">
        <f t="shared" si="107"/>
        <v>0</v>
      </c>
      <c r="AF167" s="3">
        <f t="shared" si="107"/>
        <v>0</v>
      </c>
      <c r="AG167" s="3">
        <f t="shared" si="107"/>
        <v>0</v>
      </c>
      <c r="AH167" s="3">
        <f t="shared" si="107"/>
        <v>0</v>
      </c>
      <c r="AI167" s="3">
        <f t="shared" si="107"/>
        <v>0</v>
      </c>
      <c r="AJ167" s="3">
        <f t="shared" si="107"/>
        <v>0</v>
      </c>
      <c r="AK167" s="3">
        <f>P167-Q167</f>
        <v>1632.45</v>
      </c>
      <c r="AL167" s="3">
        <f>AK167</f>
        <v>1632.45</v>
      </c>
      <c r="AM167" s="318">
        <f>ROUND((Q167*100%/P167*100),2)</f>
        <v>0</v>
      </c>
      <c r="AN167" s="3">
        <f t="shared" si="107"/>
        <v>0</v>
      </c>
      <c r="AO167" s="3">
        <f t="shared" si="107"/>
        <v>0</v>
      </c>
      <c r="AP167" s="808"/>
      <c r="AQ167" s="95">
        <v>0</v>
      </c>
    </row>
    <row r="168" spans="1:43" ht="16.5" customHeight="1" x14ac:dyDescent="0.25">
      <c r="A168" s="1643"/>
      <c r="B168" s="1" t="s">
        <v>15</v>
      </c>
      <c r="C168" s="48"/>
      <c r="D168" s="48"/>
      <c r="E168" s="48"/>
      <c r="F168" s="1645"/>
      <c r="G168" s="1072">
        <v>2018</v>
      </c>
      <c r="H168" s="1072">
        <v>2018</v>
      </c>
      <c r="I168" s="1464"/>
      <c r="J168" s="634">
        <v>1815.76</v>
      </c>
      <c r="K168" s="634">
        <v>1815.76</v>
      </c>
      <c r="L168" s="47">
        <v>2458.14</v>
      </c>
      <c r="M168" s="47">
        <v>0</v>
      </c>
      <c r="N168" s="47">
        <v>412.99</v>
      </c>
      <c r="O168" s="47">
        <v>0</v>
      </c>
      <c r="P168" s="47">
        <v>246.67</v>
      </c>
      <c r="Q168" s="83">
        <v>0</v>
      </c>
      <c r="R168" s="83">
        <f t="shared" ref="R168:AG168" si="108">R169</f>
        <v>707.47199999999998</v>
      </c>
      <c r="S168" s="83">
        <f t="shared" si="108"/>
        <v>707.47199999999998</v>
      </c>
      <c r="T168" s="83">
        <f t="shared" si="108"/>
        <v>0</v>
      </c>
      <c r="U168" s="83">
        <f t="shared" si="108"/>
        <v>0</v>
      </c>
      <c r="V168" s="83">
        <f t="shared" si="108"/>
        <v>0</v>
      </c>
      <c r="W168" s="83">
        <f t="shared" si="108"/>
        <v>0</v>
      </c>
      <c r="X168" s="83">
        <f t="shared" si="108"/>
        <v>0</v>
      </c>
      <c r="Y168" s="83">
        <f t="shared" si="108"/>
        <v>0</v>
      </c>
      <c r="Z168" s="259"/>
      <c r="AA168" s="83">
        <v>0</v>
      </c>
      <c r="AB168" s="83">
        <f t="shared" si="108"/>
        <v>707.47</v>
      </c>
      <c r="AC168" s="83">
        <f t="shared" si="108"/>
        <v>0</v>
      </c>
      <c r="AD168" s="83">
        <f t="shared" si="108"/>
        <v>0</v>
      </c>
      <c r="AE168" s="83">
        <f t="shared" si="108"/>
        <v>0</v>
      </c>
      <c r="AF168" s="83">
        <f t="shared" si="108"/>
        <v>0</v>
      </c>
      <c r="AG168" s="83">
        <f t="shared" si="108"/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617"/>
      <c r="AQ168" s="259"/>
    </row>
    <row r="169" spans="1:43" s="266" customFormat="1" ht="27" hidden="1" customHeight="1" x14ac:dyDescent="0.25">
      <c r="A169" s="1643"/>
      <c r="B169" s="537" t="s">
        <v>301</v>
      </c>
      <c r="C169" s="544"/>
      <c r="D169" s="544"/>
      <c r="E169" s="544"/>
      <c r="F169" s="1645"/>
      <c r="G169" s="104"/>
      <c r="H169" s="104"/>
      <c r="I169" s="1464"/>
      <c r="J169" s="636"/>
      <c r="K169" s="636"/>
      <c r="L169" s="96"/>
      <c r="M169" s="96"/>
      <c r="N169" s="96"/>
      <c r="O169" s="96"/>
      <c r="P169" s="96"/>
      <c r="Q169" s="259">
        <f>S169</f>
        <v>707.47199999999998</v>
      </c>
      <c r="R169" s="259">
        <f>S169</f>
        <v>707.47199999999998</v>
      </c>
      <c r="S169" s="259">
        <v>707.47199999999998</v>
      </c>
      <c r="T169" s="259"/>
      <c r="U169" s="259"/>
      <c r="V169" s="259"/>
      <c r="W169" s="259"/>
      <c r="X169" s="259"/>
      <c r="Y169" s="259"/>
      <c r="Z169" s="259"/>
      <c r="AA169" s="259">
        <f>AB169</f>
        <v>707.47</v>
      </c>
      <c r="AB169" s="259">
        <v>707.47</v>
      </c>
      <c r="AC169" s="259"/>
      <c r="AD169" s="259"/>
      <c r="AE169" s="259"/>
      <c r="AF169" s="259"/>
      <c r="AG169" s="259"/>
      <c r="AH169" s="96"/>
      <c r="AI169" s="96"/>
      <c r="AJ169" s="96"/>
      <c r="AK169" s="96"/>
      <c r="AL169" s="96"/>
      <c r="AM169" s="96"/>
      <c r="AN169" s="96"/>
      <c r="AO169" s="96"/>
      <c r="AP169" s="618"/>
      <c r="AQ169" s="259"/>
    </row>
    <row r="170" spans="1:43" ht="14.25" customHeight="1" x14ac:dyDescent="0.25">
      <c r="A170" s="1474"/>
      <c r="B170" s="1" t="s">
        <v>32</v>
      </c>
      <c r="C170" s="48"/>
      <c r="D170" s="48"/>
      <c r="E170" s="48"/>
      <c r="F170" s="1328"/>
      <c r="G170" s="1072">
        <v>2018</v>
      </c>
      <c r="H170" s="1072">
        <v>2021</v>
      </c>
      <c r="I170" s="1465"/>
      <c r="J170" s="634">
        <v>10536.1</v>
      </c>
      <c r="K170" s="634">
        <v>7029.34</v>
      </c>
      <c r="L170" s="47">
        <v>22724.14</v>
      </c>
      <c r="M170" s="47">
        <v>1753.38</v>
      </c>
      <c r="N170" s="47">
        <v>755.93</v>
      </c>
      <c r="O170" s="47">
        <v>997.45</v>
      </c>
      <c r="P170" s="47">
        <v>1385.78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96"/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397"/>
      <c r="AQ170" s="96"/>
    </row>
    <row r="171" spans="1:43" s="327" customFormat="1" ht="30.75" customHeight="1" x14ac:dyDescent="0.25">
      <c r="A171" s="1398" t="s">
        <v>63</v>
      </c>
      <c r="B171" s="780" t="s">
        <v>66</v>
      </c>
      <c r="C171" s="1471"/>
      <c r="D171" s="1471"/>
      <c r="E171" s="1471"/>
      <c r="F171" s="1466"/>
      <c r="G171" s="1489">
        <v>2019</v>
      </c>
      <c r="H171" s="1469">
        <v>2021</v>
      </c>
      <c r="I171" s="1466" t="s">
        <v>19</v>
      </c>
      <c r="J171" s="1648">
        <f>K171+L171</f>
        <v>74500.679999999993</v>
      </c>
      <c r="K171" s="1646">
        <v>0</v>
      </c>
      <c r="L171" s="70">
        <f t="shared" ref="L171:W171" si="109">L172</f>
        <v>74500.679999999993</v>
      </c>
      <c r="M171" s="70">
        <f t="shared" si="109"/>
        <v>24180.74</v>
      </c>
      <c r="N171" s="70">
        <f t="shared" si="109"/>
        <v>24180.74</v>
      </c>
      <c r="O171" s="70">
        <f t="shared" si="109"/>
        <v>13819.52</v>
      </c>
      <c r="P171" s="70">
        <v>0</v>
      </c>
      <c r="Q171" s="804">
        <f t="shared" si="109"/>
        <v>0</v>
      </c>
      <c r="R171" s="804">
        <f t="shared" si="109"/>
        <v>0</v>
      </c>
      <c r="S171" s="804">
        <f t="shared" si="109"/>
        <v>0</v>
      </c>
      <c r="T171" s="804">
        <f t="shared" si="109"/>
        <v>0</v>
      </c>
      <c r="U171" s="804">
        <f t="shared" si="109"/>
        <v>0</v>
      </c>
      <c r="V171" s="804">
        <f t="shared" si="109"/>
        <v>0</v>
      </c>
      <c r="W171" s="804">
        <f t="shared" si="109"/>
        <v>0</v>
      </c>
      <c r="X171" s="804">
        <f>X172</f>
        <v>0</v>
      </c>
      <c r="Y171" s="804">
        <f>Y172</f>
        <v>0</v>
      </c>
      <c r="Z171" s="805">
        <v>0</v>
      </c>
      <c r="AA171" s="804">
        <f>AA172</f>
        <v>0</v>
      </c>
      <c r="AB171" s="804">
        <f>AB172</f>
        <v>0</v>
      </c>
      <c r="AC171" s="804">
        <f>AC172</f>
        <v>0</v>
      </c>
      <c r="AD171" s="804">
        <f t="shared" ref="AD171:AO171" si="110">AD172</f>
        <v>0</v>
      </c>
      <c r="AE171" s="804">
        <f t="shared" si="110"/>
        <v>0</v>
      </c>
      <c r="AF171" s="804">
        <f t="shared" si="110"/>
        <v>0</v>
      </c>
      <c r="AG171" s="804">
        <f t="shared" si="110"/>
        <v>0</v>
      </c>
      <c r="AH171" s="804">
        <f t="shared" si="110"/>
        <v>0</v>
      </c>
      <c r="AI171" s="804">
        <f t="shared" si="110"/>
        <v>0</v>
      </c>
      <c r="AJ171" s="804">
        <f t="shared" si="110"/>
        <v>0</v>
      </c>
      <c r="AK171" s="3">
        <v>0</v>
      </c>
      <c r="AL171" s="3">
        <f>AK171</f>
        <v>0</v>
      </c>
      <c r="AM171" s="318" t="e">
        <f>ROUND((Q171*100%/P171*100),2)</f>
        <v>#DIV/0!</v>
      </c>
      <c r="AN171" s="804">
        <f t="shared" si="110"/>
        <v>0</v>
      </c>
      <c r="AO171" s="804">
        <f t="shared" si="110"/>
        <v>0</v>
      </c>
      <c r="AP171" s="806" t="s">
        <v>295</v>
      </c>
      <c r="AQ171" s="805">
        <v>0</v>
      </c>
    </row>
    <row r="172" spans="1:43" ht="18" hidden="1" customHeight="1" x14ac:dyDescent="0.25">
      <c r="A172" s="1488"/>
      <c r="B172" s="1" t="s">
        <v>16</v>
      </c>
      <c r="C172" s="1471"/>
      <c r="D172" s="1471"/>
      <c r="E172" s="1471"/>
      <c r="F172" s="1466"/>
      <c r="G172" s="1489"/>
      <c r="H172" s="1470"/>
      <c r="I172" s="1466"/>
      <c r="J172" s="1648"/>
      <c r="K172" s="1647"/>
      <c r="L172" s="1082">
        <v>74500.679999999993</v>
      </c>
      <c r="M172" s="83">
        <v>24180.74</v>
      </c>
      <c r="N172" s="83">
        <v>24180.74</v>
      </c>
      <c r="O172" s="83">
        <v>13819.52</v>
      </c>
      <c r="P172" s="83">
        <v>26139.200000000001</v>
      </c>
      <c r="Q172" s="83">
        <v>0</v>
      </c>
      <c r="R172" s="83">
        <f t="shared" ref="R172:W172" si="111">SUM(R173:R179)</f>
        <v>0</v>
      </c>
      <c r="S172" s="83">
        <f t="shared" si="111"/>
        <v>0</v>
      </c>
      <c r="T172" s="83">
        <f t="shared" si="111"/>
        <v>0</v>
      </c>
      <c r="U172" s="83">
        <f t="shared" si="111"/>
        <v>0</v>
      </c>
      <c r="V172" s="83">
        <f t="shared" si="111"/>
        <v>0</v>
      </c>
      <c r="W172" s="83">
        <f t="shared" si="111"/>
        <v>0</v>
      </c>
      <c r="X172" s="83">
        <v>0</v>
      </c>
      <c r="Y172" s="83">
        <f t="shared" ref="Y172:AE172" si="112">SUM(Y173:Y179)</f>
        <v>0</v>
      </c>
      <c r="Z172" s="259"/>
      <c r="AA172" s="83">
        <f t="shared" si="112"/>
        <v>0</v>
      </c>
      <c r="AB172" s="83">
        <f t="shared" si="112"/>
        <v>0</v>
      </c>
      <c r="AC172" s="83">
        <f t="shared" si="112"/>
        <v>0</v>
      </c>
      <c r="AD172" s="83">
        <f t="shared" si="112"/>
        <v>0</v>
      </c>
      <c r="AE172" s="83">
        <f t="shared" si="112"/>
        <v>0</v>
      </c>
      <c r="AF172" s="83">
        <f>SUM(AG172:AI172)</f>
        <v>0</v>
      </c>
      <c r="AG172" s="83">
        <f>SUM(AG173:AG179)</f>
        <v>0</v>
      </c>
      <c r="AH172" s="83">
        <f>SUM(AH173:AH179)</f>
        <v>0</v>
      </c>
      <c r="AI172" s="83">
        <v>0</v>
      </c>
      <c r="AJ172" s="83">
        <v>0</v>
      </c>
      <c r="AK172" s="83">
        <f>SUM(AK173:AK179)</f>
        <v>0</v>
      </c>
      <c r="AL172" s="83">
        <f>SUM(AL173:AL179)</f>
        <v>0</v>
      </c>
      <c r="AM172" s="83">
        <f>SUM(AM173:AM179)</f>
        <v>0</v>
      </c>
      <c r="AN172" s="83">
        <f>SUM(AN173:AN179)</f>
        <v>0</v>
      </c>
      <c r="AO172" s="83">
        <f>SUM(AO173:AO179)</f>
        <v>0</v>
      </c>
      <c r="AP172" s="409"/>
      <c r="AQ172" s="259"/>
    </row>
    <row r="173" spans="1:43" s="266" customFormat="1" ht="18" hidden="1" customHeight="1" x14ac:dyDescent="0.25">
      <c r="A173" s="324"/>
      <c r="B173" s="252" t="s">
        <v>152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</f>
        <v>0</v>
      </c>
      <c r="R173" s="259">
        <f>S173</f>
        <v>0</v>
      </c>
      <c r="S173" s="259">
        <v>0</v>
      </c>
      <c r="T173" s="259">
        <v>0</v>
      </c>
      <c r="U173" s="259">
        <v>0</v>
      </c>
      <c r="V173" s="259"/>
      <c r="W173" s="259"/>
      <c r="X173" s="259"/>
      <c r="Y173" s="259"/>
      <c r="Z173" s="259"/>
      <c r="AA173" s="259">
        <v>0</v>
      </c>
      <c r="AB173" s="259"/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156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</f>
        <v>0</v>
      </c>
      <c r="R174" s="259"/>
      <c r="S174" s="259"/>
      <c r="T174" s="259"/>
      <c r="U174" s="259"/>
      <c r="V174" s="259">
        <v>0</v>
      </c>
      <c r="W174" s="259">
        <v>0</v>
      </c>
      <c r="X174" s="259"/>
      <c r="Y174" s="259"/>
      <c r="Z174" s="259"/>
      <c r="AA174" s="259">
        <v>0</v>
      </c>
      <c r="AB174" s="259">
        <v>0</v>
      </c>
      <c r="AC174" s="259"/>
      <c r="AD174" s="259"/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26.25" hidden="1" customHeight="1" x14ac:dyDescent="0.25">
      <c r="A175" s="324"/>
      <c r="B175" s="252" t="s">
        <v>229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/>
      <c r="U175" s="259"/>
      <c r="V175" s="259"/>
      <c r="W175" s="259"/>
      <c r="X175" s="259">
        <v>0</v>
      </c>
      <c r="Y175" s="259">
        <v>0</v>
      </c>
      <c r="Z175" s="259"/>
      <c r="AA175" s="259"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230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S176+U176+W176+Y176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>
        <v>0</v>
      </c>
      <c r="X176" s="259">
        <v>0</v>
      </c>
      <c r="Y176" s="259">
        <v>0</v>
      </c>
      <c r="Z176" s="259"/>
      <c r="AA176" s="259">
        <f>AB176+AC176</f>
        <v>0</v>
      </c>
      <c r="AB176" s="259">
        <v>0</v>
      </c>
      <c r="AC176" s="259">
        <v>0</v>
      </c>
      <c r="AD176" s="259">
        <v>0</v>
      </c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231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/>
      <c r="S177" s="259"/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f>AB177+AC177</f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18" hidden="1" customHeight="1" x14ac:dyDescent="0.25">
      <c r="A178" s="324"/>
      <c r="B178" s="252" t="s">
        <v>259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v>0</v>
      </c>
      <c r="R178" s="259"/>
      <c r="S178" s="259"/>
      <c r="T178" s="259">
        <v>0</v>
      </c>
      <c r="U178" s="259">
        <v>0</v>
      </c>
      <c r="V178" s="259"/>
      <c r="W178" s="259"/>
      <c r="X178" s="259"/>
      <c r="Y178" s="259"/>
      <c r="Z178" s="259"/>
      <c r="AA178" s="259">
        <f>AB178+AC178</f>
        <v>0</v>
      </c>
      <c r="AB178" s="259"/>
      <c r="AC178" s="259">
        <v>0</v>
      </c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153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/>
      <c r="X179" s="259">
        <v>0</v>
      </c>
      <c r="Y179" s="259">
        <v>0</v>
      </c>
      <c r="Z179" s="259"/>
      <c r="AA179" s="259">
        <v>0</v>
      </c>
      <c r="AB179" s="259">
        <v>0</v>
      </c>
      <c r="AC179" s="259"/>
      <c r="AD179" s="259"/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327" customFormat="1" ht="42" customHeight="1" x14ac:dyDescent="0.25">
      <c r="A180" s="1398" t="s">
        <v>167</v>
      </c>
      <c r="B180" s="772" t="s">
        <v>168</v>
      </c>
      <c r="C180" s="809"/>
      <c r="D180" s="809"/>
      <c r="E180" s="809"/>
      <c r="F180" s="312"/>
      <c r="G180" s="775"/>
      <c r="H180" s="810"/>
      <c r="I180" s="1326" t="s">
        <v>19</v>
      </c>
      <c r="J180" s="283"/>
      <c r="K180" s="811"/>
      <c r="L180" s="1074">
        <f>L181</f>
        <v>7644.31</v>
      </c>
      <c r="M180" s="1074">
        <f>M181</f>
        <v>0</v>
      </c>
      <c r="N180" s="1074">
        <f t="shared" ref="N180:AO180" si="113">N181</f>
        <v>377.26</v>
      </c>
      <c r="O180" s="1074">
        <f t="shared" si="113"/>
        <v>0</v>
      </c>
      <c r="P180" s="1074">
        <f>P181+P183</f>
        <v>70000</v>
      </c>
      <c r="Q180" s="1074">
        <f>Q181+Q183</f>
        <v>0</v>
      </c>
      <c r="R180" s="1074">
        <f t="shared" ref="R180:AA180" si="114">R181+R183</f>
        <v>0</v>
      </c>
      <c r="S180" s="1074">
        <f t="shared" si="114"/>
        <v>0</v>
      </c>
      <c r="T180" s="1074">
        <f t="shared" si="114"/>
        <v>0</v>
      </c>
      <c r="U180" s="1074">
        <f t="shared" si="114"/>
        <v>0</v>
      </c>
      <c r="V180" s="1074">
        <f t="shared" si="114"/>
        <v>0</v>
      </c>
      <c r="W180" s="1074">
        <f t="shared" si="114"/>
        <v>0</v>
      </c>
      <c r="X180" s="1074">
        <f t="shared" si="114"/>
        <v>0</v>
      </c>
      <c r="Y180" s="1074">
        <f t="shared" si="114"/>
        <v>0</v>
      </c>
      <c r="Z180" s="1074">
        <f t="shared" si="114"/>
        <v>0</v>
      </c>
      <c r="AA180" s="1074">
        <f t="shared" si="114"/>
        <v>0</v>
      </c>
      <c r="AB180" s="1074">
        <f t="shared" si="113"/>
        <v>0</v>
      </c>
      <c r="AC180" s="1074">
        <f t="shared" si="113"/>
        <v>0</v>
      </c>
      <c r="AD180" s="1074">
        <f t="shared" si="113"/>
        <v>0</v>
      </c>
      <c r="AE180" s="1074">
        <f t="shared" si="113"/>
        <v>0</v>
      </c>
      <c r="AF180" s="1074">
        <f t="shared" si="113"/>
        <v>0</v>
      </c>
      <c r="AG180" s="1074">
        <f t="shared" si="113"/>
        <v>0</v>
      </c>
      <c r="AH180" s="1074">
        <f t="shared" si="113"/>
        <v>0</v>
      </c>
      <c r="AI180" s="1074">
        <f t="shared" si="113"/>
        <v>0</v>
      </c>
      <c r="AJ180" s="1074">
        <f t="shared" si="113"/>
        <v>0</v>
      </c>
      <c r="AK180" s="1074">
        <f t="shared" si="113"/>
        <v>0</v>
      </c>
      <c r="AL180" s="1074">
        <f t="shared" si="113"/>
        <v>0</v>
      </c>
      <c r="AM180" s="1074">
        <f t="shared" si="113"/>
        <v>0</v>
      </c>
      <c r="AN180" s="1074">
        <f t="shared" si="113"/>
        <v>0</v>
      </c>
      <c r="AO180" s="1074">
        <f t="shared" si="113"/>
        <v>0</v>
      </c>
      <c r="AP180" s="806" t="s">
        <v>244</v>
      </c>
      <c r="AQ180" s="812">
        <v>0</v>
      </c>
    </row>
    <row r="181" spans="1:43" ht="18" customHeight="1" x14ac:dyDescent="0.25">
      <c r="A181" s="1488"/>
      <c r="B181" s="42" t="s">
        <v>15</v>
      </c>
      <c r="C181" s="334"/>
      <c r="D181" s="334"/>
      <c r="E181" s="334"/>
      <c r="F181" s="313"/>
      <c r="G181" s="335"/>
      <c r="H181" s="336"/>
      <c r="I181" s="1328"/>
      <c r="J181" s="1096"/>
      <c r="K181" s="649"/>
      <c r="L181" s="1082">
        <v>7644.31</v>
      </c>
      <c r="M181" s="83">
        <v>0</v>
      </c>
      <c r="N181" s="83">
        <v>377.26</v>
      </c>
      <c r="O181" s="83">
        <v>0</v>
      </c>
      <c r="P181" s="83">
        <v>7000</v>
      </c>
      <c r="Q181" s="83">
        <v>0</v>
      </c>
      <c r="R181" s="83">
        <v>0</v>
      </c>
      <c r="S181" s="83">
        <v>0</v>
      </c>
      <c r="T181" s="83">
        <f>SUM(T182:T183)</f>
        <v>0</v>
      </c>
      <c r="U181" s="83">
        <f>SUM(U182:U183)</f>
        <v>0</v>
      </c>
      <c r="V181" s="83">
        <f t="shared" ref="V181:AE181" si="115">SUM(V182:V183)</f>
        <v>0</v>
      </c>
      <c r="W181" s="83">
        <f t="shared" si="115"/>
        <v>0</v>
      </c>
      <c r="X181" s="83">
        <f t="shared" si="115"/>
        <v>0</v>
      </c>
      <c r="Y181" s="83">
        <f t="shared" si="115"/>
        <v>0</v>
      </c>
      <c r="Z181" s="259"/>
      <c r="AA181" s="83">
        <f t="shared" si="115"/>
        <v>0</v>
      </c>
      <c r="AB181" s="83">
        <f t="shared" si="115"/>
        <v>0</v>
      </c>
      <c r="AC181" s="83">
        <f t="shared" si="115"/>
        <v>0</v>
      </c>
      <c r="AD181" s="83">
        <f t="shared" si="115"/>
        <v>0</v>
      </c>
      <c r="AE181" s="83">
        <f t="shared" si="115"/>
        <v>0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0</v>
      </c>
      <c r="AL181" s="83">
        <v>0</v>
      </c>
      <c r="AM181" s="83">
        <v>0</v>
      </c>
      <c r="AN181" s="83">
        <v>0</v>
      </c>
      <c r="AO181" s="83">
        <v>0</v>
      </c>
      <c r="AP181" s="409"/>
      <c r="AQ181" s="259"/>
    </row>
    <row r="182" spans="1:43" s="266" customFormat="1" ht="18" hidden="1" customHeight="1" x14ac:dyDescent="0.25">
      <c r="A182" s="366"/>
      <c r="B182" s="252" t="s">
        <v>232</v>
      </c>
      <c r="C182" s="253"/>
      <c r="D182" s="253"/>
      <c r="E182" s="253"/>
      <c r="F182" s="363"/>
      <c r="G182" s="255"/>
      <c r="H182" s="256"/>
      <c r="I182" s="367"/>
      <c r="J182" s="533"/>
      <c r="K182" s="534"/>
      <c r="L182" s="258"/>
      <c r="M182" s="259"/>
      <c r="N182" s="259"/>
      <c r="O182" s="259"/>
      <c r="P182" s="83"/>
      <c r="Q182" s="259"/>
      <c r="R182" s="259"/>
      <c r="S182" s="259"/>
      <c r="T182" s="259"/>
      <c r="U182" s="259"/>
      <c r="V182" s="259"/>
      <c r="W182" s="259"/>
      <c r="X182" s="83"/>
      <c r="Y182" s="83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ht="18" customHeight="1" x14ac:dyDescent="0.25">
      <c r="A183" s="1058"/>
      <c r="B183" s="42" t="s">
        <v>32</v>
      </c>
      <c r="C183" s="334"/>
      <c r="D183" s="334"/>
      <c r="E183" s="334"/>
      <c r="F183" s="313"/>
      <c r="G183" s="335"/>
      <c r="H183" s="336"/>
      <c r="I183" s="1057"/>
      <c r="J183" s="1096"/>
      <c r="K183" s="649"/>
      <c r="L183" s="1082"/>
      <c r="M183" s="83"/>
      <c r="N183" s="83"/>
      <c r="O183" s="83"/>
      <c r="P183" s="83">
        <v>63000</v>
      </c>
      <c r="Q183" s="83">
        <f>S183+U183</f>
        <v>0</v>
      </c>
      <c r="R183" s="83"/>
      <c r="S183" s="83"/>
      <c r="T183" s="83">
        <v>0</v>
      </c>
      <c r="U183" s="83">
        <v>0</v>
      </c>
      <c r="V183" s="83"/>
      <c r="W183" s="83"/>
      <c r="X183" s="83"/>
      <c r="Y183" s="83"/>
      <c r="Z183" s="83"/>
      <c r="AA183" s="83">
        <f>SUM(AB183:AC183)</f>
        <v>0</v>
      </c>
      <c r="AB183" s="83"/>
      <c r="AC183" s="83">
        <v>0</v>
      </c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409"/>
      <c r="AQ183" s="83"/>
    </row>
    <row r="184" spans="1:43" s="327" customFormat="1" ht="26.25" customHeight="1" x14ac:dyDescent="0.25">
      <c r="A184" s="1398" t="s">
        <v>169</v>
      </c>
      <c r="B184" s="772" t="s">
        <v>170</v>
      </c>
      <c r="C184" s="809"/>
      <c r="D184" s="809"/>
      <c r="E184" s="809"/>
      <c r="F184" s="312"/>
      <c r="G184" s="775"/>
      <c r="H184" s="810"/>
      <c r="I184" s="1326" t="s">
        <v>19</v>
      </c>
      <c r="J184" s="283"/>
      <c r="K184" s="811"/>
      <c r="L184" s="1074">
        <f>L185</f>
        <v>8790.08</v>
      </c>
      <c r="M184" s="1074">
        <f>M185</f>
        <v>0</v>
      </c>
      <c r="N184" s="1074">
        <f t="shared" ref="N184:AO185" si="116">N185</f>
        <v>612.4</v>
      </c>
      <c r="O184" s="1074">
        <f t="shared" si="116"/>
        <v>7188.28</v>
      </c>
      <c r="P184" s="1074">
        <v>1215.26</v>
      </c>
      <c r="Q184" s="1074">
        <v>0</v>
      </c>
      <c r="R184" s="1074">
        <f t="shared" si="116"/>
        <v>0</v>
      </c>
      <c r="S184" s="1074">
        <f t="shared" si="116"/>
        <v>0</v>
      </c>
      <c r="T184" s="1074">
        <f t="shared" si="116"/>
        <v>0</v>
      </c>
      <c r="U184" s="1074">
        <f t="shared" si="116"/>
        <v>2205.3380000000002</v>
      </c>
      <c r="V184" s="1074">
        <f t="shared" si="116"/>
        <v>0</v>
      </c>
      <c r="W184" s="1074">
        <f t="shared" si="116"/>
        <v>0</v>
      </c>
      <c r="X184" s="1074">
        <f t="shared" si="116"/>
        <v>0</v>
      </c>
      <c r="Y184" s="1074">
        <f t="shared" si="116"/>
        <v>0</v>
      </c>
      <c r="Z184" s="1074">
        <v>0</v>
      </c>
      <c r="AA184" s="1074">
        <v>0</v>
      </c>
      <c r="AB184" s="1074">
        <f>AB185</f>
        <v>2205.337</v>
      </c>
      <c r="AC184" s="1074">
        <f>AC185</f>
        <v>0</v>
      </c>
      <c r="AD184" s="1074">
        <f>AD185</f>
        <v>0</v>
      </c>
      <c r="AE184" s="1074">
        <f>AE185</f>
        <v>0</v>
      </c>
      <c r="AF184" s="1074">
        <f t="shared" si="116"/>
        <v>0</v>
      </c>
      <c r="AG184" s="1074">
        <f t="shared" si="116"/>
        <v>0</v>
      </c>
      <c r="AH184" s="1074">
        <f t="shared" si="116"/>
        <v>0</v>
      </c>
      <c r="AI184" s="1074">
        <f t="shared" si="116"/>
        <v>0</v>
      </c>
      <c r="AJ184" s="1074">
        <f t="shared" si="116"/>
        <v>0</v>
      </c>
      <c r="AK184" s="1074">
        <f t="shared" si="116"/>
        <v>0</v>
      </c>
      <c r="AL184" s="1074">
        <f t="shared" si="116"/>
        <v>0</v>
      </c>
      <c r="AM184" s="1074">
        <f t="shared" si="116"/>
        <v>0</v>
      </c>
      <c r="AN184" s="1074">
        <f t="shared" si="116"/>
        <v>0</v>
      </c>
      <c r="AO184" s="1074">
        <f t="shared" si="116"/>
        <v>0</v>
      </c>
      <c r="AP184" s="806"/>
      <c r="AQ184" s="1074">
        <v>0</v>
      </c>
    </row>
    <row r="185" spans="1:43" ht="24" hidden="1" customHeight="1" x14ac:dyDescent="0.25">
      <c r="A185" s="1488"/>
      <c r="B185" s="42" t="s">
        <v>15</v>
      </c>
      <c r="C185" s="334"/>
      <c r="D185" s="334"/>
      <c r="E185" s="334"/>
      <c r="F185" s="313"/>
      <c r="G185" s="335"/>
      <c r="H185" s="336"/>
      <c r="I185" s="1328"/>
      <c r="J185" s="1096"/>
      <c r="K185" s="649"/>
      <c r="L185" s="1082">
        <v>8790.08</v>
      </c>
      <c r="M185" s="83">
        <v>0</v>
      </c>
      <c r="N185" s="83">
        <v>612.4</v>
      </c>
      <c r="O185" s="83">
        <v>7188.28</v>
      </c>
      <c r="P185" s="83">
        <v>8177.68</v>
      </c>
      <c r="Q185" s="83">
        <f>Q186</f>
        <v>2205.3380000000002</v>
      </c>
      <c r="R185" s="83">
        <f t="shared" si="116"/>
        <v>0</v>
      </c>
      <c r="S185" s="83">
        <f t="shared" si="116"/>
        <v>0</v>
      </c>
      <c r="T185" s="83">
        <f t="shared" si="116"/>
        <v>0</v>
      </c>
      <c r="U185" s="83">
        <f t="shared" si="116"/>
        <v>2205.3380000000002</v>
      </c>
      <c r="V185" s="83">
        <f t="shared" si="116"/>
        <v>0</v>
      </c>
      <c r="W185" s="83">
        <f t="shared" si="116"/>
        <v>0</v>
      </c>
      <c r="X185" s="83">
        <f t="shared" si="116"/>
        <v>0</v>
      </c>
      <c r="Y185" s="83">
        <f t="shared" si="116"/>
        <v>0</v>
      </c>
      <c r="Z185" s="259"/>
      <c r="AA185" s="83">
        <f t="shared" si="116"/>
        <v>2205.337</v>
      </c>
      <c r="AB185" s="83">
        <f t="shared" si="116"/>
        <v>2205.337</v>
      </c>
      <c r="AC185" s="83">
        <f t="shared" si="116"/>
        <v>0</v>
      </c>
      <c r="AD185" s="83">
        <f>AD186</f>
        <v>0</v>
      </c>
      <c r="AE185" s="83">
        <f>AE186</f>
        <v>0</v>
      </c>
      <c r="AF185" s="83">
        <f t="shared" si="116"/>
        <v>0</v>
      </c>
      <c r="AG185" s="83">
        <f t="shared" si="116"/>
        <v>0</v>
      </c>
      <c r="AH185" s="83">
        <v>0</v>
      </c>
      <c r="AI185" s="83">
        <v>0</v>
      </c>
      <c r="AJ185" s="83">
        <v>0</v>
      </c>
      <c r="AK185" s="83">
        <v>0</v>
      </c>
      <c r="AL185" s="83">
        <v>0</v>
      </c>
      <c r="AM185" s="83">
        <v>0</v>
      </c>
      <c r="AN185" s="83">
        <v>0</v>
      </c>
      <c r="AO185" s="83">
        <v>0</v>
      </c>
      <c r="AP185" s="409"/>
      <c r="AQ185" s="259"/>
    </row>
    <row r="186" spans="1:43" s="266" customFormat="1" ht="27" hidden="1" customHeight="1" x14ac:dyDescent="0.25">
      <c r="A186" s="366"/>
      <c r="B186" s="252" t="s">
        <v>302</v>
      </c>
      <c r="C186" s="253"/>
      <c r="D186" s="253"/>
      <c r="E186" s="253"/>
      <c r="F186" s="363"/>
      <c r="G186" s="255"/>
      <c r="H186" s="256"/>
      <c r="I186" s="367"/>
      <c r="J186" s="533"/>
      <c r="K186" s="534"/>
      <c r="L186" s="258"/>
      <c r="M186" s="259"/>
      <c r="N186" s="259"/>
      <c r="O186" s="259"/>
      <c r="P186" s="259"/>
      <c r="Q186" s="259">
        <f>S186+U186</f>
        <v>2205.3380000000002</v>
      </c>
      <c r="R186" s="259"/>
      <c r="S186" s="259"/>
      <c r="T186" s="259"/>
      <c r="U186" s="259">
        <v>2205.3380000000002</v>
      </c>
      <c r="V186" s="259"/>
      <c r="W186" s="259"/>
      <c r="X186" s="259"/>
      <c r="Y186" s="259"/>
      <c r="Z186" s="259"/>
      <c r="AA186" s="259">
        <f>AB186</f>
        <v>2205.337</v>
      </c>
      <c r="AB186" s="259">
        <v>2205.337</v>
      </c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411"/>
      <c r="AQ186" s="259"/>
    </row>
    <row r="187" spans="1:43" s="327" customFormat="1" ht="43.5" customHeight="1" x14ac:dyDescent="0.25">
      <c r="A187" s="1398" t="s">
        <v>171</v>
      </c>
      <c r="B187" s="772" t="s">
        <v>172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1074">
        <f>L188+L194</f>
        <v>204849.53</v>
      </c>
      <c r="M187" s="1074">
        <f>M188+M194</f>
        <v>195485</v>
      </c>
      <c r="N187" s="1074">
        <f>N188+N194</f>
        <v>203676.84</v>
      </c>
      <c r="O187" s="1074">
        <f t="shared" ref="O187:AO187" si="117">O188</f>
        <v>1116.69</v>
      </c>
      <c r="P187" s="1074">
        <f>P188+P194</f>
        <v>0</v>
      </c>
      <c r="Q187" s="1074">
        <f t="shared" si="117"/>
        <v>0</v>
      </c>
      <c r="R187" s="1074">
        <f t="shared" si="117"/>
        <v>0</v>
      </c>
      <c r="S187" s="1074">
        <f t="shared" si="117"/>
        <v>3000</v>
      </c>
      <c r="T187" s="1074">
        <f t="shared" si="117"/>
        <v>0</v>
      </c>
      <c r="U187" s="1074">
        <f t="shared" si="117"/>
        <v>0</v>
      </c>
      <c r="V187" s="1074">
        <f t="shared" si="117"/>
        <v>0</v>
      </c>
      <c r="W187" s="1074">
        <f t="shared" si="117"/>
        <v>0</v>
      </c>
      <c r="X187" s="1074">
        <f t="shared" si="117"/>
        <v>0</v>
      </c>
      <c r="Y187" s="1074">
        <f t="shared" si="117"/>
        <v>0</v>
      </c>
      <c r="Z187" s="812">
        <v>0</v>
      </c>
      <c r="AA187" s="1074">
        <f t="shared" si="117"/>
        <v>0</v>
      </c>
      <c r="AB187" s="1074">
        <f t="shared" si="117"/>
        <v>0</v>
      </c>
      <c r="AC187" s="1074">
        <f t="shared" si="117"/>
        <v>0</v>
      </c>
      <c r="AD187" s="1074">
        <f t="shared" si="117"/>
        <v>0</v>
      </c>
      <c r="AE187" s="1074">
        <f t="shared" si="117"/>
        <v>0</v>
      </c>
      <c r="AF187" s="1074">
        <f t="shared" si="117"/>
        <v>0</v>
      </c>
      <c r="AG187" s="1074">
        <f t="shared" si="117"/>
        <v>0</v>
      </c>
      <c r="AH187" s="1074">
        <f t="shared" si="117"/>
        <v>0</v>
      </c>
      <c r="AI187" s="1074">
        <f t="shared" si="117"/>
        <v>0</v>
      </c>
      <c r="AJ187" s="1074">
        <f t="shared" si="117"/>
        <v>0</v>
      </c>
      <c r="AK187" s="1074">
        <f t="shared" si="117"/>
        <v>0</v>
      </c>
      <c r="AL187" s="1074">
        <f t="shared" si="117"/>
        <v>0</v>
      </c>
      <c r="AM187" s="1074">
        <f t="shared" si="117"/>
        <v>0</v>
      </c>
      <c r="AN187" s="1074">
        <f t="shared" si="117"/>
        <v>0</v>
      </c>
      <c r="AO187" s="1074">
        <f t="shared" si="117"/>
        <v>0</v>
      </c>
      <c r="AP187" s="813" t="s">
        <v>295</v>
      </c>
      <c r="AQ187" s="812">
        <v>0</v>
      </c>
    </row>
    <row r="188" spans="1:43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1096"/>
      <c r="K188" s="649"/>
      <c r="L188" s="1082">
        <v>9364.5300000000007</v>
      </c>
      <c r="M188" s="83">
        <v>0</v>
      </c>
      <c r="N188" s="83">
        <v>8191.84</v>
      </c>
      <c r="O188" s="83">
        <v>1116.69</v>
      </c>
      <c r="P188" s="83">
        <v>0</v>
      </c>
      <c r="Q188" s="83">
        <v>0</v>
      </c>
      <c r="R188" s="83">
        <f>P188</f>
        <v>0</v>
      </c>
      <c r="S188" s="83">
        <f>SUM(S189:S193)</f>
        <v>3000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259"/>
      <c r="AA188" s="83">
        <f>SUM(AA189:AA193)</f>
        <v>0</v>
      </c>
      <c r="AB188" s="83">
        <f t="shared" ref="AB188:AJ188" si="118">SUM(AB189:AB191)</f>
        <v>0</v>
      </c>
      <c r="AC188" s="83">
        <f t="shared" si="118"/>
        <v>0</v>
      </c>
      <c r="AD188" s="83">
        <f t="shared" si="118"/>
        <v>0</v>
      </c>
      <c r="AE188" s="83">
        <f>SUM(AE189:AE193)</f>
        <v>0</v>
      </c>
      <c r="AF188" s="83">
        <f t="shared" si="118"/>
        <v>0</v>
      </c>
      <c r="AG188" s="83">
        <f t="shared" si="118"/>
        <v>0</v>
      </c>
      <c r="AH188" s="83">
        <f t="shared" si="118"/>
        <v>0</v>
      </c>
      <c r="AI188" s="83">
        <f t="shared" si="118"/>
        <v>0</v>
      </c>
      <c r="AJ188" s="83">
        <f t="shared" si="118"/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15.75" hidden="1" x14ac:dyDescent="0.25">
      <c r="A189" s="324"/>
      <c r="B189" s="252" t="s">
        <v>233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83"/>
      <c r="Q189" s="259">
        <f>Y189</f>
        <v>0</v>
      </c>
      <c r="R189" s="259"/>
      <c r="S189" s="259"/>
      <c r="T189" s="259"/>
      <c r="U189" s="259"/>
      <c r="V189" s="259"/>
      <c r="W189" s="259"/>
      <c r="X189" s="259">
        <f>Y189</f>
        <v>0</v>
      </c>
      <c r="Y189" s="83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262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S190+U190+W190</f>
        <v>3000</v>
      </c>
      <c r="R190" s="259">
        <f>S190</f>
        <v>3000</v>
      </c>
      <c r="S190" s="259">
        <v>3000</v>
      </c>
      <c r="T190" s="259">
        <f>U190</f>
        <v>0</v>
      </c>
      <c r="U190" s="259">
        <v>0</v>
      </c>
      <c r="V190" s="259"/>
      <c r="W190" s="259">
        <v>0</v>
      </c>
      <c r="X190" s="259"/>
      <c r="Y190" s="259"/>
      <c r="Z190" s="259"/>
      <c r="AA190" s="259">
        <f>SUM(AB190:AC190)</f>
        <v>0</v>
      </c>
      <c r="AB190" s="259"/>
      <c r="AC190" s="259">
        <v>0</v>
      </c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263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v>0</v>
      </c>
      <c r="R191" s="259">
        <v>0</v>
      </c>
      <c r="S191" s="259">
        <v>0</v>
      </c>
      <c r="T191" s="259">
        <v>0</v>
      </c>
      <c r="U191" s="259">
        <v>0</v>
      </c>
      <c r="V191" s="259"/>
      <c r="W191" s="259"/>
      <c r="X191" s="259"/>
      <c r="Y191" s="259"/>
      <c r="Z191" s="259"/>
      <c r="AA191" s="259">
        <f>SUM(AB191:AC191)</f>
        <v>0</v>
      </c>
      <c r="AB191" s="259"/>
      <c r="AC191" s="259">
        <v>0</v>
      </c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s="266" customFormat="1" ht="15.75" hidden="1" x14ac:dyDescent="0.25">
      <c r="A192" s="324"/>
      <c r="B192" s="252" t="s">
        <v>292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259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259">
        <v>0</v>
      </c>
      <c r="Z192" s="259"/>
      <c r="AA192" s="259">
        <f>SUM(AB192:AE192)</f>
        <v>0</v>
      </c>
      <c r="AB192" s="259"/>
      <c r="AC192" s="259"/>
      <c r="AD192" s="259"/>
      <c r="AE192" s="259">
        <v>0</v>
      </c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293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Y193</f>
        <v>0</v>
      </c>
      <c r="R193" s="259"/>
      <c r="S193" s="259"/>
      <c r="T193" s="259"/>
      <c r="U193" s="259"/>
      <c r="V193" s="259"/>
      <c r="W193" s="259"/>
      <c r="X193" s="259">
        <f>Y193</f>
        <v>0</v>
      </c>
      <c r="Y193" s="259">
        <v>0</v>
      </c>
      <c r="Z193" s="259"/>
      <c r="AA193" s="259">
        <f>SUM(AB193:AE193)</f>
        <v>0</v>
      </c>
      <c r="AB193" s="259"/>
      <c r="AC193" s="259"/>
      <c r="AD193" s="259"/>
      <c r="AE193" s="259">
        <v>0</v>
      </c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ht="17.25" customHeight="1" x14ac:dyDescent="0.25">
      <c r="A194" s="1051"/>
      <c r="B194" s="42" t="s">
        <v>32</v>
      </c>
      <c r="C194" s="334"/>
      <c r="D194" s="334"/>
      <c r="E194" s="334"/>
      <c r="F194" s="313"/>
      <c r="G194" s="335"/>
      <c r="H194" s="336"/>
      <c r="I194" s="1054" t="s">
        <v>10</v>
      </c>
      <c r="J194" s="1096"/>
      <c r="K194" s="649"/>
      <c r="L194" s="1082">
        <v>195485</v>
      </c>
      <c r="M194" s="1082">
        <v>195485</v>
      </c>
      <c r="N194" s="1082">
        <v>195485</v>
      </c>
      <c r="O194" s="1082">
        <v>195485</v>
      </c>
      <c r="P194" s="1082">
        <v>0</v>
      </c>
      <c r="Q194" s="83"/>
      <c r="R194" s="83"/>
      <c r="S194" s="83"/>
      <c r="T194" s="83"/>
      <c r="U194" s="83"/>
      <c r="V194" s="83"/>
      <c r="W194" s="83"/>
      <c r="X194" s="83"/>
      <c r="Y194" s="83"/>
      <c r="Z194" s="259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s="327" customFormat="1" ht="25.5" x14ac:dyDescent="0.25">
      <c r="A195" s="1092"/>
      <c r="B195" s="772" t="s">
        <v>409</v>
      </c>
      <c r="C195" s="809"/>
      <c r="D195" s="809"/>
      <c r="E195" s="809"/>
      <c r="F195" s="312"/>
      <c r="G195" s="775"/>
      <c r="H195" s="810"/>
      <c r="I195" s="1094"/>
      <c r="J195" s="283"/>
      <c r="K195" s="811"/>
      <c r="L195" s="1074"/>
      <c r="M195" s="1074"/>
      <c r="N195" s="1074"/>
      <c r="O195" s="1074"/>
      <c r="P195" s="1074">
        <f>P196+P197</f>
        <v>12759.949999999999</v>
      </c>
      <c r="Q195" s="816">
        <v>0</v>
      </c>
      <c r="R195" s="816"/>
      <c r="S195" s="816"/>
      <c r="T195" s="816"/>
      <c r="U195" s="816"/>
      <c r="V195" s="816"/>
      <c r="W195" s="816"/>
      <c r="X195" s="816"/>
      <c r="Y195" s="816"/>
      <c r="Z195" s="817"/>
      <c r="AA195" s="816">
        <v>0</v>
      </c>
      <c r="AB195" s="816"/>
      <c r="AC195" s="816"/>
      <c r="AD195" s="816"/>
      <c r="AE195" s="816"/>
      <c r="AF195" s="816"/>
      <c r="AG195" s="816"/>
      <c r="AH195" s="816"/>
      <c r="AI195" s="816"/>
      <c r="AJ195" s="816"/>
      <c r="AK195" s="816"/>
      <c r="AL195" s="816"/>
      <c r="AM195" s="816"/>
      <c r="AN195" s="816"/>
      <c r="AO195" s="816"/>
      <c r="AP195" s="818"/>
      <c r="AQ195" s="817"/>
    </row>
    <row r="196" spans="1:43" ht="15.75" x14ac:dyDescent="0.25">
      <c r="A196" s="1051"/>
      <c r="B196" s="42" t="s">
        <v>39</v>
      </c>
      <c r="C196" s="334"/>
      <c r="D196" s="334"/>
      <c r="E196" s="334"/>
      <c r="F196" s="313"/>
      <c r="G196" s="335"/>
      <c r="H196" s="336"/>
      <c r="I196" s="1054"/>
      <c r="J196" s="1096"/>
      <c r="K196" s="649"/>
      <c r="L196" s="1082"/>
      <c r="M196" s="1082"/>
      <c r="N196" s="1082"/>
      <c r="O196" s="1082"/>
      <c r="P196" s="1082">
        <v>1652.72</v>
      </c>
      <c r="Q196" s="83">
        <v>0</v>
      </c>
      <c r="R196" s="83"/>
      <c r="S196" s="83"/>
      <c r="T196" s="83"/>
      <c r="U196" s="83"/>
      <c r="V196" s="83"/>
      <c r="W196" s="83"/>
      <c r="X196" s="83"/>
      <c r="Y196" s="83"/>
      <c r="Z196" s="259"/>
      <c r="AA196" s="83">
        <v>0</v>
      </c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409"/>
      <c r="AQ196" s="259"/>
    </row>
    <row r="197" spans="1:43" ht="15.75" x14ac:dyDescent="0.25">
      <c r="A197" s="1051"/>
      <c r="B197" s="42" t="s">
        <v>32</v>
      </c>
      <c r="C197" s="334"/>
      <c r="D197" s="334"/>
      <c r="E197" s="334"/>
      <c r="F197" s="313"/>
      <c r="G197" s="335"/>
      <c r="H197" s="336"/>
      <c r="I197" s="1056"/>
      <c r="J197" s="1096"/>
      <c r="K197" s="649"/>
      <c r="L197" s="1082"/>
      <c r="M197" s="83"/>
      <c r="N197" s="83"/>
      <c r="O197" s="83"/>
      <c r="P197" s="83">
        <v>11107.23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83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83"/>
    </row>
    <row r="198" spans="1:43" s="327" customFormat="1" ht="15.75" x14ac:dyDescent="0.25">
      <c r="A198" s="1092"/>
      <c r="B198" s="772" t="s">
        <v>410</v>
      </c>
      <c r="C198" s="809"/>
      <c r="D198" s="809"/>
      <c r="E198" s="809"/>
      <c r="F198" s="312"/>
      <c r="G198" s="775"/>
      <c r="H198" s="810"/>
      <c r="I198" s="1094"/>
      <c r="J198" s="283"/>
      <c r="K198" s="811"/>
      <c r="L198" s="1074"/>
      <c r="M198" s="1074"/>
      <c r="N198" s="1074"/>
      <c r="O198" s="1074"/>
      <c r="P198" s="1074">
        <f>P199+P200</f>
        <v>21627.71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1051"/>
      <c r="B199" s="42" t="s">
        <v>39</v>
      </c>
      <c r="C199" s="334"/>
      <c r="D199" s="334"/>
      <c r="E199" s="334"/>
      <c r="F199" s="313"/>
      <c r="G199" s="335"/>
      <c r="H199" s="336"/>
      <c r="I199" s="1054"/>
      <c r="J199" s="1096"/>
      <c r="K199" s="649"/>
      <c r="L199" s="1082"/>
      <c r="M199" s="1082"/>
      <c r="N199" s="1082"/>
      <c r="O199" s="1082"/>
      <c r="P199" s="1082">
        <v>1821.34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1051"/>
      <c r="B200" s="42" t="s">
        <v>16</v>
      </c>
      <c r="C200" s="334"/>
      <c r="D200" s="334"/>
      <c r="E200" s="334"/>
      <c r="F200" s="313"/>
      <c r="G200" s="335"/>
      <c r="H200" s="336"/>
      <c r="I200" s="1056"/>
      <c r="J200" s="1096"/>
      <c r="K200" s="649"/>
      <c r="L200" s="1082"/>
      <c r="M200" s="83"/>
      <c r="N200" s="83"/>
      <c r="O200" s="83"/>
      <c r="P200" s="83">
        <v>19806.37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25.5" x14ac:dyDescent="0.25">
      <c r="A201" s="1092"/>
      <c r="B201" s="772" t="s">
        <v>411</v>
      </c>
      <c r="C201" s="809"/>
      <c r="D201" s="809"/>
      <c r="E201" s="809"/>
      <c r="F201" s="312"/>
      <c r="G201" s="775"/>
      <c r="H201" s="810"/>
      <c r="I201" s="1094"/>
      <c r="J201" s="283"/>
      <c r="K201" s="811"/>
      <c r="L201" s="1074"/>
      <c r="M201" s="1074"/>
      <c r="N201" s="1074"/>
      <c r="O201" s="1074"/>
      <c r="P201" s="1074">
        <f>P202+P203</f>
        <v>12759.59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1051"/>
      <c r="B202" s="42" t="s">
        <v>39</v>
      </c>
      <c r="C202" s="334"/>
      <c r="D202" s="334"/>
      <c r="E202" s="334"/>
      <c r="F202" s="313"/>
      <c r="G202" s="335"/>
      <c r="H202" s="336"/>
      <c r="I202" s="1054"/>
      <c r="J202" s="1096"/>
      <c r="K202" s="649"/>
      <c r="L202" s="1082"/>
      <c r="M202" s="1082"/>
      <c r="N202" s="1082"/>
      <c r="O202" s="1082"/>
      <c r="P202" s="1082">
        <v>1652.36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1051"/>
      <c r="B203" s="42" t="s">
        <v>32</v>
      </c>
      <c r="C203" s="334"/>
      <c r="D203" s="334"/>
      <c r="E203" s="334"/>
      <c r="F203" s="313"/>
      <c r="G203" s="335"/>
      <c r="H203" s="336"/>
      <c r="I203" s="1056"/>
      <c r="J203" s="1096"/>
      <c r="K203" s="649"/>
      <c r="L203" s="1082"/>
      <c r="M203" s="83"/>
      <c r="N203" s="83"/>
      <c r="O203" s="83"/>
      <c r="P203" s="83">
        <v>11107.23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ht="43.5" hidden="1" customHeight="1" x14ac:dyDescent="0.25">
      <c r="A204" s="1535" t="s">
        <v>24</v>
      </c>
      <c r="B204" s="1613" t="s">
        <v>206</v>
      </c>
      <c r="C204" s="1614"/>
      <c r="D204" s="1614"/>
      <c r="E204" s="1614"/>
      <c r="F204" s="1614"/>
      <c r="G204" s="1614"/>
      <c r="H204" s="1615"/>
      <c r="I204" s="23" t="s">
        <v>19</v>
      </c>
      <c r="J204" s="1096">
        <v>0</v>
      </c>
      <c r="K204" s="1096">
        <v>0</v>
      </c>
      <c r="L204" s="47">
        <v>0</v>
      </c>
      <c r="M204" s="47">
        <v>0</v>
      </c>
      <c r="N204" s="47">
        <v>0</v>
      </c>
      <c r="O204" s="47">
        <v>1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96"/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41.25" hidden="1" customHeight="1" x14ac:dyDescent="0.25">
      <c r="A205" s="1535"/>
      <c r="B205" s="1616"/>
      <c r="C205" s="1617"/>
      <c r="D205" s="1617"/>
      <c r="E205" s="1617"/>
      <c r="F205" s="1617"/>
      <c r="G205" s="1617"/>
      <c r="H205" s="1618"/>
      <c r="I205" s="23" t="s">
        <v>20</v>
      </c>
      <c r="J205" s="1096">
        <f>J208</f>
        <v>6379.79</v>
      </c>
      <c r="K205" s="1096">
        <f>K208</f>
        <v>0</v>
      </c>
      <c r="L205" s="47">
        <f t="shared" ref="L205:AK205" si="119">L208+L213+L219</f>
        <v>13097.62</v>
      </c>
      <c r="M205" s="47">
        <f t="shared" si="119"/>
        <v>4269.0300000000007</v>
      </c>
      <c r="N205" s="47">
        <f t="shared" si="119"/>
        <v>5370.84</v>
      </c>
      <c r="O205" s="47">
        <f t="shared" si="119"/>
        <v>3372.5</v>
      </c>
      <c r="P205" s="47">
        <f t="shared" si="119"/>
        <v>78556.570000000007</v>
      </c>
      <c r="Q205" s="47">
        <f t="shared" si="119"/>
        <v>0</v>
      </c>
      <c r="R205" s="47">
        <f t="shared" si="119"/>
        <v>0</v>
      </c>
      <c r="S205" s="47">
        <f t="shared" si="119"/>
        <v>0</v>
      </c>
      <c r="T205" s="47">
        <f t="shared" si="119"/>
        <v>753.46</v>
      </c>
      <c r="U205" s="47">
        <f t="shared" si="119"/>
        <v>753.46</v>
      </c>
      <c r="V205" s="47">
        <f t="shared" si="119"/>
        <v>4173.82</v>
      </c>
      <c r="W205" s="47">
        <f t="shared" si="119"/>
        <v>4173.82</v>
      </c>
      <c r="X205" s="47">
        <f t="shared" si="119"/>
        <v>0</v>
      </c>
      <c r="Y205" s="47">
        <f t="shared" si="119"/>
        <v>0</v>
      </c>
      <c r="Z205" s="96"/>
      <c r="AA205" s="47">
        <f t="shared" si="119"/>
        <v>0</v>
      </c>
      <c r="AB205" s="47">
        <f t="shared" si="119"/>
        <v>0</v>
      </c>
      <c r="AC205" s="47">
        <f t="shared" si="119"/>
        <v>753.46</v>
      </c>
      <c r="AD205" s="47">
        <f t="shared" si="119"/>
        <v>4900</v>
      </c>
      <c r="AE205" s="47">
        <f t="shared" si="119"/>
        <v>0</v>
      </c>
      <c r="AF205" s="47">
        <f t="shared" si="119"/>
        <v>0</v>
      </c>
      <c r="AG205" s="47">
        <f t="shared" si="119"/>
        <v>0</v>
      </c>
      <c r="AH205" s="47">
        <f t="shared" si="119"/>
        <v>0</v>
      </c>
      <c r="AI205" s="47">
        <f t="shared" si="119"/>
        <v>0</v>
      </c>
      <c r="AJ205" s="47">
        <f t="shared" si="119"/>
        <v>0</v>
      </c>
      <c r="AK205" s="47">
        <f t="shared" si="119"/>
        <v>78556.570000000007</v>
      </c>
      <c r="AL205" s="47">
        <f>AL208</f>
        <v>78556.570000000007</v>
      </c>
      <c r="AM205" s="47">
        <f>AM208</f>
        <v>0</v>
      </c>
      <c r="AN205" s="47">
        <f>AN208</f>
        <v>0</v>
      </c>
      <c r="AO205" s="47">
        <f>AO208</f>
        <v>0</v>
      </c>
      <c r="AP205" s="397"/>
      <c r="AQ205" s="96"/>
    </row>
    <row r="206" spans="1:43" ht="38.25" hidden="1" customHeight="1" x14ac:dyDescent="0.25">
      <c r="A206" s="1535"/>
      <c r="B206" s="1616"/>
      <c r="C206" s="1617"/>
      <c r="D206" s="1617"/>
      <c r="E206" s="1617"/>
      <c r="F206" s="1617"/>
      <c r="G206" s="1617"/>
      <c r="H206" s="1618"/>
      <c r="I206" s="23" t="s">
        <v>10</v>
      </c>
      <c r="J206" s="1096">
        <v>0</v>
      </c>
      <c r="K206" s="1096">
        <v>0</v>
      </c>
      <c r="L206" s="47">
        <f>L225+L227</f>
        <v>2305.4499999999998</v>
      </c>
      <c r="M206" s="47">
        <f>M225+M227</f>
        <v>1650.1</v>
      </c>
      <c r="N206" s="47">
        <f t="shared" ref="N206:AJ206" si="120">N225+N227</f>
        <v>0</v>
      </c>
      <c r="O206" s="47">
        <f t="shared" si="120"/>
        <v>0</v>
      </c>
      <c r="P206" s="47">
        <f t="shared" si="120"/>
        <v>0</v>
      </c>
      <c r="Q206" s="47">
        <f t="shared" si="120"/>
        <v>99.9</v>
      </c>
      <c r="R206" s="47">
        <f t="shared" si="120"/>
        <v>0</v>
      </c>
      <c r="S206" s="47">
        <f t="shared" si="120"/>
        <v>0</v>
      </c>
      <c r="T206" s="47">
        <f t="shared" si="120"/>
        <v>0</v>
      </c>
      <c r="U206" s="47">
        <f t="shared" si="120"/>
        <v>0</v>
      </c>
      <c r="V206" s="47">
        <f t="shared" si="120"/>
        <v>0</v>
      </c>
      <c r="W206" s="47">
        <f t="shared" si="120"/>
        <v>0</v>
      </c>
      <c r="X206" s="47">
        <f t="shared" si="120"/>
        <v>0</v>
      </c>
      <c r="Y206" s="47">
        <f t="shared" si="120"/>
        <v>0</v>
      </c>
      <c r="Z206" s="96"/>
      <c r="AA206" s="47">
        <f t="shared" si="120"/>
        <v>99.9</v>
      </c>
      <c r="AB206" s="47">
        <f t="shared" si="120"/>
        <v>0</v>
      </c>
      <c r="AC206" s="47">
        <f t="shared" si="120"/>
        <v>0</v>
      </c>
      <c r="AD206" s="47">
        <f t="shared" si="120"/>
        <v>0</v>
      </c>
      <c r="AE206" s="47">
        <f t="shared" si="120"/>
        <v>0</v>
      </c>
      <c r="AF206" s="47">
        <f t="shared" si="120"/>
        <v>0</v>
      </c>
      <c r="AG206" s="47">
        <f t="shared" si="120"/>
        <v>0</v>
      </c>
      <c r="AH206" s="47">
        <f t="shared" si="120"/>
        <v>0</v>
      </c>
      <c r="AI206" s="47">
        <f t="shared" si="120"/>
        <v>0</v>
      </c>
      <c r="AJ206" s="47">
        <f t="shared" si="120"/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397"/>
      <c r="AQ206" s="96"/>
    </row>
    <row r="207" spans="1:43" ht="25.5" hidden="1" x14ac:dyDescent="0.25">
      <c r="A207" s="1535"/>
      <c r="B207" s="1619"/>
      <c r="C207" s="1620"/>
      <c r="D207" s="1620"/>
      <c r="E207" s="1620"/>
      <c r="F207" s="1620"/>
      <c r="G207" s="1620"/>
      <c r="H207" s="1621"/>
      <c r="I207" s="23" t="s">
        <v>9</v>
      </c>
      <c r="J207" s="1096">
        <v>0</v>
      </c>
      <c r="K207" s="1096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s="327" customFormat="1" ht="33" customHeight="1" x14ac:dyDescent="0.25">
      <c r="A208" s="1450" t="s">
        <v>30</v>
      </c>
      <c r="B208" s="780" t="s">
        <v>173</v>
      </c>
      <c r="C208" s="1326">
        <v>300</v>
      </c>
      <c r="D208" s="1326">
        <v>570</v>
      </c>
      <c r="E208" s="1326"/>
      <c r="F208" s="1326"/>
      <c r="G208" s="778"/>
      <c r="H208" s="778"/>
      <c r="I208" s="1463" t="s">
        <v>20</v>
      </c>
      <c r="J208" s="1622">
        <v>6379.79</v>
      </c>
      <c r="K208" s="3">
        <v>0</v>
      </c>
      <c r="L208" s="3">
        <f t="shared" ref="L208:AJ208" si="121">L209+L212</f>
        <v>5597.58</v>
      </c>
      <c r="M208" s="3">
        <f t="shared" si="121"/>
        <v>0</v>
      </c>
      <c r="N208" s="3">
        <f t="shared" si="121"/>
        <v>5370.84</v>
      </c>
      <c r="O208" s="3">
        <f t="shared" si="121"/>
        <v>3372.5</v>
      </c>
      <c r="P208" s="3">
        <f t="shared" si="121"/>
        <v>78556.570000000007</v>
      </c>
      <c r="Q208" s="3">
        <f t="shared" si="121"/>
        <v>0</v>
      </c>
      <c r="R208" s="3">
        <f t="shared" si="121"/>
        <v>0</v>
      </c>
      <c r="S208" s="3">
        <f t="shared" si="121"/>
        <v>0</v>
      </c>
      <c r="T208" s="3">
        <f t="shared" si="121"/>
        <v>753.46</v>
      </c>
      <c r="U208" s="3">
        <f t="shared" si="121"/>
        <v>753.46</v>
      </c>
      <c r="V208" s="3">
        <f t="shared" si="121"/>
        <v>4173.82</v>
      </c>
      <c r="W208" s="3">
        <f t="shared" si="121"/>
        <v>4173.82</v>
      </c>
      <c r="X208" s="3">
        <f t="shared" si="121"/>
        <v>0</v>
      </c>
      <c r="Y208" s="3">
        <f t="shared" si="121"/>
        <v>0</v>
      </c>
      <c r="Z208" s="95">
        <v>0</v>
      </c>
      <c r="AA208" s="3">
        <f t="shared" si="121"/>
        <v>0</v>
      </c>
      <c r="AB208" s="3">
        <f t="shared" si="121"/>
        <v>0</v>
      </c>
      <c r="AC208" s="3">
        <f t="shared" si="121"/>
        <v>753.46</v>
      </c>
      <c r="AD208" s="3">
        <f t="shared" si="121"/>
        <v>4900</v>
      </c>
      <c r="AE208" s="3">
        <f t="shared" si="121"/>
        <v>0</v>
      </c>
      <c r="AF208" s="3">
        <f t="shared" si="121"/>
        <v>0</v>
      </c>
      <c r="AG208" s="3">
        <f t="shared" si="121"/>
        <v>0</v>
      </c>
      <c r="AH208" s="3">
        <f t="shared" si="121"/>
        <v>0</v>
      </c>
      <c r="AI208" s="3">
        <f t="shared" si="121"/>
        <v>0</v>
      </c>
      <c r="AJ208" s="3">
        <f t="shared" si="121"/>
        <v>0</v>
      </c>
      <c r="AK208" s="3">
        <f>P208-Q208</f>
        <v>78556.570000000007</v>
      </c>
      <c r="AL208" s="3">
        <f>AK208</f>
        <v>78556.570000000007</v>
      </c>
      <c r="AM208" s="318">
        <f>ROUND((Q208*100%/P208*100),2)</f>
        <v>0</v>
      </c>
      <c r="AN208" s="3">
        <f>AN209+AN212</f>
        <v>0</v>
      </c>
      <c r="AO208" s="3">
        <f>AO209+AO212</f>
        <v>0</v>
      </c>
      <c r="AP208" s="633" t="s">
        <v>245</v>
      </c>
      <c r="AQ208" s="95">
        <v>0</v>
      </c>
    </row>
    <row r="209" spans="1:43" x14ac:dyDescent="0.25">
      <c r="A209" s="1399"/>
      <c r="B209" s="1" t="s">
        <v>15</v>
      </c>
      <c r="C209" s="1327"/>
      <c r="D209" s="1327"/>
      <c r="E209" s="1327"/>
      <c r="F209" s="1327"/>
      <c r="G209" s="1072">
        <v>2019</v>
      </c>
      <c r="H209" s="1072">
        <v>2019</v>
      </c>
      <c r="I209" s="1464"/>
      <c r="J209" s="1623"/>
      <c r="K209" s="47"/>
      <c r="L209" s="47">
        <v>5597.58</v>
      </c>
      <c r="M209" s="50">
        <v>0</v>
      </c>
      <c r="N209" s="50">
        <v>5370.84</v>
      </c>
      <c r="O209" s="50">
        <v>0</v>
      </c>
      <c r="P209" s="447">
        <v>89.08</v>
      </c>
      <c r="Q209" s="447">
        <v>0</v>
      </c>
      <c r="R209" s="447">
        <f t="shared" ref="R209:AD209" si="122">SUM(R210:R211)</f>
        <v>0</v>
      </c>
      <c r="S209" s="447">
        <f t="shared" si="122"/>
        <v>0</v>
      </c>
      <c r="T209" s="447">
        <f t="shared" si="122"/>
        <v>753.46</v>
      </c>
      <c r="U209" s="447">
        <f t="shared" si="122"/>
        <v>753.46</v>
      </c>
      <c r="V209" s="447">
        <f t="shared" si="122"/>
        <v>4173.82</v>
      </c>
      <c r="W209" s="447">
        <f t="shared" si="122"/>
        <v>4173.82</v>
      </c>
      <c r="X209" s="447">
        <f t="shared" si="122"/>
        <v>0</v>
      </c>
      <c r="Y209" s="447">
        <f t="shared" si="122"/>
        <v>0</v>
      </c>
      <c r="Z209" s="584"/>
      <c r="AA209" s="447">
        <v>0</v>
      </c>
      <c r="AB209" s="447">
        <f t="shared" si="122"/>
        <v>0</v>
      </c>
      <c r="AC209" s="447">
        <f t="shared" si="122"/>
        <v>753.46</v>
      </c>
      <c r="AD209" s="447">
        <f t="shared" si="122"/>
        <v>4900</v>
      </c>
      <c r="AE209" s="50">
        <f t="shared" ref="AE209:AO209" si="123">SUM(AE211)</f>
        <v>0</v>
      </c>
      <c r="AF209" s="50">
        <f>SUM(AF211)</f>
        <v>0</v>
      </c>
      <c r="AG209" s="50">
        <f>SUM(AG211)</f>
        <v>0</v>
      </c>
      <c r="AH209" s="50">
        <f>SUM(AH211)</f>
        <v>0</v>
      </c>
      <c r="AI209" s="50">
        <f>SUM(AI211)</f>
        <v>0</v>
      </c>
      <c r="AJ209" s="50">
        <f>SUM(AJ211)</f>
        <v>0</v>
      </c>
      <c r="AK209" s="50">
        <f t="shared" si="123"/>
        <v>0</v>
      </c>
      <c r="AL209" s="50">
        <f t="shared" si="123"/>
        <v>0</v>
      </c>
      <c r="AM209" s="50">
        <f t="shared" si="123"/>
        <v>0</v>
      </c>
      <c r="AN209" s="50">
        <f t="shared" si="123"/>
        <v>0</v>
      </c>
      <c r="AO209" s="50">
        <f t="shared" si="123"/>
        <v>0</v>
      </c>
      <c r="AP209" s="412"/>
      <c r="AQ209" s="584"/>
    </row>
    <row r="210" spans="1:43" s="266" customFormat="1" hidden="1" x14ac:dyDescent="0.25">
      <c r="A210" s="1399"/>
      <c r="B210" s="92" t="s">
        <v>322</v>
      </c>
      <c r="C210" s="1327"/>
      <c r="D210" s="1327"/>
      <c r="E210" s="1327"/>
      <c r="F210" s="1327"/>
      <c r="G210" s="104"/>
      <c r="H210" s="104"/>
      <c r="I210" s="1464"/>
      <c r="J210" s="1623"/>
      <c r="K210" s="96"/>
      <c r="L210" s="96"/>
      <c r="M210" s="263"/>
      <c r="N210" s="263"/>
      <c r="O210" s="263"/>
      <c r="P210" s="584"/>
      <c r="Q210" s="584">
        <f>V210</f>
        <v>4173.82</v>
      </c>
      <c r="R210" s="584"/>
      <c r="S210" s="584"/>
      <c r="T210" s="584"/>
      <c r="U210" s="584"/>
      <c r="V210" s="584">
        <f>W210</f>
        <v>4173.82</v>
      </c>
      <c r="W210" s="584">
        <v>4173.82</v>
      </c>
      <c r="X210" s="584"/>
      <c r="Y210" s="584"/>
      <c r="Z210" s="584"/>
      <c r="AA210" s="584">
        <f>AD210</f>
        <v>4900</v>
      </c>
      <c r="AB210" s="584"/>
      <c r="AC210" s="584"/>
      <c r="AD210" s="584">
        <v>4900</v>
      </c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413"/>
      <c r="AQ210" s="584"/>
    </row>
    <row r="211" spans="1:43" s="266" customFormat="1" hidden="1" x14ac:dyDescent="0.25">
      <c r="A211" s="1399"/>
      <c r="B211" s="92" t="s">
        <v>267</v>
      </c>
      <c r="C211" s="1327"/>
      <c r="D211" s="1327"/>
      <c r="E211" s="1327"/>
      <c r="F211" s="1327"/>
      <c r="G211" s="104"/>
      <c r="H211" s="104"/>
      <c r="I211" s="1464"/>
      <c r="J211" s="1623"/>
      <c r="K211" s="96"/>
      <c r="L211" s="96"/>
      <c r="M211" s="263"/>
      <c r="N211" s="263"/>
      <c r="O211" s="263"/>
      <c r="P211" s="263"/>
      <c r="Q211" s="263">
        <f>S211+U211</f>
        <v>753.46</v>
      </c>
      <c r="R211" s="263"/>
      <c r="S211" s="263"/>
      <c r="T211" s="263">
        <f>U211</f>
        <v>753.46</v>
      </c>
      <c r="U211" s="263">
        <f>ROUND((904.153/1.2),2)</f>
        <v>753.46</v>
      </c>
      <c r="V211" s="263"/>
      <c r="W211" s="263"/>
      <c r="X211" s="263"/>
      <c r="Y211" s="263"/>
      <c r="Z211" s="263"/>
      <c r="AA211" s="263">
        <f>AC211</f>
        <v>753.46</v>
      </c>
      <c r="AB211" s="263"/>
      <c r="AC211" s="263">
        <v>753.46</v>
      </c>
      <c r="AD211" s="263"/>
      <c r="AE211" s="263"/>
      <c r="AF211" s="263">
        <f>SUM(AG211:AG211)</f>
        <v>0</v>
      </c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413"/>
      <c r="AQ211" s="263"/>
    </row>
    <row r="212" spans="1:43" ht="15.75" customHeight="1" x14ac:dyDescent="0.25">
      <c r="A212" s="1488"/>
      <c r="B212" s="1049" t="s">
        <v>16</v>
      </c>
      <c r="C212" s="1328"/>
      <c r="D212" s="1328"/>
      <c r="E212" s="1328"/>
      <c r="F212" s="1328"/>
      <c r="G212" s="1072">
        <v>2021</v>
      </c>
      <c r="H212" s="1072">
        <v>2021</v>
      </c>
      <c r="I212" s="1465"/>
      <c r="J212" s="1624"/>
      <c r="K212" s="47"/>
      <c r="L212" s="47">
        <v>0</v>
      </c>
      <c r="M212" s="50">
        <v>0</v>
      </c>
      <c r="N212" s="50">
        <v>0</v>
      </c>
      <c r="O212" s="50">
        <v>3372.5</v>
      </c>
      <c r="P212" s="50">
        <v>78467.490000000005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50">
        <v>0</v>
      </c>
      <c r="Y212" s="50">
        <v>0</v>
      </c>
      <c r="Z212" s="263"/>
      <c r="AA212" s="50">
        <v>0</v>
      </c>
      <c r="AB212" s="50">
        <v>0</v>
      </c>
      <c r="AC212" s="50">
        <v>0</v>
      </c>
      <c r="AD212" s="50">
        <v>0</v>
      </c>
      <c r="AE212" s="50">
        <v>0</v>
      </c>
      <c r="AF212" s="50">
        <v>0</v>
      </c>
      <c r="AG212" s="50">
        <v>0</v>
      </c>
      <c r="AH212" s="50">
        <v>0</v>
      </c>
      <c r="AI212" s="50">
        <v>0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412"/>
      <c r="AQ212" s="263"/>
    </row>
    <row r="213" spans="1:43" s="327" customFormat="1" ht="42" customHeight="1" x14ac:dyDescent="0.25">
      <c r="A213" s="1649" t="s">
        <v>174</v>
      </c>
      <c r="B213" s="780" t="s">
        <v>175</v>
      </c>
      <c r="C213" s="133"/>
      <c r="D213" s="133"/>
      <c r="E213" s="133"/>
      <c r="F213" s="133"/>
      <c r="G213" s="778"/>
      <c r="H213" s="778"/>
      <c r="I213" s="1651" t="s">
        <v>20</v>
      </c>
      <c r="J213" s="1073"/>
      <c r="K213" s="3"/>
      <c r="L213" s="3">
        <f>L214</f>
        <v>3750.02</v>
      </c>
      <c r="M213" s="3">
        <f>M214</f>
        <v>1639</v>
      </c>
      <c r="N213" s="3">
        <f t="shared" ref="N213:AO213" si="124">N214</f>
        <v>0</v>
      </c>
      <c r="O213" s="3">
        <f t="shared" si="124"/>
        <v>0</v>
      </c>
      <c r="P213" s="3">
        <f t="shared" si="124"/>
        <v>0</v>
      </c>
      <c r="Q213" s="3">
        <f t="shared" si="124"/>
        <v>0</v>
      </c>
      <c r="R213" s="3">
        <f t="shared" si="124"/>
        <v>0</v>
      </c>
      <c r="S213" s="3">
        <f t="shared" si="124"/>
        <v>0</v>
      </c>
      <c r="T213" s="3">
        <f t="shared" si="124"/>
        <v>0</v>
      </c>
      <c r="U213" s="3">
        <f t="shared" si="124"/>
        <v>0</v>
      </c>
      <c r="V213" s="3">
        <f t="shared" si="124"/>
        <v>0</v>
      </c>
      <c r="W213" s="3">
        <f t="shared" si="124"/>
        <v>0</v>
      </c>
      <c r="X213" s="3">
        <f t="shared" si="124"/>
        <v>0</v>
      </c>
      <c r="Y213" s="3">
        <f t="shared" si="124"/>
        <v>0</v>
      </c>
      <c r="Z213" s="95">
        <v>0</v>
      </c>
      <c r="AA213" s="3">
        <f t="shared" si="124"/>
        <v>0</v>
      </c>
      <c r="AB213" s="3">
        <f t="shared" si="124"/>
        <v>0</v>
      </c>
      <c r="AC213" s="3">
        <f t="shared" si="124"/>
        <v>0</v>
      </c>
      <c r="AD213" s="3">
        <f t="shared" si="124"/>
        <v>0</v>
      </c>
      <c r="AE213" s="3">
        <f t="shared" si="124"/>
        <v>0</v>
      </c>
      <c r="AF213" s="3">
        <f t="shared" si="124"/>
        <v>0</v>
      </c>
      <c r="AG213" s="3">
        <f t="shared" si="124"/>
        <v>0</v>
      </c>
      <c r="AH213" s="3">
        <f t="shared" si="124"/>
        <v>0</v>
      </c>
      <c r="AI213" s="3">
        <f t="shared" si="124"/>
        <v>0</v>
      </c>
      <c r="AJ213" s="3">
        <f t="shared" si="124"/>
        <v>0</v>
      </c>
      <c r="AK213" s="3">
        <f t="shared" si="124"/>
        <v>0</v>
      </c>
      <c r="AL213" s="3">
        <f t="shared" si="124"/>
        <v>0</v>
      </c>
      <c r="AM213" s="3">
        <f t="shared" si="124"/>
        <v>0</v>
      </c>
      <c r="AN213" s="3">
        <f t="shared" si="124"/>
        <v>0</v>
      </c>
      <c r="AO213" s="3">
        <f t="shared" si="124"/>
        <v>0</v>
      </c>
      <c r="AP213" s="633" t="s">
        <v>256</v>
      </c>
      <c r="AQ213" s="95">
        <v>0</v>
      </c>
    </row>
    <row r="214" spans="1:43" s="327" customFormat="1" ht="15.75" hidden="1" customHeight="1" x14ac:dyDescent="0.25">
      <c r="A214" s="1650"/>
      <c r="B214" s="772" t="s">
        <v>15</v>
      </c>
      <c r="C214" s="133"/>
      <c r="D214" s="133"/>
      <c r="E214" s="133"/>
      <c r="F214" s="133"/>
      <c r="G214" s="312"/>
      <c r="H214" s="1067"/>
      <c r="I214" s="1652"/>
      <c r="J214" s="1073"/>
      <c r="K214" s="318"/>
      <c r="L214" s="3">
        <v>3750.02</v>
      </c>
      <c r="M214" s="3">
        <v>1639</v>
      </c>
      <c r="N214" s="3">
        <v>0</v>
      </c>
      <c r="O214" s="3">
        <v>0</v>
      </c>
      <c r="P214" s="3">
        <v>0</v>
      </c>
      <c r="Q214" s="819">
        <f>SUM(Q215:Q218)</f>
        <v>0</v>
      </c>
      <c r="R214" s="819">
        <f t="shared" ref="R214:AJ214" si="125">SUM(R215:R218)</f>
        <v>0</v>
      </c>
      <c r="S214" s="819">
        <f t="shared" si="125"/>
        <v>0</v>
      </c>
      <c r="T214" s="819">
        <f t="shared" si="125"/>
        <v>0</v>
      </c>
      <c r="U214" s="819">
        <f t="shared" si="125"/>
        <v>0</v>
      </c>
      <c r="V214" s="819">
        <f t="shared" si="125"/>
        <v>0</v>
      </c>
      <c r="W214" s="819">
        <f t="shared" si="125"/>
        <v>0</v>
      </c>
      <c r="X214" s="3">
        <v>0</v>
      </c>
      <c r="Y214" s="819">
        <f t="shared" si="125"/>
        <v>0</v>
      </c>
      <c r="Z214" s="820"/>
      <c r="AA214" s="819">
        <f t="shared" si="125"/>
        <v>0</v>
      </c>
      <c r="AB214" s="819">
        <f t="shared" si="125"/>
        <v>0</v>
      </c>
      <c r="AC214" s="819">
        <f t="shared" si="125"/>
        <v>0</v>
      </c>
      <c r="AD214" s="819">
        <f t="shared" si="125"/>
        <v>0</v>
      </c>
      <c r="AE214" s="819">
        <f t="shared" si="125"/>
        <v>0</v>
      </c>
      <c r="AF214" s="819">
        <f t="shared" si="125"/>
        <v>0</v>
      </c>
      <c r="AG214" s="819">
        <f t="shared" si="125"/>
        <v>0</v>
      </c>
      <c r="AH214" s="819">
        <f t="shared" si="125"/>
        <v>0</v>
      </c>
      <c r="AI214" s="819">
        <f t="shared" si="125"/>
        <v>0</v>
      </c>
      <c r="AJ214" s="819">
        <f t="shared" si="125"/>
        <v>0</v>
      </c>
      <c r="AK214" s="819">
        <f>SUM(AK215:AK218)</f>
        <v>0</v>
      </c>
      <c r="AL214" s="819">
        <f>SUM(AL215:AL218)</f>
        <v>0</v>
      </c>
      <c r="AM214" s="819">
        <f>SUM(AM215:AM218)</f>
        <v>0</v>
      </c>
      <c r="AN214" s="819">
        <f>SUM(AN215:AN218)</f>
        <v>0</v>
      </c>
      <c r="AO214" s="819">
        <f>SUM(AO215:AO218)</f>
        <v>0</v>
      </c>
      <c r="AP214" s="821"/>
      <c r="AQ214" s="820"/>
    </row>
    <row r="215" spans="1:43" s="827" customFormat="1" ht="15.75" hidden="1" customHeight="1" x14ac:dyDescent="0.25">
      <c r="A215" s="822"/>
      <c r="B215" s="823" t="s">
        <v>234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235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827" customFormat="1" ht="15.75" hidden="1" customHeight="1" x14ac:dyDescent="0.25">
      <c r="A217" s="822"/>
      <c r="B217" s="823" t="s">
        <v>236</v>
      </c>
      <c r="C217" s="369"/>
      <c r="D217" s="369"/>
      <c r="E217" s="369"/>
      <c r="F217" s="369"/>
      <c r="G217" s="254"/>
      <c r="H217" s="824"/>
      <c r="I217" s="825"/>
      <c r="J217" s="371"/>
      <c r="K217" s="372"/>
      <c r="L217" s="95"/>
      <c r="M217" s="95"/>
      <c r="N217" s="95"/>
      <c r="O217" s="95"/>
      <c r="P217" s="3"/>
      <c r="Q217" s="820">
        <f>Y217</f>
        <v>0</v>
      </c>
      <c r="R217" s="820"/>
      <c r="S217" s="820"/>
      <c r="T217" s="820"/>
      <c r="U217" s="820"/>
      <c r="V217" s="820"/>
      <c r="W217" s="820"/>
      <c r="X217" s="820">
        <v>0</v>
      </c>
      <c r="Y217" s="820">
        <v>0</v>
      </c>
      <c r="Z217" s="820"/>
      <c r="AA217" s="820">
        <v>0</v>
      </c>
      <c r="AB217" s="820">
        <v>0</v>
      </c>
      <c r="AC217" s="820"/>
      <c r="AD217" s="820"/>
      <c r="AE217" s="820"/>
      <c r="AF217" s="820"/>
      <c r="AG217" s="820"/>
      <c r="AH217" s="820"/>
      <c r="AI217" s="820"/>
      <c r="AJ217" s="820"/>
      <c r="AK217" s="820"/>
      <c r="AL217" s="820"/>
      <c r="AM217" s="820"/>
      <c r="AN217" s="820"/>
      <c r="AO217" s="820"/>
      <c r="AP217" s="826"/>
      <c r="AQ217" s="820"/>
    </row>
    <row r="218" spans="1:43" s="827" customFormat="1" ht="15.75" hidden="1" customHeight="1" x14ac:dyDescent="0.25">
      <c r="A218" s="822"/>
      <c r="B218" s="823" t="s">
        <v>237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327" customFormat="1" ht="40.5" customHeight="1" x14ac:dyDescent="0.25">
      <c r="A219" s="1091" t="s">
        <v>176</v>
      </c>
      <c r="B219" s="780" t="s">
        <v>177</v>
      </c>
      <c r="C219" s="133"/>
      <c r="D219" s="133"/>
      <c r="E219" s="133"/>
      <c r="F219" s="133"/>
      <c r="G219" s="778"/>
      <c r="H219" s="778"/>
      <c r="I219" s="1463" t="s">
        <v>20</v>
      </c>
      <c r="J219" s="1073"/>
      <c r="K219" s="3"/>
      <c r="L219" s="3">
        <f>L220</f>
        <v>3750.02</v>
      </c>
      <c r="M219" s="3">
        <f>M220</f>
        <v>2630.03</v>
      </c>
      <c r="N219" s="3">
        <f t="shared" ref="N219:AO219" si="126">N220</f>
        <v>0</v>
      </c>
      <c r="O219" s="3">
        <f t="shared" si="126"/>
        <v>0</v>
      </c>
      <c r="P219" s="3">
        <f t="shared" si="126"/>
        <v>0</v>
      </c>
      <c r="Q219" s="3">
        <f t="shared" si="126"/>
        <v>0</v>
      </c>
      <c r="R219" s="3">
        <f t="shared" si="126"/>
        <v>0</v>
      </c>
      <c r="S219" s="3">
        <f t="shared" si="126"/>
        <v>0</v>
      </c>
      <c r="T219" s="3">
        <f t="shared" si="126"/>
        <v>0</v>
      </c>
      <c r="U219" s="3">
        <f t="shared" si="126"/>
        <v>0</v>
      </c>
      <c r="V219" s="3">
        <f t="shared" si="126"/>
        <v>0</v>
      </c>
      <c r="W219" s="3">
        <f t="shared" si="126"/>
        <v>0</v>
      </c>
      <c r="X219" s="3">
        <f t="shared" si="126"/>
        <v>0</v>
      </c>
      <c r="Y219" s="3">
        <f t="shared" si="126"/>
        <v>0</v>
      </c>
      <c r="Z219" s="95">
        <v>0</v>
      </c>
      <c r="AA219" s="3">
        <f t="shared" si="126"/>
        <v>0</v>
      </c>
      <c r="AB219" s="3">
        <f t="shared" si="126"/>
        <v>0</v>
      </c>
      <c r="AC219" s="3">
        <f t="shared" si="126"/>
        <v>0</v>
      </c>
      <c r="AD219" s="3">
        <f t="shared" si="126"/>
        <v>0</v>
      </c>
      <c r="AE219" s="3">
        <f t="shared" si="126"/>
        <v>0</v>
      </c>
      <c r="AF219" s="3">
        <f t="shared" si="126"/>
        <v>0</v>
      </c>
      <c r="AG219" s="3">
        <f t="shared" si="126"/>
        <v>0</v>
      </c>
      <c r="AH219" s="3">
        <f t="shared" si="126"/>
        <v>0</v>
      </c>
      <c r="AI219" s="3">
        <f t="shared" si="126"/>
        <v>0</v>
      </c>
      <c r="AJ219" s="3">
        <f t="shared" si="126"/>
        <v>0</v>
      </c>
      <c r="AK219" s="3">
        <f t="shared" si="126"/>
        <v>0</v>
      </c>
      <c r="AL219" s="3">
        <f t="shared" si="126"/>
        <v>0</v>
      </c>
      <c r="AM219" s="3">
        <f t="shared" si="126"/>
        <v>0</v>
      </c>
      <c r="AN219" s="3">
        <f t="shared" si="126"/>
        <v>0</v>
      </c>
      <c r="AO219" s="3">
        <f t="shared" si="126"/>
        <v>0</v>
      </c>
      <c r="AP219" s="633" t="s">
        <v>256</v>
      </c>
      <c r="AQ219" s="95">
        <v>0</v>
      </c>
    </row>
    <row r="220" spans="1:43" ht="15.75" hidden="1" customHeight="1" x14ac:dyDescent="0.25">
      <c r="A220" s="1058"/>
      <c r="B220" s="42" t="s">
        <v>15</v>
      </c>
      <c r="C220" s="341"/>
      <c r="D220" s="341"/>
      <c r="E220" s="341"/>
      <c r="F220" s="341"/>
      <c r="G220" s="313"/>
      <c r="H220" s="1088"/>
      <c r="I220" s="1465"/>
      <c r="J220" s="1090"/>
      <c r="K220" s="4"/>
      <c r="L220" s="47">
        <v>3750.02</v>
      </c>
      <c r="M220" s="47">
        <v>2630.03</v>
      </c>
      <c r="N220" s="47">
        <v>0</v>
      </c>
      <c r="O220" s="47">
        <v>0</v>
      </c>
      <c r="P220" s="47">
        <v>0</v>
      </c>
      <c r="Q220" s="50">
        <f>SUM(Q221:Q224)</f>
        <v>0</v>
      </c>
      <c r="R220" s="50">
        <f t="shared" ref="R220:W220" si="127">SUM(R221:R224)</f>
        <v>0</v>
      </c>
      <c r="S220" s="50">
        <f t="shared" si="127"/>
        <v>0</v>
      </c>
      <c r="T220" s="50">
        <f t="shared" si="127"/>
        <v>0</v>
      </c>
      <c r="U220" s="50">
        <f t="shared" si="127"/>
        <v>0</v>
      </c>
      <c r="V220" s="50">
        <f t="shared" si="127"/>
        <v>0</v>
      </c>
      <c r="W220" s="50">
        <f t="shared" si="127"/>
        <v>0</v>
      </c>
      <c r="X220" s="47">
        <v>0</v>
      </c>
      <c r="Y220" s="50">
        <f t="shared" ref="Y220:AJ220" si="128">SUM(Y221:Y224)</f>
        <v>0</v>
      </c>
      <c r="Z220" s="263"/>
      <c r="AA220" s="50">
        <f t="shared" si="128"/>
        <v>0</v>
      </c>
      <c r="AB220" s="50">
        <f t="shared" si="128"/>
        <v>0</v>
      </c>
      <c r="AC220" s="50">
        <f t="shared" si="128"/>
        <v>0</v>
      </c>
      <c r="AD220" s="50">
        <f t="shared" si="128"/>
        <v>0</v>
      </c>
      <c r="AE220" s="50">
        <f t="shared" si="128"/>
        <v>0</v>
      </c>
      <c r="AF220" s="50">
        <f t="shared" si="128"/>
        <v>0</v>
      </c>
      <c r="AG220" s="50">
        <f t="shared" si="128"/>
        <v>0</v>
      </c>
      <c r="AH220" s="50">
        <f t="shared" si="128"/>
        <v>0</v>
      </c>
      <c r="AI220" s="50">
        <f t="shared" si="128"/>
        <v>0</v>
      </c>
      <c r="AJ220" s="50">
        <f t="shared" si="128"/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412"/>
      <c r="AQ220" s="263"/>
    </row>
    <row r="221" spans="1:43" s="266" customFormat="1" ht="15.75" hidden="1" customHeight="1" x14ac:dyDescent="0.25">
      <c r="A221" s="366"/>
      <c r="B221" s="252" t="s">
        <v>238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239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266" customFormat="1" ht="15.75" hidden="1" customHeight="1" x14ac:dyDescent="0.25">
      <c r="A223" s="366"/>
      <c r="B223" s="252" t="s">
        <v>234</v>
      </c>
      <c r="C223" s="453"/>
      <c r="D223" s="453"/>
      <c r="E223" s="453"/>
      <c r="F223" s="453"/>
      <c r="G223" s="363"/>
      <c r="H223" s="364"/>
      <c r="I223" s="370"/>
      <c r="J223" s="651"/>
      <c r="K223" s="268"/>
      <c r="L223" s="96"/>
      <c r="M223" s="96"/>
      <c r="N223" s="96"/>
      <c r="O223" s="96"/>
      <c r="P223" s="47"/>
      <c r="Q223" s="263">
        <f>Y223</f>
        <v>0</v>
      </c>
      <c r="R223" s="263"/>
      <c r="S223" s="263"/>
      <c r="T223" s="263"/>
      <c r="U223" s="263"/>
      <c r="V223" s="263"/>
      <c r="W223" s="263"/>
      <c r="X223" s="263">
        <v>0</v>
      </c>
      <c r="Y223" s="263">
        <v>0</v>
      </c>
      <c r="Z223" s="263"/>
      <c r="AA223" s="263">
        <v>0</v>
      </c>
      <c r="AB223" s="263">
        <v>0</v>
      </c>
      <c r="AC223" s="263"/>
      <c r="AD223" s="263"/>
      <c r="AE223" s="263"/>
      <c r="AF223" s="263"/>
      <c r="AG223" s="263"/>
      <c r="AH223" s="263"/>
      <c r="AI223" s="263"/>
      <c r="AJ223" s="263"/>
      <c r="AK223" s="263"/>
      <c r="AL223" s="263"/>
      <c r="AM223" s="263"/>
      <c r="AN223" s="263"/>
      <c r="AO223" s="263"/>
      <c r="AP223" s="413"/>
      <c r="AQ223" s="263"/>
    </row>
    <row r="224" spans="1:43" s="266" customFormat="1" ht="15.75" hidden="1" customHeight="1" x14ac:dyDescent="0.25">
      <c r="A224" s="366"/>
      <c r="B224" s="252" t="s">
        <v>237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327" customFormat="1" ht="52.5" customHeight="1" x14ac:dyDescent="0.25">
      <c r="A225" s="1091" t="s">
        <v>178</v>
      </c>
      <c r="B225" s="780" t="s">
        <v>180</v>
      </c>
      <c r="C225" s="133"/>
      <c r="D225" s="133"/>
      <c r="E225" s="133"/>
      <c r="F225" s="133"/>
      <c r="G225" s="778"/>
      <c r="H225" s="778"/>
      <c r="I225" s="1651" t="s">
        <v>181</v>
      </c>
      <c r="J225" s="1073"/>
      <c r="K225" s="3"/>
      <c r="L225" s="3">
        <f>L226</f>
        <v>962.68</v>
      </c>
      <c r="M225" s="3">
        <f>M226</f>
        <v>403.33</v>
      </c>
      <c r="N225" s="3">
        <f t="shared" ref="N225:AO225" si="129">N226</f>
        <v>0</v>
      </c>
      <c r="O225" s="3">
        <f t="shared" si="129"/>
        <v>0</v>
      </c>
      <c r="P225" s="3">
        <f t="shared" si="129"/>
        <v>0</v>
      </c>
      <c r="Q225" s="3">
        <f>Q226</f>
        <v>99.9</v>
      </c>
      <c r="R225" s="3">
        <f t="shared" si="129"/>
        <v>0</v>
      </c>
      <c r="S225" s="3">
        <f t="shared" si="129"/>
        <v>0</v>
      </c>
      <c r="T225" s="3">
        <f t="shared" si="129"/>
        <v>0</v>
      </c>
      <c r="U225" s="3">
        <f t="shared" si="129"/>
        <v>0</v>
      </c>
      <c r="V225" s="3">
        <f t="shared" si="129"/>
        <v>0</v>
      </c>
      <c r="W225" s="3">
        <f t="shared" si="129"/>
        <v>0</v>
      </c>
      <c r="X225" s="3">
        <f t="shared" si="129"/>
        <v>0</v>
      </c>
      <c r="Y225" s="3">
        <f t="shared" si="129"/>
        <v>0</v>
      </c>
      <c r="Z225" s="95">
        <v>0</v>
      </c>
      <c r="AA225" s="3">
        <f>AA226</f>
        <v>99.9</v>
      </c>
      <c r="AB225" s="3">
        <f t="shared" si="129"/>
        <v>0</v>
      </c>
      <c r="AC225" s="3">
        <f t="shared" si="129"/>
        <v>0</v>
      </c>
      <c r="AD225" s="3">
        <f t="shared" si="129"/>
        <v>0</v>
      </c>
      <c r="AE225" s="3">
        <f t="shared" si="129"/>
        <v>0</v>
      </c>
      <c r="AF225" s="3">
        <f t="shared" si="129"/>
        <v>0</v>
      </c>
      <c r="AG225" s="3">
        <f t="shared" si="129"/>
        <v>0</v>
      </c>
      <c r="AH225" s="3">
        <f t="shared" si="129"/>
        <v>0</v>
      </c>
      <c r="AI225" s="3">
        <f t="shared" si="129"/>
        <v>0</v>
      </c>
      <c r="AJ225" s="3">
        <f t="shared" si="129"/>
        <v>0</v>
      </c>
      <c r="AK225" s="3">
        <f t="shared" si="129"/>
        <v>0</v>
      </c>
      <c r="AL225" s="3">
        <f t="shared" si="129"/>
        <v>0</v>
      </c>
      <c r="AM225" s="3">
        <f t="shared" si="129"/>
        <v>0</v>
      </c>
      <c r="AN225" s="3">
        <f t="shared" si="129"/>
        <v>0</v>
      </c>
      <c r="AO225" s="3">
        <f t="shared" si="129"/>
        <v>0</v>
      </c>
      <c r="AP225" s="829" t="s">
        <v>207</v>
      </c>
      <c r="AQ225" s="95">
        <v>0</v>
      </c>
    </row>
    <row r="226" spans="1:43" ht="15.75" customHeight="1" x14ac:dyDescent="0.25">
      <c r="A226" s="1058"/>
      <c r="B226" s="42" t="s">
        <v>16</v>
      </c>
      <c r="C226" s="341"/>
      <c r="D226" s="341"/>
      <c r="E226" s="341"/>
      <c r="F226" s="341"/>
      <c r="G226" s="313"/>
      <c r="H226" s="1088"/>
      <c r="I226" s="1652"/>
      <c r="J226" s="1090"/>
      <c r="K226" s="4"/>
      <c r="L226" s="47">
        <v>962.68</v>
      </c>
      <c r="M226" s="47">
        <v>403.33</v>
      </c>
      <c r="N226" s="47">
        <v>0</v>
      </c>
      <c r="O226" s="50">
        <v>0</v>
      </c>
      <c r="P226" s="50">
        <v>0</v>
      </c>
      <c r="Q226" s="50">
        <v>99.9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263"/>
      <c r="AA226" s="50">
        <v>99.9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841"/>
      <c r="AQ226" s="263"/>
    </row>
    <row r="227" spans="1:43" s="327" customFormat="1" ht="29.25" customHeight="1" x14ac:dyDescent="0.25">
      <c r="A227" s="1091" t="s">
        <v>179</v>
      </c>
      <c r="B227" s="780" t="s">
        <v>182</v>
      </c>
      <c r="C227" s="133"/>
      <c r="D227" s="133"/>
      <c r="E227" s="133"/>
      <c r="F227" s="133"/>
      <c r="G227" s="778"/>
      <c r="H227" s="778"/>
      <c r="I227" s="1463" t="s">
        <v>181</v>
      </c>
      <c r="J227" s="1073"/>
      <c r="K227" s="3"/>
      <c r="L227" s="3">
        <f>L228</f>
        <v>1342.77</v>
      </c>
      <c r="M227" s="3">
        <f>M228</f>
        <v>1246.77</v>
      </c>
      <c r="N227" s="3">
        <f t="shared" ref="N227:AO229" si="130">N228</f>
        <v>0</v>
      </c>
      <c r="O227" s="3">
        <f t="shared" si="130"/>
        <v>0</v>
      </c>
      <c r="P227" s="3">
        <f t="shared" si="130"/>
        <v>0</v>
      </c>
      <c r="Q227" s="3">
        <f t="shared" si="130"/>
        <v>0</v>
      </c>
      <c r="R227" s="3">
        <f t="shared" si="130"/>
        <v>0</v>
      </c>
      <c r="S227" s="3">
        <f t="shared" si="130"/>
        <v>0</v>
      </c>
      <c r="T227" s="3">
        <f t="shared" si="130"/>
        <v>0</v>
      </c>
      <c r="U227" s="3">
        <f t="shared" si="130"/>
        <v>0</v>
      </c>
      <c r="V227" s="3">
        <f t="shared" si="130"/>
        <v>0</v>
      </c>
      <c r="W227" s="3">
        <f t="shared" si="130"/>
        <v>0</v>
      </c>
      <c r="X227" s="3">
        <f t="shared" si="130"/>
        <v>0</v>
      </c>
      <c r="Y227" s="3">
        <f t="shared" si="130"/>
        <v>0</v>
      </c>
      <c r="Z227" s="95">
        <v>0</v>
      </c>
      <c r="AA227" s="3">
        <f t="shared" si="130"/>
        <v>0</v>
      </c>
      <c r="AB227" s="3">
        <f t="shared" si="130"/>
        <v>0</v>
      </c>
      <c r="AC227" s="3">
        <f t="shared" si="130"/>
        <v>0</v>
      </c>
      <c r="AD227" s="3">
        <f t="shared" si="130"/>
        <v>0</v>
      </c>
      <c r="AE227" s="3">
        <f t="shared" si="130"/>
        <v>0</v>
      </c>
      <c r="AF227" s="3">
        <f t="shared" si="130"/>
        <v>0</v>
      </c>
      <c r="AG227" s="3">
        <f t="shared" si="130"/>
        <v>0</v>
      </c>
      <c r="AH227" s="3">
        <f t="shared" si="130"/>
        <v>0</v>
      </c>
      <c r="AI227" s="3">
        <f t="shared" si="130"/>
        <v>0</v>
      </c>
      <c r="AJ227" s="3">
        <f t="shared" si="130"/>
        <v>0</v>
      </c>
      <c r="AK227" s="3">
        <f t="shared" si="130"/>
        <v>0</v>
      </c>
      <c r="AL227" s="3">
        <f t="shared" si="130"/>
        <v>0</v>
      </c>
      <c r="AM227" s="3">
        <f t="shared" si="130"/>
        <v>0</v>
      </c>
      <c r="AN227" s="3">
        <f t="shared" si="130"/>
        <v>0</v>
      </c>
      <c r="AO227" s="3">
        <f t="shared" si="130"/>
        <v>0</v>
      </c>
      <c r="AP227" s="829" t="s">
        <v>207</v>
      </c>
      <c r="AQ227" s="95">
        <v>0</v>
      </c>
    </row>
    <row r="228" spans="1:43" ht="15.75" customHeight="1" x14ac:dyDescent="0.25">
      <c r="A228" s="1058"/>
      <c r="B228" s="42" t="s">
        <v>15</v>
      </c>
      <c r="C228" s="341"/>
      <c r="D228" s="341"/>
      <c r="E228" s="341"/>
      <c r="F228" s="341"/>
      <c r="G228" s="313"/>
      <c r="H228" s="1088"/>
      <c r="I228" s="1465"/>
      <c r="J228" s="1090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s="327" customFormat="1" ht="29.25" customHeight="1" x14ac:dyDescent="0.25">
      <c r="A229" s="1091" t="s">
        <v>179</v>
      </c>
      <c r="B229" s="780" t="s">
        <v>412</v>
      </c>
      <c r="C229" s="133"/>
      <c r="D229" s="133"/>
      <c r="E229" s="133"/>
      <c r="F229" s="133"/>
      <c r="G229" s="778"/>
      <c r="H229" s="778"/>
      <c r="I229" s="1463" t="s">
        <v>181</v>
      </c>
      <c r="J229" s="1073"/>
      <c r="K229" s="3"/>
      <c r="L229" s="3">
        <f>L230</f>
        <v>1342.77</v>
      </c>
      <c r="M229" s="3">
        <f>M230</f>
        <v>1246.77</v>
      </c>
      <c r="N229" s="3">
        <f t="shared" si="130"/>
        <v>0</v>
      </c>
      <c r="O229" s="3">
        <f t="shared" si="130"/>
        <v>0</v>
      </c>
      <c r="P229" s="3">
        <f t="shared" si="130"/>
        <v>2878.15</v>
      </c>
      <c r="Q229" s="3">
        <f t="shared" si="130"/>
        <v>0</v>
      </c>
      <c r="R229" s="3">
        <f t="shared" si="130"/>
        <v>0</v>
      </c>
      <c r="S229" s="3">
        <f t="shared" si="130"/>
        <v>0</v>
      </c>
      <c r="T229" s="3">
        <f t="shared" si="130"/>
        <v>0</v>
      </c>
      <c r="U229" s="3">
        <f t="shared" si="130"/>
        <v>0</v>
      </c>
      <c r="V229" s="3">
        <f t="shared" si="130"/>
        <v>0</v>
      </c>
      <c r="W229" s="3">
        <f t="shared" si="130"/>
        <v>0</v>
      </c>
      <c r="X229" s="3">
        <f t="shared" si="130"/>
        <v>0</v>
      </c>
      <c r="Y229" s="3">
        <f t="shared" si="130"/>
        <v>0</v>
      </c>
      <c r="Z229" s="95">
        <v>0</v>
      </c>
      <c r="AA229" s="3">
        <f t="shared" si="130"/>
        <v>398</v>
      </c>
      <c r="AB229" s="3">
        <f t="shared" si="130"/>
        <v>0</v>
      </c>
      <c r="AC229" s="3">
        <f t="shared" si="130"/>
        <v>0</v>
      </c>
      <c r="AD229" s="3">
        <f t="shared" si="130"/>
        <v>0</v>
      </c>
      <c r="AE229" s="3">
        <f t="shared" si="130"/>
        <v>0</v>
      </c>
      <c r="AF229" s="3">
        <f t="shared" si="130"/>
        <v>0</v>
      </c>
      <c r="AG229" s="3">
        <f t="shared" si="130"/>
        <v>0</v>
      </c>
      <c r="AH229" s="3">
        <f t="shared" si="130"/>
        <v>0</v>
      </c>
      <c r="AI229" s="3">
        <f t="shared" si="130"/>
        <v>0</v>
      </c>
      <c r="AJ229" s="3">
        <f t="shared" si="130"/>
        <v>0</v>
      </c>
      <c r="AK229" s="3">
        <f t="shared" si="130"/>
        <v>0</v>
      </c>
      <c r="AL229" s="3">
        <f t="shared" si="130"/>
        <v>0</v>
      </c>
      <c r="AM229" s="3">
        <f t="shared" si="130"/>
        <v>0</v>
      </c>
      <c r="AN229" s="3">
        <f t="shared" si="130"/>
        <v>0</v>
      </c>
      <c r="AO229" s="3">
        <f t="shared" si="130"/>
        <v>0</v>
      </c>
      <c r="AP229" s="829" t="s">
        <v>207</v>
      </c>
      <c r="AQ229" s="95">
        <v>0</v>
      </c>
    </row>
    <row r="230" spans="1:43" ht="15.75" customHeight="1" x14ac:dyDescent="0.25">
      <c r="A230" s="1058"/>
      <c r="B230" s="42" t="s">
        <v>16</v>
      </c>
      <c r="C230" s="341"/>
      <c r="D230" s="341"/>
      <c r="E230" s="341"/>
      <c r="F230" s="341"/>
      <c r="G230" s="313"/>
      <c r="H230" s="1088"/>
      <c r="I230" s="1465"/>
      <c r="J230" s="1090"/>
      <c r="K230" s="4"/>
      <c r="L230" s="47">
        <v>1342.77</v>
      </c>
      <c r="M230" s="47">
        <v>1246.77</v>
      </c>
      <c r="N230" s="50">
        <v>0</v>
      </c>
      <c r="O230" s="50">
        <v>0</v>
      </c>
      <c r="P230" s="47">
        <v>2878.15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47">
        <v>0</v>
      </c>
      <c r="Y230" s="50">
        <v>0</v>
      </c>
      <c r="Z230" s="263"/>
      <c r="AA230" s="50">
        <v>398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412"/>
      <c r="AQ230" s="263"/>
    </row>
    <row r="231" spans="1:43" ht="54" hidden="1" customHeight="1" x14ac:dyDescent="0.25">
      <c r="A231" s="1332" t="s">
        <v>31</v>
      </c>
      <c r="B231" s="1613" t="s">
        <v>208</v>
      </c>
      <c r="C231" s="1614"/>
      <c r="D231" s="1614"/>
      <c r="E231" s="1614"/>
      <c r="F231" s="1614"/>
      <c r="G231" s="1614"/>
      <c r="H231" s="1615"/>
      <c r="I231" s="23" t="s">
        <v>19</v>
      </c>
      <c r="J231" s="1081">
        <v>0</v>
      </c>
      <c r="K231" s="1081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39.75" hidden="1" customHeight="1" x14ac:dyDescent="0.25">
      <c r="A232" s="1333"/>
      <c r="B232" s="1616"/>
      <c r="C232" s="1617"/>
      <c r="D232" s="1617"/>
      <c r="E232" s="1617"/>
      <c r="F232" s="1617"/>
      <c r="G232" s="1617"/>
      <c r="H232" s="1618"/>
      <c r="I232" s="23" t="s">
        <v>20</v>
      </c>
      <c r="J232" s="1081">
        <f>K232+L232</f>
        <v>6696.7899999999991</v>
      </c>
      <c r="K232" s="1081">
        <f>K238+K257+K260+K267</f>
        <v>0</v>
      </c>
      <c r="L232" s="47">
        <f t="shared" ref="L232:AE232" si="131">L238</f>
        <v>6696.7899999999991</v>
      </c>
      <c r="M232" s="47">
        <f t="shared" si="131"/>
        <v>0</v>
      </c>
      <c r="N232" s="47">
        <f t="shared" si="131"/>
        <v>2081.9299999999998</v>
      </c>
      <c r="O232" s="47">
        <f t="shared" si="131"/>
        <v>4372.5</v>
      </c>
      <c r="P232" s="47">
        <f t="shared" si="131"/>
        <v>0</v>
      </c>
      <c r="Q232" s="47">
        <f t="shared" si="131"/>
        <v>470</v>
      </c>
      <c r="R232" s="47">
        <f t="shared" si="131"/>
        <v>0</v>
      </c>
      <c r="S232" s="47">
        <f t="shared" si="131"/>
        <v>0</v>
      </c>
      <c r="T232" s="47">
        <f t="shared" si="131"/>
        <v>0</v>
      </c>
      <c r="U232" s="47">
        <f t="shared" si="131"/>
        <v>0</v>
      </c>
      <c r="V232" s="47">
        <f t="shared" si="131"/>
        <v>0</v>
      </c>
      <c r="W232" s="47">
        <f t="shared" si="131"/>
        <v>0</v>
      </c>
      <c r="X232" s="47">
        <f t="shared" si="131"/>
        <v>0</v>
      </c>
      <c r="Y232" s="47">
        <f t="shared" si="131"/>
        <v>0</v>
      </c>
      <c r="Z232" s="96"/>
      <c r="AA232" s="47">
        <f t="shared" si="131"/>
        <v>470</v>
      </c>
      <c r="AB232" s="47">
        <f t="shared" si="131"/>
        <v>0</v>
      </c>
      <c r="AC232" s="47">
        <f t="shared" si="131"/>
        <v>0</v>
      </c>
      <c r="AD232" s="47">
        <f t="shared" si="131"/>
        <v>0</v>
      </c>
      <c r="AE232" s="47">
        <f t="shared" si="131"/>
        <v>0</v>
      </c>
      <c r="AF232" s="47">
        <f t="shared" ref="AF232:AO232" si="132">AF238+AF257+AF260+AF267+AF269</f>
        <v>0</v>
      </c>
      <c r="AG232" s="47">
        <f t="shared" si="132"/>
        <v>0</v>
      </c>
      <c r="AH232" s="47">
        <f t="shared" si="132"/>
        <v>0</v>
      </c>
      <c r="AI232" s="47">
        <f t="shared" si="132"/>
        <v>0</v>
      </c>
      <c r="AJ232" s="47">
        <f t="shared" si="132"/>
        <v>0</v>
      </c>
      <c r="AK232" s="47">
        <f t="shared" si="132"/>
        <v>39749.919999999998</v>
      </c>
      <c r="AL232" s="47">
        <f t="shared" si="132"/>
        <v>39749.919999999998</v>
      </c>
      <c r="AM232" s="47" t="e">
        <f t="shared" si="132"/>
        <v>#DIV/0!</v>
      </c>
      <c r="AN232" s="47">
        <f t="shared" si="132"/>
        <v>0</v>
      </c>
      <c r="AO232" s="47">
        <f t="shared" si="132"/>
        <v>0</v>
      </c>
      <c r="AP232" s="397"/>
      <c r="AQ232" s="96"/>
    </row>
    <row r="233" spans="1:43" ht="26.25" hidden="1" customHeight="1" x14ac:dyDescent="0.25">
      <c r="A233" s="1333"/>
      <c r="B233" s="1616"/>
      <c r="C233" s="1617"/>
      <c r="D233" s="1617"/>
      <c r="E233" s="1617"/>
      <c r="F233" s="1617"/>
      <c r="G233" s="1617"/>
      <c r="H233" s="1618"/>
      <c r="I233" s="23" t="s">
        <v>10</v>
      </c>
      <c r="J233" s="1081">
        <v>0</v>
      </c>
      <c r="K233" s="1081">
        <v>0</v>
      </c>
      <c r="L233" s="47">
        <f>M233+N233+O233</f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96"/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397"/>
      <c r="AQ233" s="96"/>
    </row>
    <row r="234" spans="1:43" ht="25.5" hidden="1" x14ac:dyDescent="0.25">
      <c r="A234" s="1334"/>
      <c r="B234" s="1619"/>
      <c r="C234" s="1620"/>
      <c r="D234" s="1620"/>
      <c r="E234" s="1620"/>
      <c r="F234" s="1620"/>
      <c r="G234" s="1620"/>
      <c r="H234" s="1621"/>
      <c r="I234" s="23" t="s">
        <v>9</v>
      </c>
      <c r="J234" s="1081">
        <v>0</v>
      </c>
      <c r="K234" s="1081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s="327" customFormat="1" ht="29.25" customHeight="1" x14ac:dyDescent="0.25">
      <c r="A235" s="1091" t="s">
        <v>179</v>
      </c>
      <c r="B235" s="780" t="s">
        <v>413</v>
      </c>
      <c r="C235" s="133"/>
      <c r="D235" s="133"/>
      <c r="E235" s="133"/>
      <c r="F235" s="133"/>
      <c r="G235" s="778"/>
      <c r="H235" s="778"/>
      <c r="I235" s="1463" t="s">
        <v>181</v>
      </c>
      <c r="J235" s="1073"/>
      <c r="K235" s="3"/>
      <c r="L235" s="3">
        <f>L236</f>
        <v>1342.77</v>
      </c>
      <c r="M235" s="3">
        <f>M236</f>
        <v>1246.77</v>
      </c>
      <c r="N235" s="3">
        <f t="shared" ref="N235:AO235" si="133">N236</f>
        <v>0</v>
      </c>
      <c r="O235" s="3">
        <f t="shared" si="133"/>
        <v>0</v>
      </c>
      <c r="P235" s="3">
        <f t="shared" si="133"/>
        <v>4959</v>
      </c>
      <c r="Q235" s="3">
        <f t="shared" si="133"/>
        <v>0</v>
      </c>
      <c r="R235" s="3">
        <f t="shared" si="133"/>
        <v>0</v>
      </c>
      <c r="S235" s="3">
        <f t="shared" si="133"/>
        <v>0</v>
      </c>
      <c r="T235" s="3">
        <f t="shared" si="133"/>
        <v>0</v>
      </c>
      <c r="U235" s="3">
        <f t="shared" si="133"/>
        <v>0</v>
      </c>
      <c r="V235" s="3">
        <f t="shared" si="133"/>
        <v>0</v>
      </c>
      <c r="W235" s="3">
        <f t="shared" si="133"/>
        <v>0</v>
      </c>
      <c r="X235" s="3">
        <f t="shared" si="133"/>
        <v>0</v>
      </c>
      <c r="Y235" s="3">
        <f t="shared" si="133"/>
        <v>0</v>
      </c>
      <c r="Z235" s="95">
        <v>0</v>
      </c>
      <c r="AA235" s="3">
        <f t="shared" si="133"/>
        <v>0</v>
      </c>
      <c r="AB235" s="3">
        <f t="shared" si="133"/>
        <v>0</v>
      </c>
      <c r="AC235" s="3">
        <f t="shared" si="133"/>
        <v>0</v>
      </c>
      <c r="AD235" s="3">
        <f t="shared" si="133"/>
        <v>0</v>
      </c>
      <c r="AE235" s="3">
        <f t="shared" si="133"/>
        <v>0</v>
      </c>
      <c r="AF235" s="3">
        <f t="shared" si="133"/>
        <v>0</v>
      </c>
      <c r="AG235" s="3">
        <f t="shared" si="133"/>
        <v>0</v>
      </c>
      <c r="AH235" s="3">
        <f t="shared" si="133"/>
        <v>0</v>
      </c>
      <c r="AI235" s="3">
        <f t="shared" si="133"/>
        <v>0</v>
      </c>
      <c r="AJ235" s="3">
        <f t="shared" si="133"/>
        <v>0</v>
      </c>
      <c r="AK235" s="3">
        <f t="shared" si="133"/>
        <v>0</v>
      </c>
      <c r="AL235" s="3">
        <f t="shared" si="133"/>
        <v>0</v>
      </c>
      <c r="AM235" s="3">
        <f t="shared" si="133"/>
        <v>0</v>
      </c>
      <c r="AN235" s="3">
        <f t="shared" si="133"/>
        <v>0</v>
      </c>
      <c r="AO235" s="3">
        <f t="shared" si="133"/>
        <v>0</v>
      </c>
      <c r="AP235" s="829" t="s">
        <v>207</v>
      </c>
      <c r="AQ235" s="95">
        <v>0</v>
      </c>
    </row>
    <row r="236" spans="1:43" ht="15.75" customHeight="1" x14ac:dyDescent="0.25">
      <c r="A236" s="1058"/>
      <c r="B236" s="42" t="s">
        <v>39</v>
      </c>
      <c r="C236" s="341"/>
      <c r="D236" s="341"/>
      <c r="E236" s="341"/>
      <c r="F236" s="341"/>
      <c r="G236" s="313"/>
      <c r="H236" s="1088"/>
      <c r="I236" s="1465"/>
      <c r="J236" s="1090"/>
      <c r="K236" s="4"/>
      <c r="L236" s="47">
        <v>1342.77</v>
      </c>
      <c r="M236" s="47">
        <v>1246.77</v>
      </c>
      <c r="N236" s="50">
        <v>0</v>
      </c>
      <c r="O236" s="50">
        <v>0</v>
      </c>
      <c r="P236" s="47">
        <v>4959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47">
        <v>0</v>
      </c>
      <c r="Y236" s="50">
        <v>0</v>
      </c>
      <c r="Z236" s="263"/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412"/>
      <c r="AQ236" s="263"/>
    </row>
    <row r="237" spans="1:43" ht="15.75" x14ac:dyDescent="0.25">
      <c r="A237" s="1052"/>
      <c r="B237" s="42" t="s">
        <v>16</v>
      </c>
      <c r="C237" s="1084"/>
      <c r="D237" s="1084"/>
      <c r="E237" s="1084"/>
      <c r="F237" s="1084"/>
      <c r="G237" s="1084"/>
      <c r="H237" s="1085"/>
      <c r="I237" s="1053"/>
      <c r="J237" s="1081"/>
      <c r="K237" s="1081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96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"/>
      <c r="AN237" s="47"/>
      <c r="AO237" s="47"/>
      <c r="AP237" s="397"/>
      <c r="AQ237" s="96"/>
    </row>
    <row r="238" spans="1:43" s="327" customFormat="1" ht="30" customHeight="1" x14ac:dyDescent="0.25">
      <c r="A238" s="1344" t="s">
        <v>50</v>
      </c>
      <c r="B238" s="830" t="s">
        <v>183</v>
      </c>
      <c r="C238" s="1658"/>
      <c r="D238" s="1326"/>
      <c r="E238" s="1326"/>
      <c r="F238" s="1644">
        <v>150000</v>
      </c>
      <c r="G238" s="1326">
        <v>2019</v>
      </c>
      <c r="H238" s="1326">
        <v>2019</v>
      </c>
      <c r="I238" s="1326" t="s">
        <v>20</v>
      </c>
      <c r="J238" s="1653">
        <v>4914.5600000000004</v>
      </c>
      <c r="K238" s="3"/>
      <c r="L238" s="3">
        <f t="shared" ref="L238:P238" si="134">L241+L239</f>
        <v>6696.7899999999991</v>
      </c>
      <c r="M238" s="3">
        <f t="shared" si="134"/>
        <v>0</v>
      </c>
      <c r="N238" s="3">
        <f t="shared" si="134"/>
        <v>2081.9299999999998</v>
      </c>
      <c r="O238" s="3">
        <f t="shared" si="134"/>
        <v>4372.5</v>
      </c>
      <c r="P238" s="3">
        <f t="shared" si="134"/>
        <v>0</v>
      </c>
      <c r="Q238" s="3">
        <f>Q239+Q241</f>
        <v>470</v>
      </c>
      <c r="R238" s="3">
        <f t="shared" ref="R238:AA238" si="135">R239+R241</f>
        <v>0</v>
      </c>
      <c r="S238" s="3">
        <f t="shared" si="135"/>
        <v>0</v>
      </c>
      <c r="T238" s="3">
        <f t="shared" si="135"/>
        <v>0</v>
      </c>
      <c r="U238" s="3">
        <f t="shared" si="135"/>
        <v>0</v>
      </c>
      <c r="V238" s="3">
        <f t="shared" si="135"/>
        <v>0</v>
      </c>
      <c r="W238" s="3">
        <f t="shared" si="135"/>
        <v>0</v>
      </c>
      <c r="X238" s="3">
        <f t="shared" si="135"/>
        <v>0</v>
      </c>
      <c r="Y238" s="3">
        <f t="shared" si="135"/>
        <v>0</v>
      </c>
      <c r="Z238" s="3">
        <f t="shared" si="135"/>
        <v>0</v>
      </c>
      <c r="AA238" s="3">
        <f t="shared" si="135"/>
        <v>470</v>
      </c>
      <c r="AB238" s="3">
        <f t="shared" ref="AB238:AJ238" si="136">AB241+AB239</f>
        <v>0</v>
      </c>
      <c r="AC238" s="3">
        <f t="shared" si="136"/>
        <v>0</v>
      </c>
      <c r="AD238" s="3">
        <f t="shared" si="136"/>
        <v>0</v>
      </c>
      <c r="AE238" s="3">
        <f t="shared" si="136"/>
        <v>0</v>
      </c>
      <c r="AF238" s="3">
        <f t="shared" si="136"/>
        <v>0</v>
      </c>
      <c r="AG238" s="3">
        <f t="shared" si="136"/>
        <v>0</v>
      </c>
      <c r="AH238" s="3">
        <f t="shared" si="136"/>
        <v>0</v>
      </c>
      <c r="AI238" s="3">
        <f t="shared" si="136"/>
        <v>0</v>
      </c>
      <c r="AJ238" s="3">
        <f t="shared" si="136"/>
        <v>0</v>
      </c>
      <c r="AK238" s="3">
        <f>P238-Q238</f>
        <v>-470</v>
      </c>
      <c r="AL238" s="3">
        <f>AK238</f>
        <v>-470</v>
      </c>
      <c r="AM238" s="318" t="e">
        <f>ROUND((Q238*100%/P238*100),2)</f>
        <v>#DIV/0!</v>
      </c>
      <c r="AN238" s="3">
        <f>AN241</f>
        <v>0</v>
      </c>
      <c r="AO238" s="3">
        <f>AO241</f>
        <v>0</v>
      </c>
      <c r="AP238" s="633"/>
      <c r="AQ238" s="95">
        <v>45</v>
      </c>
    </row>
    <row r="239" spans="1:43" ht="19.5" customHeight="1" x14ac:dyDescent="0.25">
      <c r="A239" s="1345"/>
      <c r="B239" s="1" t="s">
        <v>15</v>
      </c>
      <c r="C239" s="1659"/>
      <c r="D239" s="1327"/>
      <c r="E239" s="1327"/>
      <c r="F239" s="1645"/>
      <c r="G239" s="1327"/>
      <c r="H239" s="1327"/>
      <c r="I239" s="1327"/>
      <c r="J239" s="1654"/>
      <c r="K239" s="47"/>
      <c r="L239" s="47">
        <f>SUM(M239:O239)</f>
        <v>2081.9299999999998</v>
      </c>
      <c r="M239" s="4">
        <v>0</v>
      </c>
      <c r="N239" s="4">
        <v>2081.9299999999998</v>
      </c>
      <c r="O239" s="4">
        <f t="shared" ref="O239:AO239" si="137">O240</f>
        <v>0</v>
      </c>
      <c r="P239" s="4">
        <f t="shared" si="137"/>
        <v>0</v>
      </c>
      <c r="Q239" s="4">
        <f t="shared" si="137"/>
        <v>470</v>
      </c>
      <c r="R239" s="4">
        <f t="shared" si="137"/>
        <v>0</v>
      </c>
      <c r="S239" s="4">
        <f t="shared" si="137"/>
        <v>0</v>
      </c>
      <c r="T239" s="4">
        <f t="shared" si="137"/>
        <v>0</v>
      </c>
      <c r="U239" s="4">
        <f t="shared" si="137"/>
        <v>0</v>
      </c>
      <c r="V239" s="4">
        <f t="shared" si="137"/>
        <v>0</v>
      </c>
      <c r="W239" s="4">
        <f t="shared" si="137"/>
        <v>0</v>
      </c>
      <c r="X239" s="4">
        <f t="shared" si="137"/>
        <v>0</v>
      </c>
      <c r="Y239" s="4">
        <f t="shared" si="137"/>
        <v>0</v>
      </c>
      <c r="Z239" s="268"/>
      <c r="AA239" s="4">
        <f t="shared" si="137"/>
        <v>470</v>
      </c>
      <c r="AB239" s="4">
        <f t="shared" si="137"/>
        <v>0</v>
      </c>
      <c r="AC239" s="4">
        <f t="shared" si="137"/>
        <v>0</v>
      </c>
      <c r="AD239" s="4">
        <f t="shared" si="137"/>
        <v>0</v>
      </c>
      <c r="AE239" s="4">
        <f t="shared" si="137"/>
        <v>0</v>
      </c>
      <c r="AF239" s="4">
        <f t="shared" si="137"/>
        <v>0</v>
      </c>
      <c r="AG239" s="4">
        <f t="shared" si="137"/>
        <v>0</v>
      </c>
      <c r="AH239" s="4">
        <v>0</v>
      </c>
      <c r="AI239" s="4">
        <v>0</v>
      </c>
      <c r="AJ239" s="4">
        <v>0</v>
      </c>
      <c r="AK239" s="4">
        <f t="shared" si="137"/>
        <v>0</v>
      </c>
      <c r="AL239" s="4">
        <f t="shared" si="137"/>
        <v>0</v>
      </c>
      <c r="AM239" s="4">
        <f t="shared" si="137"/>
        <v>0</v>
      </c>
      <c r="AN239" s="4">
        <f t="shared" si="137"/>
        <v>0</v>
      </c>
      <c r="AO239" s="4">
        <f t="shared" si="137"/>
        <v>0</v>
      </c>
      <c r="AP239" s="1078"/>
      <c r="AQ239" s="268"/>
    </row>
    <row r="240" spans="1:43" s="266" customFormat="1" x14ac:dyDescent="0.25">
      <c r="A240" s="1345"/>
      <c r="B240" s="92" t="s">
        <v>250</v>
      </c>
      <c r="C240" s="1659"/>
      <c r="D240" s="1327"/>
      <c r="E240" s="1327"/>
      <c r="F240" s="1645"/>
      <c r="G240" s="1327"/>
      <c r="H240" s="1327"/>
      <c r="I240" s="1327"/>
      <c r="J240" s="1654"/>
      <c r="K240" s="96"/>
      <c r="L240" s="96">
        <f>SUM(M240:O240)</f>
        <v>0</v>
      </c>
      <c r="M240" s="268">
        <v>0</v>
      </c>
      <c r="N240" s="263"/>
      <c r="O240" s="263"/>
      <c r="P240" s="263">
        <f>R240+T240</f>
        <v>0</v>
      </c>
      <c r="Q240" s="263">
        <f>75+395</f>
        <v>470</v>
      </c>
      <c r="R240" s="263">
        <f>S240</f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/>
      <c r="AA240" s="263">
        <f>75+395</f>
        <v>470</v>
      </c>
      <c r="AB240" s="263">
        <v>0</v>
      </c>
      <c r="AC240" s="263">
        <v>0</v>
      </c>
      <c r="AD240" s="263"/>
      <c r="AE240" s="263"/>
      <c r="AF240" s="263"/>
      <c r="AG240" s="263"/>
      <c r="AH240" s="263"/>
      <c r="AI240" s="263"/>
      <c r="AJ240" s="263"/>
      <c r="AK240" s="263"/>
      <c r="AL240" s="263"/>
      <c r="AM240" s="263"/>
      <c r="AN240" s="263"/>
      <c r="AO240" s="263"/>
      <c r="AP240" s="413"/>
      <c r="AQ240" s="263"/>
    </row>
    <row r="241" spans="1:43" ht="18" customHeight="1" x14ac:dyDescent="0.25">
      <c r="A241" s="1346"/>
      <c r="B241" s="575" t="s">
        <v>16</v>
      </c>
      <c r="C241" s="1356"/>
      <c r="D241" s="1356"/>
      <c r="E241" s="1327"/>
      <c r="F241" s="1357"/>
      <c r="G241" s="1327"/>
      <c r="H241" s="1327"/>
      <c r="I241" s="1327"/>
      <c r="J241" s="1655"/>
      <c r="K241" s="47">
        <v>0</v>
      </c>
      <c r="L241" s="47">
        <v>4614.8599999999997</v>
      </c>
      <c r="M241" s="4">
        <v>0</v>
      </c>
      <c r="N241" s="4">
        <v>0</v>
      </c>
      <c r="O241" s="4">
        <v>4372.5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268"/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1078"/>
      <c r="AQ241" s="268"/>
    </row>
    <row r="242" spans="1:43" s="327" customFormat="1" ht="21" customHeight="1" x14ac:dyDescent="0.25">
      <c r="A242" s="1068"/>
      <c r="B242" s="830" t="s">
        <v>414</v>
      </c>
      <c r="C242" s="654"/>
      <c r="D242" s="654"/>
      <c r="E242" s="341"/>
      <c r="F242" s="831"/>
      <c r="G242" s="341"/>
      <c r="H242" s="1089"/>
      <c r="I242" s="1057"/>
      <c r="J242" s="1083"/>
      <c r="K242" s="3"/>
      <c r="L242" s="3">
        <f t="shared" ref="L242:O242" si="138">L245+L243</f>
        <v>2081.9299999999998</v>
      </c>
      <c r="M242" s="3">
        <f t="shared" si="138"/>
        <v>0</v>
      </c>
      <c r="N242" s="3">
        <f t="shared" si="138"/>
        <v>2081.9299999999998</v>
      </c>
      <c r="O242" s="3">
        <f t="shared" si="138"/>
        <v>0</v>
      </c>
      <c r="P242" s="3">
        <f>SUM(P243:P244)</f>
        <v>2.7</v>
      </c>
      <c r="Q242" s="3">
        <f>SUM(Q243:Q244)</f>
        <v>0</v>
      </c>
      <c r="R242" s="3">
        <f t="shared" ref="R242:AA242" si="139">SUM(R243:R244)</f>
        <v>0</v>
      </c>
      <c r="S242" s="3">
        <f t="shared" si="139"/>
        <v>0</v>
      </c>
      <c r="T242" s="3">
        <f t="shared" si="139"/>
        <v>0</v>
      </c>
      <c r="U242" s="3">
        <f t="shared" si="139"/>
        <v>0</v>
      </c>
      <c r="V242" s="3">
        <f t="shared" si="139"/>
        <v>0</v>
      </c>
      <c r="W242" s="3">
        <f t="shared" si="139"/>
        <v>0</v>
      </c>
      <c r="X242" s="3">
        <f t="shared" si="139"/>
        <v>0</v>
      </c>
      <c r="Y242" s="3">
        <f t="shared" si="139"/>
        <v>0</v>
      </c>
      <c r="Z242" s="3">
        <f t="shared" si="139"/>
        <v>0</v>
      </c>
      <c r="AA242" s="3">
        <f t="shared" si="139"/>
        <v>0</v>
      </c>
      <c r="AB242" s="3">
        <f t="shared" ref="AB242:AJ242" si="140">AB245+AB243</f>
        <v>0</v>
      </c>
      <c r="AC242" s="3">
        <f t="shared" si="140"/>
        <v>0</v>
      </c>
      <c r="AD242" s="3">
        <f t="shared" si="140"/>
        <v>0</v>
      </c>
      <c r="AE242" s="3">
        <f t="shared" si="140"/>
        <v>0</v>
      </c>
      <c r="AF242" s="3">
        <f t="shared" si="140"/>
        <v>0</v>
      </c>
      <c r="AG242" s="3">
        <f t="shared" si="140"/>
        <v>0</v>
      </c>
      <c r="AH242" s="3">
        <f t="shared" si="140"/>
        <v>0</v>
      </c>
      <c r="AI242" s="3">
        <f t="shared" si="140"/>
        <v>0</v>
      </c>
      <c r="AJ242" s="3">
        <f t="shared" si="140"/>
        <v>0</v>
      </c>
      <c r="AK242" s="3">
        <f>P242-Q242</f>
        <v>2.7</v>
      </c>
      <c r="AL242" s="3">
        <f>AK242</f>
        <v>2.7</v>
      </c>
      <c r="AM242" s="318">
        <f>ROUND((Q242*100%/P242*100),2)</f>
        <v>0</v>
      </c>
      <c r="AN242" s="3">
        <f>AN245</f>
        <v>0</v>
      </c>
      <c r="AO242" s="3">
        <f>AO245</f>
        <v>0</v>
      </c>
      <c r="AP242" s="633"/>
      <c r="AQ242" s="95">
        <v>45</v>
      </c>
    </row>
    <row r="243" spans="1:43" ht="19.5" customHeight="1" x14ac:dyDescent="0.25">
      <c r="A243" s="1068"/>
      <c r="B243" s="1" t="s">
        <v>15</v>
      </c>
      <c r="C243" s="654"/>
      <c r="D243" s="654"/>
      <c r="E243" s="341"/>
      <c r="F243" s="831"/>
      <c r="G243" s="341"/>
      <c r="H243" s="1089"/>
      <c r="I243" s="1057"/>
      <c r="J243" s="1083"/>
      <c r="K243" s="47"/>
      <c r="L243" s="47">
        <f>SUM(M243:O243)</f>
        <v>2081.9299999999998</v>
      </c>
      <c r="M243" s="4">
        <v>0</v>
      </c>
      <c r="N243" s="4">
        <v>2081.9299999999998</v>
      </c>
      <c r="O243" s="4">
        <f t="shared" ref="O243:AO243" si="141">O244</f>
        <v>0</v>
      </c>
      <c r="P243" s="4">
        <v>2.7</v>
      </c>
      <c r="Q243" s="4">
        <v>0</v>
      </c>
      <c r="R243" s="4">
        <f t="shared" si="141"/>
        <v>0</v>
      </c>
      <c r="S243" s="4">
        <f t="shared" si="141"/>
        <v>0</v>
      </c>
      <c r="T243" s="4">
        <f t="shared" si="141"/>
        <v>0</v>
      </c>
      <c r="U243" s="4">
        <f t="shared" si="141"/>
        <v>0</v>
      </c>
      <c r="V243" s="4">
        <f t="shared" si="141"/>
        <v>0</v>
      </c>
      <c r="W243" s="4">
        <f t="shared" si="141"/>
        <v>0</v>
      </c>
      <c r="X243" s="4">
        <f t="shared" si="141"/>
        <v>0</v>
      </c>
      <c r="Y243" s="4">
        <f t="shared" si="141"/>
        <v>0</v>
      </c>
      <c r="Z243" s="268"/>
      <c r="AA243" s="4">
        <v>0</v>
      </c>
      <c r="AB243" s="4">
        <f t="shared" si="141"/>
        <v>0</v>
      </c>
      <c r="AC243" s="4">
        <f t="shared" si="141"/>
        <v>0</v>
      </c>
      <c r="AD243" s="4">
        <f t="shared" si="141"/>
        <v>0</v>
      </c>
      <c r="AE243" s="4">
        <f t="shared" si="141"/>
        <v>0</v>
      </c>
      <c r="AF243" s="4">
        <f t="shared" si="141"/>
        <v>0</v>
      </c>
      <c r="AG243" s="4">
        <f t="shared" si="141"/>
        <v>0</v>
      </c>
      <c r="AH243" s="4">
        <v>0</v>
      </c>
      <c r="AI243" s="4">
        <v>0</v>
      </c>
      <c r="AJ243" s="4">
        <v>0</v>
      </c>
      <c r="AK243" s="4">
        <f t="shared" si="141"/>
        <v>0</v>
      </c>
      <c r="AL243" s="4">
        <f t="shared" si="141"/>
        <v>0</v>
      </c>
      <c r="AM243" s="4">
        <f t="shared" si="141"/>
        <v>0</v>
      </c>
      <c r="AN243" s="4">
        <f t="shared" si="141"/>
        <v>0</v>
      </c>
      <c r="AO243" s="4">
        <f t="shared" si="141"/>
        <v>0</v>
      </c>
      <c r="AP243" s="1078"/>
      <c r="AQ243" s="268"/>
    </row>
    <row r="244" spans="1:43" ht="18" customHeight="1" x14ac:dyDescent="0.25">
      <c r="A244" s="1068"/>
      <c r="B244" s="575" t="s">
        <v>16</v>
      </c>
      <c r="C244" s="654"/>
      <c r="D244" s="654"/>
      <c r="E244" s="341"/>
      <c r="F244" s="831"/>
      <c r="G244" s="341"/>
      <c r="H244" s="1089"/>
      <c r="I244" s="1057"/>
      <c r="J244" s="1083"/>
      <c r="K244" s="4"/>
      <c r="L244" s="4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268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1078"/>
      <c r="AQ244" s="268"/>
    </row>
    <row r="245" spans="1:43" ht="54" hidden="1" customHeight="1" x14ac:dyDescent="0.25">
      <c r="A245" s="1332" t="s">
        <v>139</v>
      </c>
      <c r="B245" s="1613" t="s">
        <v>209</v>
      </c>
      <c r="C245" s="1614"/>
      <c r="D245" s="1614"/>
      <c r="E245" s="1614"/>
      <c r="F245" s="1614"/>
      <c r="G245" s="1614"/>
      <c r="H245" s="1615"/>
      <c r="I245" s="23" t="s">
        <v>19</v>
      </c>
      <c r="J245" s="1081">
        <v>0</v>
      </c>
      <c r="K245" s="1081">
        <v>0</v>
      </c>
      <c r="L245" s="47">
        <f>M245+N245+O245</f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96"/>
      <c r="AA245" s="47">
        <v>0</v>
      </c>
      <c r="AB245" s="47">
        <v>0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397"/>
      <c r="AQ245" s="96"/>
    </row>
    <row r="246" spans="1:43" ht="39.75" hidden="1" customHeight="1" x14ac:dyDescent="0.25">
      <c r="A246" s="1333"/>
      <c r="B246" s="1616"/>
      <c r="C246" s="1617"/>
      <c r="D246" s="1617"/>
      <c r="E246" s="1617"/>
      <c r="F246" s="1617"/>
      <c r="G246" s="1617"/>
      <c r="H246" s="1618"/>
      <c r="I246" s="23" t="s">
        <v>20</v>
      </c>
      <c r="J246" s="1081" t="e">
        <f>K246+L246</f>
        <v>#REF!</v>
      </c>
      <c r="K246" s="1081" t="e">
        <f>#REF!+K289+K301+K302</f>
        <v>#REF!</v>
      </c>
      <c r="L246" s="47">
        <f t="shared" ref="L246:AM246" si="142">L249+L252++L257+L261+L267+L269+L273+L278+L285+L289</f>
        <v>333768.50999999995</v>
      </c>
      <c r="M246" s="47">
        <f t="shared" si="142"/>
        <v>31936.59</v>
      </c>
      <c r="N246" s="47">
        <f t="shared" si="142"/>
        <v>80827.610000000015</v>
      </c>
      <c r="O246" s="47">
        <f t="shared" si="142"/>
        <v>46251.09</v>
      </c>
      <c r="P246" s="47">
        <f t="shared" si="142"/>
        <v>53453.89</v>
      </c>
      <c r="Q246" s="47">
        <f t="shared" si="142"/>
        <v>1828.65</v>
      </c>
      <c r="R246" s="47">
        <f t="shared" si="142"/>
        <v>784.17799999999988</v>
      </c>
      <c r="S246" s="47">
        <f t="shared" si="142"/>
        <v>784.17799999999988</v>
      </c>
      <c r="T246" s="47">
        <f t="shared" si="142"/>
        <v>3249.636</v>
      </c>
      <c r="U246" s="47">
        <f t="shared" si="142"/>
        <v>3253.0360000000001</v>
      </c>
      <c r="V246" s="47">
        <f t="shared" si="142"/>
        <v>157.59</v>
      </c>
      <c r="W246" s="47">
        <f t="shared" si="142"/>
        <v>1096.5039999999999</v>
      </c>
      <c r="X246" s="47">
        <f t="shared" si="142"/>
        <v>0</v>
      </c>
      <c r="Y246" s="47">
        <f t="shared" si="142"/>
        <v>0</v>
      </c>
      <c r="Z246" s="96"/>
      <c r="AA246" s="47">
        <f t="shared" si="142"/>
        <v>1870</v>
      </c>
      <c r="AB246" s="47">
        <f t="shared" si="142"/>
        <v>0</v>
      </c>
      <c r="AC246" s="47">
        <f t="shared" si="142"/>
        <v>2488.15</v>
      </c>
      <c r="AD246" s="47">
        <f t="shared" si="142"/>
        <v>64858.980889999999</v>
      </c>
      <c r="AE246" s="47">
        <f t="shared" si="142"/>
        <v>0</v>
      </c>
      <c r="AF246" s="47">
        <f t="shared" si="142"/>
        <v>0</v>
      </c>
      <c r="AG246" s="47">
        <f t="shared" si="142"/>
        <v>0</v>
      </c>
      <c r="AH246" s="47">
        <f t="shared" si="142"/>
        <v>0</v>
      </c>
      <c r="AI246" s="47">
        <f t="shared" si="142"/>
        <v>0</v>
      </c>
      <c r="AJ246" s="47">
        <f t="shared" si="142"/>
        <v>0</v>
      </c>
      <c r="AK246" s="47">
        <f t="shared" si="142"/>
        <v>44126.939999999995</v>
      </c>
      <c r="AL246" s="47">
        <f t="shared" si="142"/>
        <v>44126.939999999995</v>
      </c>
      <c r="AM246" s="47">
        <f t="shared" si="142"/>
        <v>0</v>
      </c>
      <c r="AN246" s="47">
        <f>AN249+AN252++AN257+AN260+AN267+AN269+AN273+AN278+AN285+AN288</f>
        <v>0</v>
      </c>
      <c r="AO246" s="47">
        <f>AO249+AO252++AO257+AO260+AO267+AO269+AO273+AO278+AO285+AO288</f>
        <v>0</v>
      </c>
      <c r="AP246" s="397"/>
      <c r="AQ246" s="96"/>
    </row>
    <row r="247" spans="1:43" ht="26.25" hidden="1" customHeight="1" x14ac:dyDescent="0.25">
      <c r="A247" s="1333"/>
      <c r="B247" s="1616"/>
      <c r="C247" s="1617"/>
      <c r="D247" s="1617"/>
      <c r="E247" s="1617"/>
      <c r="F247" s="1617"/>
      <c r="G247" s="1617"/>
      <c r="H247" s="1618"/>
      <c r="I247" s="23" t="s">
        <v>10</v>
      </c>
      <c r="J247" s="1081">
        <v>0</v>
      </c>
      <c r="K247" s="1081">
        <v>0</v>
      </c>
      <c r="L247" s="47">
        <f t="shared" ref="L247:AM247" si="143">L264+L265+L293</f>
        <v>297742.64</v>
      </c>
      <c r="M247" s="47">
        <f t="shared" si="143"/>
        <v>295242.64</v>
      </c>
      <c r="N247" s="47">
        <f t="shared" si="143"/>
        <v>297742.64</v>
      </c>
      <c r="O247" s="47">
        <f t="shared" si="143"/>
        <v>297742.64</v>
      </c>
      <c r="P247" s="47">
        <f t="shared" si="143"/>
        <v>0</v>
      </c>
      <c r="Q247" s="47">
        <f t="shared" si="143"/>
        <v>78138.740229999996</v>
      </c>
      <c r="R247" s="47">
        <f t="shared" si="143"/>
        <v>21705.95</v>
      </c>
      <c r="S247" s="47">
        <f t="shared" si="143"/>
        <v>21705.95</v>
      </c>
      <c r="T247" s="47">
        <f t="shared" si="143"/>
        <v>21705.95</v>
      </c>
      <c r="U247" s="47">
        <f t="shared" si="143"/>
        <v>21705.95</v>
      </c>
      <c r="V247" s="47">
        <f t="shared" si="143"/>
        <v>50383.255000000005</v>
      </c>
      <c r="W247" s="47">
        <f t="shared" si="143"/>
        <v>50383.255000000005</v>
      </c>
      <c r="X247" s="47">
        <f t="shared" si="143"/>
        <v>21705.95</v>
      </c>
      <c r="Y247" s="47">
        <f t="shared" si="143"/>
        <v>21705.95</v>
      </c>
      <c r="Z247" s="96"/>
      <c r="AA247" s="47">
        <f t="shared" si="143"/>
        <v>85525.082699999999</v>
      </c>
      <c r="AB247" s="47">
        <f t="shared" si="143"/>
        <v>17522.268</v>
      </c>
      <c r="AC247" s="47">
        <f t="shared" si="143"/>
        <v>32099.796000000002</v>
      </c>
      <c r="AD247" s="47">
        <f t="shared" si="143"/>
        <v>83597.849889999998</v>
      </c>
      <c r="AE247" s="47">
        <f t="shared" si="143"/>
        <v>0</v>
      </c>
      <c r="AF247" s="47">
        <f t="shared" si="143"/>
        <v>0</v>
      </c>
      <c r="AG247" s="47">
        <f t="shared" si="143"/>
        <v>0</v>
      </c>
      <c r="AH247" s="47">
        <f t="shared" si="143"/>
        <v>0</v>
      </c>
      <c r="AI247" s="47">
        <f t="shared" si="143"/>
        <v>0</v>
      </c>
      <c r="AJ247" s="47">
        <f t="shared" si="143"/>
        <v>0</v>
      </c>
      <c r="AK247" s="47">
        <f t="shared" si="143"/>
        <v>0</v>
      </c>
      <c r="AL247" s="47">
        <f t="shared" si="143"/>
        <v>0</v>
      </c>
      <c r="AM247" s="47">
        <f t="shared" si="143"/>
        <v>0</v>
      </c>
      <c r="AN247" s="47">
        <v>0</v>
      </c>
      <c r="AO247" s="47">
        <v>0</v>
      </c>
      <c r="AP247" s="397"/>
      <c r="AQ247" s="96"/>
    </row>
    <row r="248" spans="1:43" ht="25.5" hidden="1" x14ac:dyDescent="0.25">
      <c r="A248" s="1334"/>
      <c r="B248" s="1619"/>
      <c r="C248" s="1620"/>
      <c r="D248" s="1620"/>
      <c r="E248" s="1620"/>
      <c r="F248" s="1620"/>
      <c r="G248" s="1620"/>
      <c r="H248" s="1621"/>
      <c r="I248" s="23" t="s">
        <v>9</v>
      </c>
      <c r="J248" s="1081">
        <v>0</v>
      </c>
      <c r="K248" s="1081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1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s="327" customFormat="1" ht="27.75" customHeight="1" x14ac:dyDescent="0.25">
      <c r="A249" s="1450" t="s">
        <v>184</v>
      </c>
      <c r="B249" s="780" t="s">
        <v>89</v>
      </c>
      <c r="C249" s="133"/>
      <c r="D249" s="133"/>
      <c r="E249" s="133"/>
      <c r="F249" s="133"/>
      <c r="G249" s="778"/>
      <c r="H249" s="778"/>
      <c r="I249" s="1463" t="s">
        <v>20</v>
      </c>
      <c r="J249" s="1073"/>
      <c r="K249" s="3"/>
      <c r="L249" s="3">
        <f>L250</f>
        <v>5195.03</v>
      </c>
      <c r="M249" s="3">
        <f>M250</f>
        <v>0</v>
      </c>
      <c r="N249" s="3">
        <f t="shared" ref="N249:AO250" si="144">N250</f>
        <v>5037.4399999999996</v>
      </c>
      <c r="O249" s="3">
        <f t="shared" si="144"/>
        <v>0</v>
      </c>
      <c r="P249" s="3">
        <v>416.03</v>
      </c>
      <c r="Q249" s="3">
        <v>0</v>
      </c>
      <c r="R249" s="3">
        <f t="shared" si="144"/>
        <v>0</v>
      </c>
      <c r="S249" s="3">
        <f t="shared" si="144"/>
        <v>0</v>
      </c>
      <c r="T249" s="3">
        <f t="shared" si="144"/>
        <v>0</v>
      </c>
      <c r="U249" s="3">
        <f t="shared" si="144"/>
        <v>0</v>
      </c>
      <c r="V249" s="3">
        <f t="shared" si="144"/>
        <v>157.59</v>
      </c>
      <c r="W249" s="3">
        <f t="shared" si="144"/>
        <v>1096.5039999999999</v>
      </c>
      <c r="X249" s="3">
        <f t="shared" si="144"/>
        <v>0</v>
      </c>
      <c r="Y249" s="3">
        <f t="shared" si="144"/>
        <v>0</v>
      </c>
      <c r="Z249" s="3">
        <v>0</v>
      </c>
      <c r="AA249" s="3">
        <v>0</v>
      </c>
      <c r="AB249" s="3">
        <f t="shared" si="144"/>
        <v>0</v>
      </c>
      <c r="AC249" s="3">
        <f t="shared" si="144"/>
        <v>0</v>
      </c>
      <c r="AD249" s="3">
        <f t="shared" si="144"/>
        <v>1096.5039999999999</v>
      </c>
      <c r="AE249" s="3">
        <f t="shared" si="144"/>
        <v>0</v>
      </c>
      <c r="AF249" s="3">
        <f t="shared" si="144"/>
        <v>0</v>
      </c>
      <c r="AG249" s="3">
        <f t="shared" si="144"/>
        <v>0</v>
      </c>
      <c r="AH249" s="3">
        <f t="shared" si="144"/>
        <v>0</v>
      </c>
      <c r="AI249" s="3">
        <f t="shared" si="144"/>
        <v>0</v>
      </c>
      <c r="AJ249" s="3">
        <f t="shared" si="144"/>
        <v>0</v>
      </c>
      <c r="AK249" s="3">
        <f t="shared" si="144"/>
        <v>0</v>
      </c>
      <c r="AL249" s="3">
        <f t="shared" si="144"/>
        <v>0</v>
      </c>
      <c r="AM249" s="3">
        <f t="shared" si="144"/>
        <v>0</v>
      </c>
      <c r="AN249" s="3">
        <f t="shared" si="144"/>
        <v>0</v>
      </c>
      <c r="AO249" s="3">
        <f t="shared" si="144"/>
        <v>0</v>
      </c>
      <c r="AP249" s="633"/>
      <c r="AQ249" s="3">
        <v>0</v>
      </c>
    </row>
    <row r="250" spans="1:43" ht="15.75" hidden="1" customHeight="1" x14ac:dyDescent="0.25">
      <c r="A250" s="1656"/>
      <c r="B250" s="47" t="s">
        <v>15</v>
      </c>
      <c r="C250" s="341"/>
      <c r="D250" s="341"/>
      <c r="E250" s="341"/>
      <c r="F250" s="341"/>
      <c r="G250" s="313"/>
      <c r="H250" s="1088"/>
      <c r="I250" s="1465"/>
      <c r="J250" s="1090"/>
      <c r="K250" s="4"/>
      <c r="L250" s="47">
        <v>5195.03</v>
      </c>
      <c r="M250" s="50">
        <v>0</v>
      </c>
      <c r="N250" s="50">
        <v>5037.4399999999996</v>
      </c>
      <c r="O250" s="50">
        <v>0</v>
      </c>
      <c r="P250" s="50">
        <v>157.59</v>
      </c>
      <c r="Q250" s="447">
        <f>Q251</f>
        <v>1096.5039999999999</v>
      </c>
      <c r="R250" s="447">
        <f t="shared" si="144"/>
        <v>0</v>
      </c>
      <c r="S250" s="447">
        <f t="shared" si="144"/>
        <v>0</v>
      </c>
      <c r="T250" s="447">
        <f t="shared" si="144"/>
        <v>0</v>
      </c>
      <c r="U250" s="447">
        <f t="shared" si="144"/>
        <v>0</v>
      </c>
      <c r="V250" s="447">
        <f t="shared" si="144"/>
        <v>157.59</v>
      </c>
      <c r="W250" s="447">
        <f t="shared" si="144"/>
        <v>1096.5039999999999</v>
      </c>
      <c r="X250" s="447">
        <f t="shared" si="144"/>
        <v>0</v>
      </c>
      <c r="Y250" s="447">
        <f t="shared" si="144"/>
        <v>0</v>
      </c>
      <c r="Z250" s="584"/>
      <c r="AA250" s="447">
        <f t="shared" si="144"/>
        <v>1096.5039999999999</v>
      </c>
      <c r="AB250" s="447">
        <f t="shared" si="144"/>
        <v>0</v>
      </c>
      <c r="AC250" s="447">
        <f t="shared" si="144"/>
        <v>0</v>
      </c>
      <c r="AD250" s="447">
        <f t="shared" si="144"/>
        <v>1096.5039999999999</v>
      </c>
      <c r="AE250" s="447">
        <f t="shared" si="144"/>
        <v>0</v>
      </c>
      <c r="AF250" s="447">
        <f t="shared" si="144"/>
        <v>0</v>
      </c>
      <c r="AG250" s="447">
        <f t="shared" si="144"/>
        <v>0</v>
      </c>
      <c r="AH250" s="447">
        <f t="shared" si="144"/>
        <v>0</v>
      </c>
      <c r="AI250" s="447">
        <f t="shared" si="144"/>
        <v>0</v>
      </c>
      <c r="AJ250" s="447">
        <v>0</v>
      </c>
      <c r="AK250" s="447">
        <v>0</v>
      </c>
      <c r="AL250" s="447">
        <v>0</v>
      </c>
      <c r="AM250" s="50">
        <v>0</v>
      </c>
      <c r="AN250" s="50">
        <v>0</v>
      </c>
      <c r="AO250" s="50">
        <v>0</v>
      </c>
      <c r="AP250" s="412"/>
      <c r="AQ250" s="584"/>
    </row>
    <row r="251" spans="1:43" s="266" customFormat="1" ht="15.75" hidden="1" customHeight="1" x14ac:dyDescent="0.25">
      <c r="A251" s="1657"/>
      <c r="B251" s="96" t="s">
        <v>323</v>
      </c>
      <c r="C251" s="453"/>
      <c r="D251" s="453"/>
      <c r="E251" s="453"/>
      <c r="F251" s="453"/>
      <c r="G251" s="363"/>
      <c r="H251" s="364"/>
      <c r="I251" s="370"/>
      <c r="J251" s="651"/>
      <c r="K251" s="268"/>
      <c r="L251" s="96"/>
      <c r="M251" s="263"/>
      <c r="N251" s="263"/>
      <c r="O251" s="263"/>
      <c r="P251" s="263"/>
      <c r="Q251" s="584">
        <f>W251</f>
        <v>1096.5039999999999</v>
      </c>
      <c r="R251" s="584"/>
      <c r="S251" s="584"/>
      <c r="T251" s="584"/>
      <c r="U251" s="584"/>
      <c r="V251" s="584">
        <v>157.59</v>
      </c>
      <c r="W251" s="584">
        <v>1096.5039999999999</v>
      </c>
      <c r="X251" s="584"/>
      <c r="Y251" s="584"/>
      <c r="Z251" s="584"/>
      <c r="AA251" s="584">
        <f>AD251</f>
        <v>1096.5039999999999</v>
      </c>
      <c r="AB251" s="584"/>
      <c r="AC251" s="584"/>
      <c r="AD251" s="584">
        <v>1096.5039999999999</v>
      </c>
      <c r="AE251" s="584"/>
      <c r="AF251" s="584"/>
      <c r="AG251" s="584"/>
      <c r="AH251" s="584"/>
      <c r="AI251" s="584"/>
      <c r="AJ251" s="584"/>
      <c r="AK251" s="584"/>
      <c r="AL251" s="584"/>
      <c r="AM251" s="263"/>
      <c r="AN251" s="263"/>
      <c r="AO251" s="263"/>
      <c r="AP251" s="413"/>
      <c r="AQ251" s="584"/>
    </row>
    <row r="252" spans="1:43" s="327" customFormat="1" ht="28.5" customHeight="1" x14ac:dyDescent="0.25">
      <c r="A252" s="1450" t="s">
        <v>185</v>
      </c>
      <c r="B252" s="780" t="s">
        <v>187</v>
      </c>
      <c r="C252" s="133"/>
      <c r="D252" s="133"/>
      <c r="E252" s="133"/>
      <c r="F252" s="133"/>
      <c r="G252" s="778"/>
      <c r="H252" s="778"/>
      <c r="I252" s="1463" t="s">
        <v>20</v>
      </c>
      <c r="J252" s="1073"/>
      <c r="K252" s="3"/>
      <c r="L252" s="3">
        <f>L253+L256</f>
        <v>134036.41</v>
      </c>
      <c r="M252" s="3">
        <f t="shared" ref="M252:AO252" si="145">M253+M256</f>
        <v>1825.11</v>
      </c>
      <c r="N252" s="3">
        <f t="shared" si="145"/>
        <v>57476.200000000004</v>
      </c>
      <c r="O252" s="3">
        <f t="shared" si="145"/>
        <v>0</v>
      </c>
      <c r="P252" s="3">
        <f t="shared" si="145"/>
        <v>8907.52</v>
      </c>
      <c r="Q252" s="3">
        <f t="shared" si="145"/>
        <v>0</v>
      </c>
      <c r="R252" s="3">
        <f t="shared" si="145"/>
        <v>0</v>
      </c>
      <c r="S252" s="3">
        <f t="shared" si="145"/>
        <v>0</v>
      </c>
      <c r="T252" s="3">
        <f t="shared" si="145"/>
        <v>0</v>
      </c>
      <c r="U252" s="3">
        <f t="shared" si="145"/>
        <v>0</v>
      </c>
      <c r="V252" s="3">
        <f t="shared" si="145"/>
        <v>0</v>
      </c>
      <c r="W252" s="3">
        <f t="shared" si="145"/>
        <v>0</v>
      </c>
      <c r="X252" s="3">
        <f t="shared" si="145"/>
        <v>0</v>
      </c>
      <c r="Y252" s="3">
        <f t="shared" si="145"/>
        <v>0</v>
      </c>
      <c r="Z252" s="95">
        <v>0</v>
      </c>
      <c r="AA252" s="3">
        <f>AA253+AA256</f>
        <v>0</v>
      </c>
      <c r="AB252" s="3">
        <f t="shared" si="145"/>
        <v>0</v>
      </c>
      <c r="AC252" s="3">
        <f t="shared" si="145"/>
        <v>0</v>
      </c>
      <c r="AD252" s="3">
        <f t="shared" si="145"/>
        <v>0</v>
      </c>
      <c r="AE252" s="3">
        <f t="shared" si="145"/>
        <v>0</v>
      </c>
      <c r="AF252" s="3">
        <f t="shared" si="145"/>
        <v>0</v>
      </c>
      <c r="AG252" s="3">
        <f t="shared" si="145"/>
        <v>0</v>
      </c>
      <c r="AH252" s="3">
        <f t="shared" si="145"/>
        <v>0</v>
      </c>
      <c r="AI252" s="3">
        <f t="shared" si="145"/>
        <v>0</v>
      </c>
      <c r="AJ252" s="3">
        <f t="shared" si="145"/>
        <v>0</v>
      </c>
      <c r="AK252" s="3">
        <f t="shared" si="145"/>
        <v>0</v>
      </c>
      <c r="AL252" s="3">
        <f t="shared" si="145"/>
        <v>0</v>
      </c>
      <c r="AM252" s="3">
        <f t="shared" si="145"/>
        <v>0</v>
      </c>
      <c r="AN252" s="3">
        <f t="shared" si="145"/>
        <v>0</v>
      </c>
      <c r="AO252" s="3">
        <f t="shared" si="145"/>
        <v>0</v>
      </c>
      <c r="AP252" s="633" t="s">
        <v>256</v>
      </c>
      <c r="AQ252" s="95">
        <v>0</v>
      </c>
    </row>
    <row r="253" spans="1:43" ht="15.75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1088"/>
      <c r="I253" s="1464"/>
      <c r="J253" s="1090"/>
      <c r="K253" s="4"/>
      <c r="L253" s="47">
        <v>2401.5100000000002</v>
      </c>
      <c r="M253" s="47">
        <v>1825.11</v>
      </c>
      <c r="N253" s="47">
        <v>576.4</v>
      </c>
      <c r="O253" s="47">
        <v>0</v>
      </c>
      <c r="P253" s="47">
        <v>0</v>
      </c>
      <c r="Q253" s="47">
        <f>SUM(Q254:Q255)</f>
        <v>0</v>
      </c>
      <c r="R253" s="50">
        <f>SUM(R254:R255)</f>
        <v>0</v>
      </c>
      <c r="S253" s="50">
        <f t="shared" ref="S253:Y253" si="146">SUM(S254:S255)</f>
        <v>0</v>
      </c>
      <c r="T253" s="50">
        <f t="shared" si="146"/>
        <v>0</v>
      </c>
      <c r="U253" s="50">
        <f t="shared" si="146"/>
        <v>0</v>
      </c>
      <c r="V253" s="50">
        <f t="shared" si="146"/>
        <v>0</v>
      </c>
      <c r="W253" s="50">
        <f t="shared" si="146"/>
        <v>0</v>
      </c>
      <c r="X253" s="447">
        <f t="shared" si="146"/>
        <v>0</v>
      </c>
      <c r="Y253" s="447">
        <f t="shared" si="146"/>
        <v>0</v>
      </c>
      <c r="Z253" s="584"/>
      <c r="AA253" s="447">
        <f>AA254+AA255</f>
        <v>0</v>
      </c>
      <c r="AB253" s="50">
        <f>AB254+AB255</f>
        <v>0</v>
      </c>
      <c r="AC253" s="50">
        <f>AC254+AC255</f>
        <v>0</v>
      </c>
      <c r="AD253" s="50">
        <f>AD254+AD255</f>
        <v>0</v>
      </c>
      <c r="AE253" s="50">
        <f>AE254</f>
        <v>0</v>
      </c>
      <c r="AF253" s="50">
        <v>0</v>
      </c>
      <c r="AG253" s="50">
        <v>0</v>
      </c>
      <c r="AH253" s="50">
        <v>0</v>
      </c>
      <c r="AI253" s="50"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6"/>
      <c r="B254" s="452" t="s">
        <v>267</v>
      </c>
      <c r="C254" s="453"/>
      <c r="D254" s="453"/>
      <c r="E254" s="453"/>
      <c r="F254" s="453"/>
      <c r="G254" s="453"/>
      <c r="H254" s="454"/>
      <c r="I254" s="1464"/>
      <c r="J254" s="651"/>
      <c r="K254" s="268"/>
      <c r="L254" s="96"/>
      <c r="M254" s="268"/>
      <c r="N254" s="268"/>
      <c r="O254" s="268"/>
      <c r="P254" s="268">
        <f>Q254</f>
        <v>0</v>
      </c>
      <c r="Q254" s="455">
        <f>S254+U254+W254</f>
        <v>0</v>
      </c>
      <c r="R254" s="455"/>
      <c r="S254" s="455"/>
      <c r="T254" s="455">
        <v>0</v>
      </c>
      <c r="U254" s="455">
        <v>0</v>
      </c>
      <c r="V254" s="455"/>
      <c r="W254" s="455"/>
      <c r="X254" s="455"/>
      <c r="Y254" s="455"/>
      <c r="Z254" s="455"/>
      <c r="AA254" s="455">
        <f>SUM(AB254:AE254)</f>
        <v>0</v>
      </c>
      <c r="AB254" s="455"/>
      <c r="AC254" s="455">
        <v>0</v>
      </c>
      <c r="AD254" s="455">
        <v>0</v>
      </c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6"/>
      <c r="AQ254" s="455"/>
    </row>
    <row r="255" spans="1:43" s="266" customFormat="1" ht="15.75" hidden="1" customHeight="1" x14ac:dyDescent="0.25">
      <c r="A255" s="1656"/>
      <c r="B255" s="452" t="s">
        <v>271</v>
      </c>
      <c r="C255" s="453"/>
      <c r="D255" s="453"/>
      <c r="E255" s="453"/>
      <c r="F255" s="453"/>
      <c r="G255" s="453"/>
      <c r="H255" s="454"/>
      <c r="I255" s="1464"/>
      <c r="J255" s="651"/>
      <c r="K255" s="268"/>
      <c r="L255" s="96"/>
      <c r="M255" s="268"/>
      <c r="N255" s="268"/>
      <c r="O255" s="268"/>
      <c r="P255" s="268"/>
      <c r="Q255" s="489">
        <f>S255+U255+W255+Y255</f>
        <v>0</v>
      </c>
      <c r="R255" s="489"/>
      <c r="S255" s="489"/>
      <c r="T255" s="489"/>
      <c r="U255" s="489"/>
      <c r="V255" s="489">
        <f>W255</f>
        <v>0</v>
      </c>
      <c r="W255" s="489">
        <v>0</v>
      </c>
      <c r="X255" s="489">
        <f>Y255</f>
        <v>0</v>
      </c>
      <c r="Y255" s="489">
        <v>0</v>
      </c>
      <c r="Z255" s="489"/>
      <c r="AA255" s="489">
        <f>SUM(AB255:AE255)</f>
        <v>0</v>
      </c>
      <c r="AB255" s="489"/>
      <c r="AC255" s="489"/>
      <c r="AD255" s="489">
        <v>0</v>
      </c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6"/>
      <c r="AQ255" s="489"/>
    </row>
    <row r="256" spans="1:43" ht="15.75" customHeight="1" x14ac:dyDescent="0.25">
      <c r="A256" s="1657"/>
      <c r="B256" s="340" t="s">
        <v>32</v>
      </c>
      <c r="C256" s="341"/>
      <c r="D256" s="341"/>
      <c r="E256" s="341"/>
      <c r="F256" s="341"/>
      <c r="G256" s="341"/>
      <c r="H256" s="1089"/>
      <c r="I256" s="1662"/>
      <c r="J256" s="1090"/>
      <c r="K256" s="4"/>
      <c r="L256" s="47">
        <v>131634.9</v>
      </c>
      <c r="M256" s="343">
        <v>0</v>
      </c>
      <c r="N256" s="47">
        <v>56899.8</v>
      </c>
      <c r="O256" s="343">
        <v>0</v>
      </c>
      <c r="P256" s="47">
        <v>8907.52</v>
      </c>
      <c r="Q256" s="47">
        <v>0</v>
      </c>
      <c r="R256" s="343">
        <v>0</v>
      </c>
      <c r="S256" s="343">
        <v>0</v>
      </c>
      <c r="T256" s="343">
        <v>0</v>
      </c>
      <c r="U256" s="343">
        <v>0</v>
      </c>
      <c r="V256" s="343">
        <v>0</v>
      </c>
      <c r="W256" s="343">
        <v>0</v>
      </c>
      <c r="X256" s="343">
        <v>0</v>
      </c>
      <c r="Y256" s="343">
        <v>0</v>
      </c>
      <c r="Z256" s="455"/>
      <c r="AA256" s="343">
        <v>0</v>
      </c>
      <c r="AB256" s="343">
        <v>0</v>
      </c>
      <c r="AC256" s="343">
        <v>0</v>
      </c>
      <c r="AD256" s="343">
        <v>0</v>
      </c>
      <c r="AE256" s="343">
        <v>0</v>
      </c>
      <c r="AF256" s="343">
        <v>0</v>
      </c>
      <c r="AG256" s="343">
        <v>0</v>
      </c>
      <c r="AH256" s="343">
        <v>0</v>
      </c>
      <c r="AI256" s="343">
        <v>0</v>
      </c>
      <c r="AJ256" s="343">
        <v>0</v>
      </c>
      <c r="AK256" s="343">
        <v>0</v>
      </c>
      <c r="AL256" s="343">
        <v>0</v>
      </c>
      <c r="AM256" s="343">
        <v>0</v>
      </c>
      <c r="AN256" s="343">
        <v>0</v>
      </c>
      <c r="AO256" s="343">
        <v>0</v>
      </c>
      <c r="AP256" s="415"/>
      <c r="AQ256" s="455"/>
    </row>
    <row r="257" spans="1:43" s="327" customFormat="1" ht="27.75" customHeight="1" x14ac:dyDescent="0.25">
      <c r="A257" s="1473" t="s">
        <v>186</v>
      </c>
      <c r="B257" s="780" t="s">
        <v>210</v>
      </c>
      <c r="C257" s="1066"/>
      <c r="D257" s="1066"/>
      <c r="E257" s="1066">
        <v>300</v>
      </c>
      <c r="F257" s="1066"/>
      <c r="G257" s="1066">
        <v>2019</v>
      </c>
      <c r="H257" s="1066">
        <v>2019</v>
      </c>
      <c r="I257" s="1493" t="s">
        <v>20</v>
      </c>
      <c r="J257" s="52">
        <f>K257+L257</f>
        <v>27019.38</v>
      </c>
      <c r="K257" s="3">
        <v>0</v>
      </c>
      <c r="L257" s="3">
        <f>L258</f>
        <v>27019.38</v>
      </c>
      <c r="M257" s="3">
        <f>M258</f>
        <v>27019.38</v>
      </c>
      <c r="N257" s="318">
        <v>0</v>
      </c>
      <c r="O257" s="318">
        <v>0</v>
      </c>
      <c r="P257" s="318">
        <f>P258</f>
        <v>0</v>
      </c>
      <c r="Q257" s="318">
        <f>Q258</f>
        <v>0</v>
      </c>
      <c r="R257" s="318">
        <f t="shared" ref="R257:AO258" si="147">R258</f>
        <v>0</v>
      </c>
      <c r="S257" s="318">
        <f t="shared" si="147"/>
        <v>0</v>
      </c>
      <c r="T257" s="318">
        <f t="shared" si="147"/>
        <v>0</v>
      </c>
      <c r="U257" s="318">
        <f t="shared" si="147"/>
        <v>0</v>
      </c>
      <c r="V257" s="318">
        <f t="shared" si="147"/>
        <v>0</v>
      </c>
      <c r="W257" s="318">
        <f t="shared" si="147"/>
        <v>0</v>
      </c>
      <c r="X257" s="318">
        <f t="shared" si="147"/>
        <v>0</v>
      </c>
      <c r="Y257" s="318">
        <f t="shared" si="147"/>
        <v>0</v>
      </c>
      <c r="Z257" s="372">
        <v>0</v>
      </c>
      <c r="AA257" s="318">
        <f t="shared" si="147"/>
        <v>0</v>
      </c>
      <c r="AB257" s="318">
        <f t="shared" si="147"/>
        <v>0</v>
      </c>
      <c r="AC257" s="318">
        <f t="shared" si="147"/>
        <v>0</v>
      </c>
      <c r="AD257" s="318">
        <f t="shared" si="147"/>
        <v>0</v>
      </c>
      <c r="AE257" s="318">
        <f t="shared" si="147"/>
        <v>0</v>
      </c>
      <c r="AF257" s="318">
        <f t="shared" si="147"/>
        <v>0</v>
      </c>
      <c r="AG257" s="318">
        <f t="shared" si="147"/>
        <v>0</v>
      </c>
      <c r="AH257" s="318">
        <f t="shared" si="147"/>
        <v>0</v>
      </c>
      <c r="AI257" s="318">
        <f t="shared" si="147"/>
        <v>0</v>
      </c>
      <c r="AJ257" s="318">
        <f t="shared" si="147"/>
        <v>0</v>
      </c>
      <c r="AK257" s="318">
        <f t="shared" si="147"/>
        <v>0</v>
      </c>
      <c r="AL257" s="318">
        <f t="shared" si="147"/>
        <v>0</v>
      </c>
      <c r="AM257" s="318">
        <f t="shared" si="147"/>
        <v>0</v>
      </c>
      <c r="AN257" s="318">
        <f t="shared" si="147"/>
        <v>0</v>
      </c>
      <c r="AO257" s="318">
        <f t="shared" si="147"/>
        <v>0</v>
      </c>
      <c r="AP257" s="783" t="s">
        <v>273</v>
      </c>
      <c r="AQ257" s="372">
        <v>0</v>
      </c>
    </row>
    <row r="258" spans="1:43" ht="19.5" hidden="1" customHeight="1" x14ac:dyDescent="0.25">
      <c r="A258" s="1663"/>
      <c r="B258" s="1" t="s">
        <v>211</v>
      </c>
      <c r="C258" s="1072"/>
      <c r="D258" s="1072"/>
      <c r="E258" s="1072"/>
      <c r="F258" s="1072"/>
      <c r="G258" s="1072"/>
      <c r="H258" s="1072"/>
      <c r="I258" s="1494"/>
      <c r="J258" s="6"/>
      <c r="K258" s="47"/>
      <c r="L258" s="47">
        <v>27019.38</v>
      </c>
      <c r="M258" s="47">
        <v>27019.38</v>
      </c>
      <c r="N258" s="47">
        <v>0</v>
      </c>
      <c r="O258" s="47">
        <v>0</v>
      </c>
      <c r="P258" s="4">
        <v>0</v>
      </c>
      <c r="Q258" s="4">
        <f>Q259</f>
        <v>0</v>
      </c>
      <c r="R258" s="4">
        <f t="shared" si="147"/>
        <v>0</v>
      </c>
      <c r="S258" s="4">
        <f t="shared" si="147"/>
        <v>0</v>
      </c>
      <c r="T258" s="4">
        <f t="shared" si="147"/>
        <v>0</v>
      </c>
      <c r="U258" s="4">
        <f t="shared" si="147"/>
        <v>0</v>
      </c>
      <c r="V258" s="4">
        <f t="shared" si="147"/>
        <v>0</v>
      </c>
      <c r="W258" s="4">
        <f t="shared" si="147"/>
        <v>0</v>
      </c>
      <c r="X258" s="4">
        <v>0</v>
      </c>
      <c r="Y258" s="4">
        <f t="shared" si="147"/>
        <v>0</v>
      </c>
      <c r="Z258" s="268"/>
      <c r="AA258" s="4">
        <f t="shared" si="147"/>
        <v>0</v>
      </c>
      <c r="AB258" s="4">
        <f t="shared" si="147"/>
        <v>0</v>
      </c>
      <c r="AC258" s="4">
        <f t="shared" si="147"/>
        <v>0</v>
      </c>
      <c r="AD258" s="4">
        <f t="shared" si="147"/>
        <v>0</v>
      </c>
      <c r="AE258" s="4">
        <f t="shared" si="147"/>
        <v>0</v>
      </c>
      <c r="AF258" s="4">
        <f>AF259</f>
        <v>0</v>
      </c>
      <c r="AG258" s="4">
        <f t="shared" si="147"/>
        <v>0</v>
      </c>
      <c r="AH258" s="4">
        <f t="shared" si="147"/>
        <v>0</v>
      </c>
      <c r="AI258" s="4">
        <f t="shared" si="147"/>
        <v>0</v>
      </c>
      <c r="AJ258" s="4">
        <f t="shared" si="147"/>
        <v>0</v>
      </c>
      <c r="AK258" s="4">
        <f t="shared" si="147"/>
        <v>0</v>
      </c>
      <c r="AL258" s="4">
        <f t="shared" si="147"/>
        <v>0</v>
      </c>
      <c r="AM258" s="4">
        <f t="shared" si="147"/>
        <v>0</v>
      </c>
      <c r="AN258" s="4">
        <f t="shared" si="147"/>
        <v>0</v>
      </c>
      <c r="AO258" s="4">
        <f t="shared" si="147"/>
        <v>0</v>
      </c>
      <c r="AP258" s="417"/>
      <c r="AQ258" s="268"/>
    </row>
    <row r="259" spans="1:43" s="266" customFormat="1" ht="15.75" hidden="1" x14ac:dyDescent="0.25">
      <c r="A259" s="267"/>
      <c r="B259" s="102" t="s">
        <v>253</v>
      </c>
      <c r="C259" s="104"/>
      <c r="D259" s="104"/>
      <c r="E259" s="104"/>
      <c r="F259" s="104"/>
      <c r="G259" s="104"/>
      <c r="H259" s="104"/>
      <c r="I259" s="102"/>
      <c r="J259" s="106"/>
      <c r="K259" s="96"/>
      <c r="L259" s="96"/>
      <c r="M259" s="268"/>
      <c r="N259" s="268"/>
      <c r="O259" s="268"/>
      <c r="P259" s="268">
        <f>Q259</f>
        <v>0</v>
      </c>
      <c r="Q259" s="268">
        <f>S259+U259+W259</f>
        <v>0</v>
      </c>
      <c r="R259" s="268">
        <f>S259</f>
        <v>0</v>
      </c>
      <c r="S259" s="268">
        <v>0</v>
      </c>
      <c r="T259" s="268">
        <v>0</v>
      </c>
      <c r="U259" s="268">
        <v>0</v>
      </c>
      <c r="V259" s="268">
        <f>W259</f>
        <v>0</v>
      </c>
      <c r="W259" s="268">
        <v>0</v>
      </c>
      <c r="X259" s="268">
        <v>0</v>
      </c>
      <c r="Y259" s="268">
        <v>0</v>
      </c>
      <c r="Z259" s="268"/>
      <c r="AA259" s="268">
        <f>SUM(AB259:AC259)</f>
        <v>0</v>
      </c>
      <c r="AB259" s="268">
        <v>0</v>
      </c>
      <c r="AC259" s="268">
        <v>0</v>
      </c>
      <c r="AD259" s="268">
        <v>0</v>
      </c>
      <c r="AE259" s="268"/>
      <c r="AF259" s="268">
        <f>SUM(AG259:AI259)</f>
        <v>0</v>
      </c>
      <c r="AG259" s="268"/>
      <c r="AH259" s="268">
        <v>0</v>
      </c>
      <c r="AI259" s="268">
        <v>0</v>
      </c>
      <c r="AJ259" s="268"/>
      <c r="AK259" s="96"/>
      <c r="AL259" s="96"/>
      <c r="AM259" s="96"/>
      <c r="AN259" s="268"/>
      <c r="AO259" s="268"/>
      <c r="AP259" s="418"/>
      <c r="AQ259" s="268"/>
    </row>
    <row r="260" spans="1:43" s="327" customFormat="1" ht="40.5" customHeight="1" x14ac:dyDescent="0.25">
      <c r="A260" s="832" t="s">
        <v>188</v>
      </c>
      <c r="B260" s="780" t="s">
        <v>466</v>
      </c>
      <c r="C260" s="1066">
        <v>63</v>
      </c>
      <c r="D260" s="1066">
        <v>250</v>
      </c>
      <c r="E260" s="1066">
        <v>250</v>
      </c>
      <c r="F260" s="1066"/>
      <c r="G260" s="1066">
        <v>2019</v>
      </c>
      <c r="H260" s="1066">
        <v>2019</v>
      </c>
      <c r="I260" s="780"/>
      <c r="J260" s="52">
        <f>K260+L260</f>
        <v>36691.870000000003</v>
      </c>
      <c r="K260" s="3">
        <v>0</v>
      </c>
      <c r="L260" s="3">
        <f>L261+L264+L265</f>
        <v>36691.870000000003</v>
      </c>
      <c r="M260" s="3">
        <f>M261+M264+M265</f>
        <v>31392.57</v>
      </c>
      <c r="N260" s="3">
        <f>N261+N264+N265</f>
        <v>33892.57</v>
      </c>
      <c r="O260" s="3">
        <f>O261+O264+O265</f>
        <v>33892.57</v>
      </c>
      <c r="P260" s="3">
        <f>P261+P264+P265</f>
        <v>0</v>
      </c>
      <c r="Q260" s="3">
        <f>Q261+Q265</f>
        <v>0</v>
      </c>
      <c r="R260" s="3">
        <f t="shared" ref="R260:AI260" si="148">R261+R265</f>
        <v>138.15199999999999</v>
      </c>
      <c r="S260" s="3">
        <f t="shared" si="148"/>
        <v>138.15199999999999</v>
      </c>
      <c r="T260" s="3">
        <f t="shared" si="148"/>
        <v>2350</v>
      </c>
      <c r="U260" s="3">
        <f t="shared" si="148"/>
        <v>2350</v>
      </c>
      <c r="V260" s="3">
        <f t="shared" si="148"/>
        <v>28677.305</v>
      </c>
      <c r="W260" s="3">
        <f t="shared" si="148"/>
        <v>28677.305</v>
      </c>
      <c r="X260" s="3">
        <f t="shared" si="148"/>
        <v>0</v>
      </c>
      <c r="Y260" s="3">
        <f t="shared" si="148"/>
        <v>0</v>
      </c>
      <c r="Z260" s="3">
        <f t="shared" si="148"/>
        <v>0</v>
      </c>
      <c r="AA260" s="3">
        <f t="shared" si="148"/>
        <v>0</v>
      </c>
      <c r="AB260" s="3">
        <f t="shared" si="148"/>
        <v>0</v>
      </c>
      <c r="AC260" s="3">
        <f t="shared" si="148"/>
        <v>17468.748</v>
      </c>
      <c r="AD260" s="3">
        <f t="shared" si="148"/>
        <v>19862.373</v>
      </c>
      <c r="AE260" s="3">
        <f t="shared" si="148"/>
        <v>0</v>
      </c>
      <c r="AF260" s="3">
        <f t="shared" si="148"/>
        <v>0</v>
      </c>
      <c r="AG260" s="3">
        <f t="shared" si="148"/>
        <v>0</v>
      </c>
      <c r="AH260" s="3">
        <f t="shared" si="148"/>
        <v>0</v>
      </c>
      <c r="AI260" s="3">
        <f t="shared" si="148"/>
        <v>0</v>
      </c>
      <c r="AJ260" s="3">
        <v>0</v>
      </c>
      <c r="AK260" s="3">
        <f>P260-Q260</f>
        <v>0</v>
      </c>
      <c r="AL260" s="3">
        <f>AK260</f>
        <v>0</v>
      </c>
      <c r="AM260" s="318" t="e">
        <f>ROUND((Q260*100%/P260*100),2)</f>
        <v>#DIV/0!</v>
      </c>
      <c r="AN260" s="3">
        <v>0</v>
      </c>
      <c r="AO260" s="3">
        <v>0</v>
      </c>
      <c r="AP260" s="633"/>
      <c r="AQ260" s="95">
        <f>76.182+4641.965+15.332</f>
        <v>4733.4790000000003</v>
      </c>
    </row>
    <row r="261" spans="1:43" ht="15" customHeight="1" x14ac:dyDescent="0.25">
      <c r="A261" s="1070"/>
      <c r="B261" s="47" t="s">
        <v>15</v>
      </c>
      <c r="C261" s="1072"/>
      <c r="D261" s="1072"/>
      <c r="E261" s="1072"/>
      <c r="F261" s="1072"/>
      <c r="G261" s="1072"/>
      <c r="H261" s="1072"/>
      <c r="I261" s="481" t="s">
        <v>20</v>
      </c>
      <c r="J261" s="462"/>
      <c r="K261" s="47"/>
      <c r="L261" s="47">
        <v>2799.3</v>
      </c>
      <c r="M261" s="4"/>
      <c r="N261" s="4">
        <v>0</v>
      </c>
      <c r="O261" s="4"/>
      <c r="P261" s="4">
        <v>0</v>
      </c>
      <c r="Q261" s="4">
        <v>0</v>
      </c>
      <c r="R261" s="4">
        <f t="shared" ref="R261:AE261" si="149">SUM(R262:R263)</f>
        <v>138.15199999999999</v>
      </c>
      <c r="S261" s="4">
        <f t="shared" si="149"/>
        <v>138.15199999999999</v>
      </c>
      <c r="T261" s="4">
        <f t="shared" si="149"/>
        <v>2350</v>
      </c>
      <c r="U261" s="4">
        <f t="shared" si="149"/>
        <v>2350</v>
      </c>
      <c r="V261" s="4">
        <f t="shared" si="149"/>
        <v>0</v>
      </c>
      <c r="W261" s="4">
        <f t="shared" si="149"/>
        <v>0</v>
      </c>
      <c r="X261" s="4">
        <f t="shared" si="149"/>
        <v>0</v>
      </c>
      <c r="Y261" s="4">
        <f t="shared" si="149"/>
        <v>0</v>
      </c>
      <c r="Z261" s="268"/>
      <c r="AA261" s="4">
        <v>0</v>
      </c>
      <c r="AB261" s="4">
        <f t="shared" si="149"/>
        <v>0</v>
      </c>
      <c r="AC261" s="4">
        <f t="shared" si="149"/>
        <v>2488.15</v>
      </c>
      <c r="AD261" s="4">
        <f t="shared" si="149"/>
        <v>0</v>
      </c>
      <c r="AE261" s="4">
        <f t="shared" si="149"/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1078"/>
      <c r="AQ261" s="268"/>
    </row>
    <row r="262" spans="1:43" s="266" customFormat="1" ht="15.75" hidden="1" x14ac:dyDescent="0.25">
      <c r="A262" s="267"/>
      <c r="B262" s="102" t="s">
        <v>303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R262+T262</f>
        <v>138.15199999999999</v>
      </c>
      <c r="Q262" s="268">
        <f>S262</f>
        <v>138.15199999999999</v>
      </c>
      <c r="R262" s="268">
        <f>S262</f>
        <v>138.15199999999999</v>
      </c>
      <c r="S262" s="268">
        <v>138.15199999999999</v>
      </c>
      <c r="T262" s="268">
        <f>U262</f>
        <v>0</v>
      </c>
      <c r="U262" s="268">
        <v>0</v>
      </c>
      <c r="V262" s="268"/>
      <c r="W262" s="268"/>
      <c r="X262" s="268"/>
      <c r="Y262" s="268">
        <v>0</v>
      </c>
      <c r="Z262" s="268"/>
      <c r="AA262" s="268">
        <f>AC262</f>
        <v>138.15</v>
      </c>
      <c r="AB262" s="268">
        <v>0</v>
      </c>
      <c r="AC262" s="268">
        <v>138.15</v>
      </c>
      <c r="AD262" s="268"/>
      <c r="AE262" s="268">
        <v>0</v>
      </c>
      <c r="AF262" s="268"/>
      <c r="AG262" s="268"/>
      <c r="AH262" s="268"/>
      <c r="AI262" s="268"/>
      <c r="AJ262" s="268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8"/>
      <c r="AQ262" s="268"/>
    </row>
    <row r="263" spans="1:43" s="266" customFormat="1" ht="15.75" hidden="1" x14ac:dyDescent="0.25">
      <c r="A263" s="490"/>
      <c r="B263" s="102" t="s">
        <v>311</v>
      </c>
      <c r="C263" s="104"/>
      <c r="D263" s="104"/>
      <c r="E263" s="104"/>
      <c r="F263" s="104"/>
      <c r="G263" s="104"/>
      <c r="H263" s="104"/>
      <c r="I263" s="92"/>
      <c r="J263" s="442"/>
      <c r="K263" s="96"/>
      <c r="L263" s="96"/>
      <c r="M263" s="268"/>
      <c r="N263" s="268"/>
      <c r="O263" s="268"/>
      <c r="P263" s="268"/>
      <c r="Q263" s="268">
        <f>Y263+U263</f>
        <v>2350</v>
      </c>
      <c r="R263" s="268"/>
      <c r="S263" s="268"/>
      <c r="T263" s="268">
        <f>U263</f>
        <v>2350</v>
      </c>
      <c r="U263" s="268">
        <v>2350</v>
      </c>
      <c r="V263" s="268"/>
      <c r="W263" s="268"/>
      <c r="X263" s="268"/>
      <c r="Y263" s="268">
        <v>0</v>
      </c>
      <c r="Z263" s="268"/>
      <c r="AA263" s="268">
        <f>AI263+AE263</f>
        <v>0</v>
      </c>
      <c r="AB263" s="268"/>
      <c r="AC263" s="268">
        <v>2350</v>
      </c>
      <c r="AD263" s="268"/>
      <c r="AE263" s="268">
        <v>0</v>
      </c>
      <c r="AF263" s="268"/>
      <c r="AG263" s="268"/>
      <c r="AH263" s="268"/>
      <c r="AI263" s="268"/>
      <c r="AJ263" s="268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8"/>
      <c r="AQ263" s="268"/>
    </row>
    <row r="264" spans="1:43" ht="15.75" x14ac:dyDescent="0.25">
      <c r="A264" s="1070"/>
      <c r="B264" s="47" t="s">
        <v>15</v>
      </c>
      <c r="C264" s="1072"/>
      <c r="D264" s="1072"/>
      <c r="E264" s="1072"/>
      <c r="F264" s="1072"/>
      <c r="G264" s="1072"/>
      <c r="H264" s="1072"/>
      <c r="I264" s="1493" t="s">
        <v>10</v>
      </c>
      <c r="J264" s="462"/>
      <c r="K264" s="47"/>
      <c r="L264" s="47">
        <v>2500</v>
      </c>
      <c r="M264" s="4"/>
      <c r="N264" s="4">
        <v>2500</v>
      </c>
      <c r="O264" s="4">
        <v>2500</v>
      </c>
      <c r="P264" s="4">
        <v>0</v>
      </c>
      <c r="Q264" s="4">
        <v>0</v>
      </c>
      <c r="R264" s="4">
        <v>0</v>
      </c>
      <c r="S264" s="4">
        <v>0</v>
      </c>
      <c r="T264" s="4"/>
      <c r="U264" s="4"/>
      <c r="V264" s="4"/>
      <c r="W264" s="4"/>
      <c r="X264" s="4"/>
      <c r="Y264" s="4"/>
      <c r="Z264" s="268"/>
      <c r="AA264" s="4">
        <v>0</v>
      </c>
      <c r="AB264" s="4">
        <v>0</v>
      </c>
      <c r="AC264" s="4"/>
      <c r="AD264" s="4"/>
      <c r="AE264" s="4"/>
      <c r="AF264" s="4">
        <v>0</v>
      </c>
      <c r="AG264" s="4">
        <v>0</v>
      </c>
      <c r="AH264" s="4"/>
      <c r="AI264" s="4"/>
      <c r="AJ264" s="4"/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417"/>
      <c r="AQ264" s="268"/>
    </row>
    <row r="265" spans="1:43" ht="15.75" x14ac:dyDescent="0.25">
      <c r="A265" s="1070"/>
      <c r="B265" s="1" t="s">
        <v>16</v>
      </c>
      <c r="C265" s="1072"/>
      <c r="D265" s="1072"/>
      <c r="E265" s="1072"/>
      <c r="F265" s="1072"/>
      <c r="G265" s="1072"/>
      <c r="H265" s="1072"/>
      <c r="I265" s="1494"/>
      <c r="J265" s="462"/>
      <c r="K265" s="47"/>
      <c r="L265" s="47">
        <v>31392.57</v>
      </c>
      <c r="M265" s="47">
        <v>31392.57</v>
      </c>
      <c r="N265" s="47">
        <v>31392.57</v>
      </c>
      <c r="O265" s="47">
        <v>31392.57</v>
      </c>
      <c r="P265" s="47">
        <v>0</v>
      </c>
      <c r="Q265" s="4">
        <v>0</v>
      </c>
      <c r="R265" s="4">
        <f t="shared" ref="R265:AI265" si="150">R266</f>
        <v>0</v>
      </c>
      <c r="S265" s="4">
        <f t="shared" si="150"/>
        <v>0</v>
      </c>
      <c r="T265" s="4">
        <f t="shared" si="150"/>
        <v>0</v>
      </c>
      <c r="U265" s="4">
        <f t="shared" si="150"/>
        <v>0</v>
      </c>
      <c r="V265" s="4">
        <f t="shared" si="150"/>
        <v>28677.305</v>
      </c>
      <c r="W265" s="4">
        <f t="shared" si="150"/>
        <v>28677.305</v>
      </c>
      <c r="X265" s="4">
        <f t="shared" si="150"/>
        <v>0</v>
      </c>
      <c r="Y265" s="4">
        <f t="shared" si="150"/>
        <v>0</v>
      </c>
      <c r="Z265" s="268"/>
      <c r="AA265" s="4">
        <v>0</v>
      </c>
      <c r="AB265" s="4">
        <f t="shared" si="150"/>
        <v>0</v>
      </c>
      <c r="AC265" s="4">
        <f t="shared" si="150"/>
        <v>14980.598</v>
      </c>
      <c r="AD265" s="4">
        <f t="shared" si="150"/>
        <v>19862.373</v>
      </c>
      <c r="AE265" s="4">
        <f t="shared" si="150"/>
        <v>0</v>
      </c>
      <c r="AF265" s="4">
        <f t="shared" si="150"/>
        <v>0</v>
      </c>
      <c r="AG265" s="4">
        <f t="shared" si="150"/>
        <v>0</v>
      </c>
      <c r="AH265" s="4">
        <f t="shared" si="150"/>
        <v>0</v>
      </c>
      <c r="AI265" s="4">
        <f t="shared" si="150"/>
        <v>0</v>
      </c>
      <c r="AJ265" s="4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7"/>
      <c r="AQ265" s="268"/>
    </row>
    <row r="266" spans="1:43" s="266" customFormat="1" ht="15.75" hidden="1" x14ac:dyDescent="0.25">
      <c r="A266" s="490"/>
      <c r="B266" s="102" t="s">
        <v>316</v>
      </c>
      <c r="C266" s="104"/>
      <c r="D266" s="104"/>
      <c r="E266" s="104"/>
      <c r="F266" s="104"/>
      <c r="G266" s="104"/>
      <c r="H266" s="104"/>
      <c r="I266" s="575"/>
      <c r="J266" s="442"/>
      <c r="K266" s="96"/>
      <c r="L266" s="96"/>
      <c r="M266" s="268"/>
      <c r="N266" s="268"/>
      <c r="O266" s="268"/>
      <c r="P266" s="268"/>
      <c r="Q266" s="268">
        <f>W266</f>
        <v>28677.305</v>
      </c>
      <c r="R266" s="268"/>
      <c r="S266" s="268"/>
      <c r="T266" s="268"/>
      <c r="U266" s="268"/>
      <c r="V266" s="268">
        <f>W266</f>
        <v>28677.305</v>
      </c>
      <c r="W266" s="268">
        <v>28677.305</v>
      </c>
      <c r="X266" s="268"/>
      <c r="Y266" s="268"/>
      <c r="Z266" s="268"/>
      <c r="AA266" s="268">
        <f>AC266+AD266</f>
        <v>34842.970999999998</v>
      </c>
      <c r="AB266" s="268"/>
      <c r="AC266" s="268">
        <v>14980.598</v>
      </c>
      <c r="AD266" s="268">
        <v>19862.373</v>
      </c>
      <c r="AE266" s="268"/>
      <c r="AF266" s="268"/>
      <c r="AG266" s="268"/>
      <c r="AH266" s="268"/>
      <c r="AI266" s="268"/>
      <c r="AJ266" s="268"/>
      <c r="AK266" s="96"/>
      <c r="AL266" s="96"/>
      <c r="AM266" s="96"/>
      <c r="AN266" s="268"/>
      <c r="AO266" s="268"/>
      <c r="AP266" s="418"/>
      <c r="AQ266" s="268"/>
    </row>
    <row r="267" spans="1:43" s="327" customFormat="1" ht="18.75" customHeight="1" x14ac:dyDescent="0.25">
      <c r="A267" s="1358" t="s">
        <v>189</v>
      </c>
      <c r="B267" s="609" t="s">
        <v>35</v>
      </c>
      <c r="C267" s="1661">
        <v>500</v>
      </c>
      <c r="D267" s="1661" t="s">
        <v>43</v>
      </c>
      <c r="E267" s="1661">
        <v>850</v>
      </c>
      <c r="F267" s="1660">
        <v>20400</v>
      </c>
      <c r="G267" s="807"/>
      <c r="H267" s="807"/>
      <c r="I267" s="1326" t="s">
        <v>20</v>
      </c>
      <c r="J267" s="1622">
        <v>6942.46</v>
      </c>
      <c r="K267" s="3">
        <v>0</v>
      </c>
      <c r="L267" s="3">
        <f>L268</f>
        <v>6462.97</v>
      </c>
      <c r="M267" s="318">
        <f>M268</f>
        <v>0</v>
      </c>
      <c r="N267" s="318">
        <f>N268</f>
        <v>0</v>
      </c>
      <c r="O267" s="318">
        <f>O268</f>
        <v>6942.46</v>
      </c>
      <c r="P267" s="318">
        <v>0</v>
      </c>
      <c r="Q267" s="318">
        <v>0</v>
      </c>
      <c r="R267" s="318">
        <v>0</v>
      </c>
      <c r="S267" s="318">
        <v>0</v>
      </c>
      <c r="T267" s="318">
        <v>0</v>
      </c>
      <c r="U267" s="318">
        <v>0</v>
      </c>
      <c r="V267" s="318">
        <v>0</v>
      </c>
      <c r="W267" s="318">
        <v>0</v>
      </c>
      <c r="X267" s="318">
        <v>0</v>
      </c>
      <c r="Y267" s="318">
        <v>0</v>
      </c>
      <c r="Z267" s="372">
        <v>0</v>
      </c>
      <c r="AA267" s="318">
        <v>0</v>
      </c>
      <c r="AB267" s="318">
        <v>0</v>
      </c>
      <c r="AC267" s="318">
        <v>0</v>
      </c>
      <c r="AD267" s="318">
        <v>0</v>
      </c>
      <c r="AE267" s="318">
        <v>0</v>
      </c>
      <c r="AF267" s="318">
        <v>0</v>
      </c>
      <c r="AG267" s="318">
        <v>0</v>
      </c>
      <c r="AH267" s="318">
        <v>0</v>
      </c>
      <c r="AI267" s="318">
        <v>0</v>
      </c>
      <c r="AJ267" s="318">
        <v>0</v>
      </c>
      <c r="AK267" s="3">
        <f>P267-Q267</f>
        <v>0</v>
      </c>
      <c r="AL267" s="3">
        <f>AK267</f>
        <v>0</v>
      </c>
      <c r="AM267" s="3">
        <v>0</v>
      </c>
      <c r="AN267" s="318">
        <v>0</v>
      </c>
      <c r="AO267" s="318">
        <v>0</v>
      </c>
      <c r="AP267" s="833"/>
      <c r="AQ267" s="372">
        <v>0</v>
      </c>
    </row>
    <row r="268" spans="1:43" ht="15" hidden="1" customHeight="1" x14ac:dyDescent="0.25">
      <c r="A268" s="1361"/>
      <c r="B268" s="1" t="s">
        <v>15</v>
      </c>
      <c r="C268" s="1661"/>
      <c r="D268" s="1661"/>
      <c r="E268" s="1661"/>
      <c r="F268" s="1661"/>
      <c r="G268" s="1072">
        <v>2021</v>
      </c>
      <c r="H268" s="1072">
        <v>2021</v>
      </c>
      <c r="I268" s="1328"/>
      <c r="J268" s="1624"/>
      <c r="K268" s="47"/>
      <c r="L268" s="47">
        <v>6462.97</v>
      </c>
      <c r="M268" s="47">
        <v>0</v>
      </c>
      <c r="N268" s="47">
        <v>0</v>
      </c>
      <c r="O268" s="47">
        <v>6942.46</v>
      </c>
      <c r="P268" s="47">
        <v>6462.97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96"/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327" customFormat="1" ht="28.5" customHeight="1" x14ac:dyDescent="0.25">
      <c r="A269" s="1358" t="s">
        <v>190</v>
      </c>
      <c r="B269" s="780" t="s">
        <v>191</v>
      </c>
      <c r="C269" s="1660"/>
      <c r="D269" s="1660"/>
      <c r="E269" s="1660"/>
      <c r="F269" s="1660">
        <v>80</v>
      </c>
      <c r="G269" s="807"/>
      <c r="H269" s="807"/>
      <c r="I269" s="1326" t="s">
        <v>20</v>
      </c>
      <c r="J269" s="52">
        <f>L269</f>
        <v>45265.81</v>
      </c>
      <c r="K269" s="52"/>
      <c r="L269" s="3">
        <f t="shared" ref="L269:AO269" si="151">L270+L272</f>
        <v>45265.81</v>
      </c>
      <c r="M269" s="3">
        <f t="shared" si="151"/>
        <v>33.479999999999997</v>
      </c>
      <c r="N269" s="3">
        <f t="shared" si="151"/>
        <v>7044.44</v>
      </c>
      <c r="O269" s="3">
        <f t="shared" si="151"/>
        <v>11467.37</v>
      </c>
      <c r="P269" s="3">
        <f t="shared" si="151"/>
        <v>40219.919999999998</v>
      </c>
      <c r="Q269" s="3">
        <f t="shared" si="151"/>
        <v>0</v>
      </c>
      <c r="R269" s="3">
        <f t="shared" si="151"/>
        <v>0</v>
      </c>
      <c r="S269" s="3">
        <f t="shared" si="151"/>
        <v>0</v>
      </c>
      <c r="T269" s="3">
        <f t="shared" si="151"/>
        <v>27</v>
      </c>
      <c r="U269" s="3">
        <f t="shared" si="151"/>
        <v>27</v>
      </c>
      <c r="V269" s="3">
        <f t="shared" si="151"/>
        <v>0</v>
      </c>
      <c r="W269" s="3">
        <f t="shared" si="151"/>
        <v>0</v>
      </c>
      <c r="X269" s="3">
        <f t="shared" si="151"/>
        <v>0</v>
      </c>
      <c r="Y269" s="3">
        <f t="shared" si="151"/>
        <v>0</v>
      </c>
      <c r="Z269" s="95">
        <v>0</v>
      </c>
      <c r="AA269" s="3">
        <f t="shared" si="151"/>
        <v>0</v>
      </c>
      <c r="AB269" s="3">
        <f>AB270+AB272</f>
        <v>0</v>
      </c>
      <c r="AC269" s="3">
        <f>AC270+AC272</f>
        <v>0</v>
      </c>
      <c r="AD269" s="3">
        <f>AD270+AD272</f>
        <v>27</v>
      </c>
      <c r="AE269" s="3">
        <f>AE270+AE272</f>
        <v>0</v>
      </c>
      <c r="AF269" s="3">
        <f t="shared" si="151"/>
        <v>0</v>
      </c>
      <c r="AG269" s="3">
        <f t="shared" si="151"/>
        <v>0</v>
      </c>
      <c r="AH269" s="3">
        <f t="shared" si="151"/>
        <v>0</v>
      </c>
      <c r="AI269" s="3">
        <f t="shared" si="151"/>
        <v>0</v>
      </c>
      <c r="AJ269" s="3">
        <f t="shared" si="151"/>
        <v>0</v>
      </c>
      <c r="AK269" s="3">
        <f>P269-Q269</f>
        <v>40219.919999999998</v>
      </c>
      <c r="AL269" s="3">
        <f>AK269</f>
        <v>40219.919999999998</v>
      </c>
      <c r="AM269" s="318">
        <v>0</v>
      </c>
      <c r="AN269" s="3">
        <f t="shared" si="151"/>
        <v>0</v>
      </c>
      <c r="AO269" s="3">
        <f t="shared" si="151"/>
        <v>0</v>
      </c>
      <c r="AP269" s="834"/>
      <c r="AQ269" s="95">
        <v>0</v>
      </c>
    </row>
    <row r="270" spans="1:43" ht="17.25" customHeight="1" x14ac:dyDescent="0.25">
      <c r="A270" s="1359"/>
      <c r="B270" s="1" t="s">
        <v>15</v>
      </c>
      <c r="C270" s="1661"/>
      <c r="D270" s="1661"/>
      <c r="E270" s="1661"/>
      <c r="F270" s="1661"/>
      <c r="G270" s="1072">
        <v>2019</v>
      </c>
      <c r="H270" s="1072">
        <v>2019</v>
      </c>
      <c r="I270" s="1327"/>
      <c r="J270" s="6">
        <f>L270</f>
        <v>7077.92</v>
      </c>
      <c r="K270" s="6"/>
      <c r="L270" s="47">
        <v>7077.92</v>
      </c>
      <c r="M270" s="47">
        <v>33.479999999999997</v>
      </c>
      <c r="N270" s="47">
        <v>7044.44</v>
      </c>
      <c r="O270" s="47">
        <v>0</v>
      </c>
      <c r="P270" s="47">
        <v>0</v>
      </c>
      <c r="Q270" s="47">
        <v>0</v>
      </c>
      <c r="R270" s="47">
        <f t="shared" ref="R270:AD270" si="152">SUM(R271)</f>
        <v>0</v>
      </c>
      <c r="S270" s="47">
        <f t="shared" si="152"/>
        <v>0</v>
      </c>
      <c r="T270" s="47">
        <f t="shared" si="152"/>
        <v>27</v>
      </c>
      <c r="U270" s="47">
        <f t="shared" si="152"/>
        <v>27</v>
      </c>
      <c r="V270" s="47">
        <f t="shared" si="152"/>
        <v>0</v>
      </c>
      <c r="W270" s="47">
        <f t="shared" si="152"/>
        <v>0</v>
      </c>
      <c r="X270" s="47">
        <f t="shared" si="152"/>
        <v>0</v>
      </c>
      <c r="Y270" s="47">
        <f t="shared" si="152"/>
        <v>0</v>
      </c>
      <c r="Z270" s="96"/>
      <c r="AA270" s="47">
        <v>0</v>
      </c>
      <c r="AB270" s="47">
        <f t="shared" si="152"/>
        <v>0</v>
      </c>
      <c r="AC270" s="47">
        <f t="shared" si="152"/>
        <v>0</v>
      </c>
      <c r="AD270" s="47">
        <f t="shared" si="152"/>
        <v>27</v>
      </c>
      <c r="AE270" s="47">
        <v>0</v>
      </c>
      <c r="AF270" s="47">
        <f>AF271</f>
        <v>0</v>
      </c>
      <c r="AG270" s="47">
        <f>AG271</f>
        <v>0</v>
      </c>
      <c r="AH270" s="47">
        <f>AH271</f>
        <v>0</v>
      </c>
      <c r="AI270" s="47">
        <f>AI271</f>
        <v>0</v>
      </c>
      <c r="AJ270" s="47">
        <f>AJ271</f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266" customFormat="1" ht="25.5" hidden="1" customHeight="1" x14ac:dyDescent="0.25">
      <c r="A271" s="1359"/>
      <c r="B271" s="102" t="s">
        <v>267</v>
      </c>
      <c r="C271" s="576"/>
      <c r="D271" s="576"/>
      <c r="E271" s="576"/>
      <c r="F271" s="576"/>
      <c r="G271" s="104"/>
      <c r="H271" s="104"/>
      <c r="I271" s="1327"/>
      <c r="J271" s="106"/>
      <c r="K271" s="106"/>
      <c r="L271" s="96"/>
      <c r="M271" s="96"/>
      <c r="N271" s="96"/>
      <c r="O271" s="96"/>
      <c r="P271" s="96">
        <f>R271</f>
        <v>0</v>
      </c>
      <c r="Q271" s="96">
        <f>S271+U271</f>
        <v>27</v>
      </c>
      <c r="R271" s="96">
        <v>0</v>
      </c>
      <c r="S271" s="96">
        <v>0</v>
      </c>
      <c r="T271" s="96">
        <f>U271</f>
        <v>27</v>
      </c>
      <c r="U271" s="96">
        <f>ROUND((32.4/1.2),2)</f>
        <v>27</v>
      </c>
      <c r="V271" s="96"/>
      <c r="W271" s="96"/>
      <c r="X271" s="96"/>
      <c r="Y271" s="96"/>
      <c r="Z271" s="96"/>
      <c r="AA271" s="96">
        <f>AD271</f>
        <v>27</v>
      </c>
      <c r="AB271" s="96">
        <v>0</v>
      </c>
      <c r="AC271" s="96"/>
      <c r="AD271" s="96">
        <v>27</v>
      </c>
      <c r="AE271" s="96"/>
      <c r="AF271" s="96">
        <f>SUM(AG271:AG271)</f>
        <v>0</v>
      </c>
      <c r="AG271" s="96"/>
      <c r="AH271" s="96"/>
      <c r="AI271" s="96"/>
      <c r="AJ271" s="96"/>
      <c r="AK271" s="96"/>
      <c r="AL271" s="96"/>
      <c r="AM271" s="96"/>
      <c r="AN271" s="96"/>
      <c r="AO271" s="96"/>
      <c r="AP271" s="421"/>
      <c r="AQ271" s="96"/>
    </row>
    <row r="272" spans="1:43" ht="17.25" customHeight="1" x14ac:dyDescent="0.25">
      <c r="A272" s="1361"/>
      <c r="B272" s="1" t="s">
        <v>16</v>
      </c>
      <c r="C272" s="1079"/>
      <c r="D272" s="1079"/>
      <c r="E272" s="1079"/>
      <c r="F272" s="1079"/>
      <c r="G272" s="1072">
        <v>2020</v>
      </c>
      <c r="H272" s="1072">
        <v>2021</v>
      </c>
      <c r="I272" s="1328"/>
      <c r="J272" s="6">
        <f>L272</f>
        <v>38187.89</v>
      </c>
      <c r="K272" s="6"/>
      <c r="L272" s="47">
        <v>38187.89</v>
      </c>
      <c r="M272" s="47">
        <v>0</v>
      </c>
      <c r="N272" s="47">
        <v>0</v>
      </c>
      <c r="O272" s="47">
        <v>11467.37</v>
      </c>
      <c r="P272" s="47">
        <v>40219.919999999998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96"/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19"/>
      <c r="AQ272" s="96"/>
    </row>
    <row r="273" spans="1:44" s="327" customFormat="1" ht="39.75" customHeight="1" x14ac:dyDescent="0.25">
      <c r="A273" s="1358" t="s">
        <v>192</v>
      </c>
      <c r="B273" s="772" t="s">
        <v>166</v>
      </c>
      <c r="C273" s="1660"/>
      <c r="D273" s="1660"/>
      <c r="E273" s="1660"/>
      <c r="F273" s="1660">
        <v>80</v>
      </c>
      <c r="G273" s="807"/>
      <c r="H273" s="807"/>
      <c r="I273" s="1326" t="s">
        <v>20</v>
      </c>
      <c r="J273" s="52">
        <f>L273</f>
        <v>94875.549999999988</v>
      </c>
      <c r="K273" s="52"/>
      <c r="L273" s="3">
        <f t="shared" ref="L273:O273" si="153">L274+L277</f>
        <v>94875.549999999988</v>
      </c>
      <c r="M273" s="3">
        <f t="shared" si="153"/>
        <v>2761.44</v>
      </c>
      <c r="N273" s="3">
        <f t="shared" si="153"/>
        <v>9629.68</v>
      </c>
      <c r="O273" s="3">
        <f t="shared" si="153"/>
        <v>22469.279999999999</v>
      </c>
      <c r="P273" s="3">
        <v>3907.02</v>
      </c>
      <c r="Q273" s="3">
        <v>0</v>
      </c>
      <c r="R273" s="3">
        <f t="shared" ref="R273:Y273" si="154">R274+R277</f>
        <v>646.02599999999995</v>
      </c>
      <c r="S273" s="3">
        <f t="shared" si="154"/>
        <v>646.02599999999995</v>
      </c>
      <c r="T273" s="3">
        <f t="shared" si="154"/>
        <v>872.63599999999997</v>
      </c>
      <c r="U273" s="3">
        <f t="shared" si="154"/>
        <v>872.63599999999997</v>
      </c>
      <c r="V273" s="3">
        <f t="shared" si="154"/>
        <v>0</v>
      </c>
      <c r="W273" s="3">
        <f t="shared" si="154"/>
        <v>0</v>
      </c>
      <c r="X273" s="3">
        <f t="shared" si="154"/>
        <v>0</v>
      </c>
      <c r="Y273" s="3">
        <f t="shared" si="154"/>
        <v>0</v>
      </c>
      <c r="Z273" s="3">
        <v>0</v>
      </c>
      <c r="AA273" s="3">
        <f>AA274+AA277</f>
        <v>0</v>
      </c>
      <c r="AB273" s="3">
        <f>AB274+AB277</f>
        <v>0</v>
      </c>
      <c r="AC273" s="3">
        <f t="shared" ref="AC273:AJ273" si="155">AC274+AC277</f>
        <v>0</v>
      </c>
      <c r="AD273" s="3">
        <f t="shared" si="155"/>
        <v>0</v>
      </c>
      <c r="AE273" s="3">
        <f t="shared" si="155"/>
        <v>0</v>
      </c>
      <c r="AF273" s="3">
        <f t="shared" si="155"/>
        <v>0</v>
      </c>
      <c r="AG273" s="3">
        <f t="shared" si="155"/>
        <v>0</v>
      </c>
      <c r="AH273" s="3">
        <f t="shared" si="155"/>
        <v>0</v>
      </c>
      <c r="AI273" s="3">
        <f t="shared" si="155"/>
        <v>0</v>
      </c>
      <c r="AJ273" s="3">
        <f t="shared" si="155"/>
        <v>0</v>
      </c>
      <c r="AK273" s="3">
        <f>P273-Q273</f>
        <v>3907.02</v>
      </c>
      <c r="AL273" s="3">
        <f>AK273</f>
        <v>3907.02</v>
      </c>
      <c r="AM273" s="3">
        <f>ROUND((Q273*100%/P273*100),2)</f>
        <v>0</v>
      </c>
      <c r="AN273" s="3">
        <f>AN274+AN277</f>
        <v>0</v>
      </c>
      <c r="AO273" s="3">
        <f>AO274+AO277</f>
        <v>0</v>
      </c>
      <c r="AP273" s="633" t="s">
        <v>256</v>
      </c>
      <c r="AQ273" s="3">
        <v>0</v>
      </c>
    </row>
    <row r="274" spans="1:44" ht="16.5" hidden="1" customHeight="1" x14ac:dyDescent="0.25">
      <c r="A274" s="1359"/>
      <c r="B274" s="42" t="s">
        <v>15</v>
      </c>
      <c r="C274" s="1661"/>
      <c r="D274" s="1661"/>
      <c r="E274" s="1661"/>
      <c r="F274" s="1661"/>
      <c r="G274" s="313"/>
      <c r="H274" s="1088"/>
      <c r="I274" s="1327"/>
      <c r="J274" s="1082"/>
      <c r="K274" s="47"/>
      <c r="L274" s="47">
        <v>5734.87</v>
      </c>
      <c r="M274" s="47">
        <v>2761.44</v>
      </c>
      <c r="N274" s="47">
        <v>105.99</v>
      </c>
      <c r="O274" s="47">
        <v>0</v>
      </c>
      <c r="P274" s="47">
        <v>0</v>
      </c>
      <c r="Q274" s="47">
        <f>SUM(Q275:Q277)</f>
        <v>1518.6619999999998</v>
      </c>
      <c r="R274" s="47">
        <f>S274</f>
        <v>646.02599999999995</v>
      </c>
      <c r="S274" s="47">
        <f>SUM(S275:S277)</f>
        <v>646.02599999999995</v>
      </c>
      <c r="T274" s="47">
        <f>SUM(T275:T277)</f>
        <v>872.63599999999997</v>
      </c>
      <c r="U274" s="47">
        <f>SUM(U275:U277)</f>
        <v>872.63599999999997</v>
      </c>
      <c r="V274" s="47">
        <f>SUM(V275:V277)</f>
        <v>0</v>
      </c>
      <c r="W274" s="47">
        <f>SUM(W275:W277)</f>
        <v>0</v>
      </c>
      <c r="X274" s="47">
        <v>0</v>
      </c>
      <c r="Y274" s="47">
        <f t="shared" ref="Y274:AE274" si="156">SUM(Y275:Y277)</f>
        <v>0</v>
      </c>
      <c r="Z274" s="96"/>
      <c r="AA274" s="47">
        <f t="shared" si="156"/>
        <v>0</v>
      </c>
      <c r="AB274" s="47">
        <f t="shared" si="156"/>
        <v>0</v>
      </c>
      <c r="AC274" s="47">
        <f t="shared" si="156"/>
        <v>0</v>
      </c>
      <c r="AD274" s="47">
        <f t="shared" si="156"/>
        <v>0</v>
      </c>
      <c r="AE274" s="47">
        <f t="shared" si="156"/>
        <v>0</v>
      </c>
      <c r="AF274" s="47">
        <f>SUM(AF275)</f>
        <v>0</v>
      </c>
      <c r="AG274" s="47">
        <f>SUM(AG275)</f>
        <v>0</v>
      </c>
      <c r="AH274" s="47">
        <f>SUM(AH275)</f>
        <v>0</v>
      </c>
      <c r="AI274" s="47">
        <f>SUM(AI275)</f>
        <v>0</v>
      </c>
      <c r="AJ274" s="47">
        <f>SUM(AJ275)</f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397"/>
      <c r="AQ274" s="96"/>
    </row>
    <row r="275" spans="1:44" s="266" customFormat="1" ht="16.5" hidden="1" customHeight="1" x14ac:dyDescent="0.25">
      <c r="A275" s="1359"/>
      <c r="B275" s="252" t="s">
        <v>228</v>
      </c>
      <c r="C275" s="363"/>
      <c r="D275" s="363"/>
      <c r="E275" s="363"/>
      <c r="F275" s="363"/>
      <c r="G275" s="363"/>
      <c r="H275" s="364"/>
      <c r="I275" s="1327"/>
      <c r="J275" s="258"/>
      <c r="K275" s="96"/>
      <c r="L275" s="96"/>
      <c r="M275" s="96"/>
      <c r="N275" s="96"/>
      <c r="O275" s="96"/>
      <c r="P275" s="47"/>
      <c r="Q275" s="96">
        <f>S275+U275</f>
        <v>1518.6619999999998</v>
      </c>
      <c r="R275" s="96">
        <v>0</v>
      </c>
      <c r="S275" s="96">
        <v>646.02599999999995</v>
      </c>
      <c r="T275" s="96">
        <f>U275</f>
        <v>872.63599999999997</v>
      </c>
      <c r="U275" s="96">
        <v>872.63599999999997</v>
      </c>
      <c r="V275" s="96"/>
      <c r="W275" s="96"/>
      <c r="X275" s="96">
        <v>0</v>
      </c>
      <c r="Y275" s="96">
        <v>0</v>
      </c>
      <c r="Z275" s="96"/>
      <c r="AA275" s="96">
        <v>0</v>
      </c>
      <c r="AB275" s="96">
        <v>0</v>
      </c>
      <c r="AC275" s="96"/>
      <c r="AD275" s="96"/>
      <c r="AE275" s="96">
        <v>0</v>
      </c>
      <c r="AF275" s="96">
        <f>SUM(AG275:AG275)</f>
        <v>0</v>
      </c>
      <c r="AG275" s="96"/>
      <c r="AH275" s="96"/>
      <c r="AI275" s="96"/>
      <c r="AJ275" s="96"/>
      <c r="AK275" s="96">
        <v>0</v>
      </c>
      <c r="AL275" s="96">
        <v>0</v>
      </c>
      <c r="AM275" s="96">
        <v>0</v>
      </c>
      <c r="AN275" s="96">
        <v>0</v>
      </c>
      <c r="AO275" s="96">
        <v>0</v>
      </c>
      <c r="AP275" s="405"/>
      <c r="AQ275" s="96"/>
    </row>
    <row r="276" spans="1:44" s="266" customFormat="1" ht="16.5" hidden="1" customHeight="1" x14ac:dyDescent="0.25">
      <c r="A276" s="1359"/>
      <c r="B276" s="252" t="s">
        <v>267</v>
      </c>
      <c r="C276" s="363"/>
      <c r="D276" s="363"/>
      <c r="E276" s="363"/>
      <c r="F276" s="363"/>
      <c r="G276" s="363"/>
      <c r="H276" s="364"/>
      <c r="I276" s="1327"/>
      <c r="J276" s="258"/>
      <c r="K276" s="96"/>
      <c r="L276" s="96"/>
      <c r="M276" s="96"/>
      <c r="N276" s="96"/>
      <c r="O276" s="96"/>
      <c r="P276" s="96">
        <f>R276+T276</f>
        <v>0</v>
      </c>
      <c r="Q276" s="96">
        <f>S276+U276</f>
        <v>0</v>
      </c>
      <c r="R276" s="96">
        <v>0</v>
      </c>
      <c r="S276" s="96">
        <v>0</v>
      </c>
      <c r="T276" s="96">
        <f>U276</f>
        <v>0</v>
      </c>
      <c r="U276" s="96">
        <v>0</v>
      </c>
      <c r="V276" s="96"/>
      <c r="W276" s="96"/>
      <c r="X276" s="96"/>
      <c r="Y276" s="96"/>
      <c r="Z276" s="96"/>
      <c r="AA276" s="96">
        <f>SUM(AB276:AD276)</f>
        <v>0</v>
      </c>
      <c r="AB276" s="96"/>
      <c r="AC276" s="96">
        <v>0</v>
      </c>
      <c r="AD276" s="96">
        <v>0</v>
      </c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405"/>
      <c r="AQ276" s="96"/>
    </row>
    <row r="277" spans="1:44" ht="0.75" hidden="1" customHeight="1" x14ac:dyDescent="0.25">
      <c r="A277" s="1361"/>
      <c r="B277" s="1" t="s">
        <v>16</v>
      </c>
      <c r="C277" s="1079"/>
      <c r="D277" s="1079"/>
      <c r="E277" s="1079"/>
      <c r="F277" s="1079"/>
      <c r="G277" s="1072">
        <v>2020</v>
      </c>
      <c r="H277" s="1072">
        <v>2021</v>
      </c>
      <c r="I277" s="1328"/>
      <c r="J277" s="6">
        <f>L277</f>
        <v>89140.68</v>
      </c>
      <c r="K277" s="6"/>
      <c r="L277" s="47">
        <v>89140.68</v>
      </c>
      <c r="M277" s="47">
        <v>0</v>
      </c>
      <c r="N277" s="47">
        <v>9523.69</v>
      </c>
      <c r="O277" s="47">
        <v>22469.279999999999</v>
      </c>
      <c r="P277" s="47">
        <v>2605.9899999999998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96"/>
      <c r="AA277" s="47">
        <v>0</v>
      </c>
      <c r="AB277" s="47">
        <v>0</v>
      </c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44" s="327" customFormat="1" ht="41.25" customHeight="1" x14ac:dyDescent="0.25">
      <c r="A278" s="1358" t="s">
        <v>193</v>
      </c>
      <c r="B278" s="772" t="s">
        <v>163</v>
      </c>
      <c r="C278" s="1660"/>
      <c r="D278" s="1660"/>
      <c r="E278" s="1660"/>
      <c r="F278" s="1660">
        <v>81</v>
      </c>
      <c r="G278" s="807"/>
      <c r="H278" s="807"/>
      <c r="I278" s="1326" t="s">
        <v>20</v>
      </c>
      <c r="J278" s="52">
        <f>L278</f>
        <v>5513.9</v>
      </c>
      <c r="K278" s="52"/>
      <c r="L278" s="3">
        <f t="shared" ref="L278:AA278" si="157">L279+L284</f>
        <v>5513.9</v>
      </c>
      <c r="M278" s="3">
        <f t="shared" si="157"/>
        <v>297.18</v>
      </c>
      <c r="N278" s="3">
        <f t="shared" si="157"/>
        <v>1639.85</v>
      </c>
      <c r="O278" s="3">
        <f t="shared" si="157"/>
        <v>0</v>
      </c>
      <c r="P278" s="3">
        <f t="shared" si="157"/>
        <v>0</v>
      </c>
      <c r="Q278" s="3">
        <f t="shared" si="157"/>
        <v>0</v>
      </c>
      <c r="R278" s="3">
        <f t="shared" si="157"/>
        <v>0</v>
      </c>
      <c r="S278" s="3">
        <f t="shared" si="157"/>
        <v>0</v>
      </c>
      <c r="T278" s="3">
        <f t="shared" si="157"/>
        <v>0</v>
      </c>
      <c r="U278" s="3">
        <f t="shared" si="157"/>
        <v>0</v>
      </c>
      <c r="V278" s="3">
        <f t="shared" si="157"/>
        <v>0</v>
      </c>
      <c r="W278" s="3">
        <f t="shared" si="157"/>
        <v>0</v>
      </c>
      <c r="X278" s="3">
        <f t="shared" si="157"/>
        <v>0</v>
      </c>
      <c r="Y278" s="3">
        <f t="shared" si="157"/>
        <v>0</v>
      </c>
      <c r="Z278" s="95">
        <v>0</v>
      </c>
      <c r="AA278" s="3">
        <f t="shared" si="157"/>
        <v>0</v>
      </c>
      <c r="AB278" s="3">
        <f>AB279+AB284</f>
        <v>0</v>
      </c>
      <c r="AC278" s="3">
        <f t="shared" ref="AC278:AJ278" si="158">AC279+AC284</f>
        <v>0</v>
      </c>
      <c r="AD278" s="3">
        <f t="shared" si="158"/>
        <v>0</v>
      </c>
      <c r="AE278" s="3">
        <f t="shared" si="158"/>
        <v>0</v>
      </c>
      <c r="AF278" s="3">
        <f t="shared" si="158"/>
        <v>0</v>
      </c>
      <c r="AG278" s="3">
        <f t="shared" si="158"/>
        <v>0</v>
      </c>
      <c r="AH278" s="3">
        <f t="shared" si="158"/>
        <v>0</v>
      </c>
      <c r="AI278" s="3">
        <f t="shared" si="158"/>
        <v>0</v>
      </c>
      <c r="AJ278" s="3">
        <f t="shared" si="158"/>
        <v>0</v>
      </c>
      <c r="AK278" s="3">
        <f>P278-Q278</f>
        <v>0</v>
      </c>
      <c r="AL278" s="3">
        <f>AK278</f>
        <v>0</v>
      </c>
      <c r="AM278" s="3">
        <v>0</v>
      </c>
      <c r="AN278" s="3">
        <f>AN279+AN284</f>
        <v>0</v>
      </c>
      <c r="AO278" s="3">
        <f>AO279+AO284</f>
        <v>0</v>
      </c>
      <c r="AP278" s="633" t="s">
        <v>256</v>
      </c>
      <c r="AQ278" s="95">
        <v>0</v>
      </c>
    </row>
    <row r="279" spans="1:44" ht="17.25" hidden="1" customHeight="1" x14ac:dyDescent="0.25">
      <c r="A279" s="1359"/>
      <c r="B279" s="1" t="s">
        <v>15</v>
      </c>
      <c r="C279" s="1661"/>
      <c r="D279" s="1661"/>
      <c r="E279" s="1661"/>
      <c r="F279" s="1661"/>
      <c r="G279" s="1072">
        <v>2021</v>
      </c>
      <c r="H279" s="1072">
        <v>2023</v>
      </c>
      <c r="I279" s="1327"/>
      <c r="J279" s="6">
        <f>L279</f>
        <v>594.36</v>
      </c>
      <c r="K279" s="6"/>
      <c r="L279" s="47">
        <v>594.36</v>
      </c>
      <c r="M279" s="47">
        <v>297.18</v>
      </c>
      <c r="N279" s="47">
        <v>0</v>
      </c>
      <c r="O279" s="47">
        <v>0</v>
      </c>
      <c r="P279" s="47">
        <v>0</v>
      </c>
      <c r="Q279" s="47">
        <f>SUM(Q281:Q283)</f>
        <v>0</v>
      </c>
      <c r="R279" s="47">
        <f t="shared" ref="R279:AE279" si="159">SUM(R281:R283)</f>
        <v>0</v>
      </c>
      <c r="S279" s="47">
        <f t="shared" si="159"/>
        <v>0</v>
      </c>
      <c r="T279" s="47">
        <f t="shared" si="159"/>
        <v>0</v>
      </c>
      <c r="U279" s="47">
        <f t="shared" si="159"/>
        <v>0</v>
      </c>
      <c r="V279" s="47">
        <f t="shared" si="159"/>
        <v>0</v>
      </c>
      <c r="W279" s="47">
        <f t="shared" si="159"/>
        <v>0</v>
      </c>
      <c r="X279" s="47">
        <v>0</v>
      </c>
      <c r="Y279" s="47">
        <f t="shared" si="159"/>
        <v>0</v>
      </c>
      <c r="Z279" s="96"/>
      <c r="AA279" s="47">
        <f t="shared" si="159"/>
        <v>0</v>
      </c>
      <c r="AB279" s="47">
        <f t="shared" si="159"/>
        <v>0</v>
      </c>
      <c r="AC279" s="47">
        <f t="shared" si="159"/>
        <v>0</v>
      </c>
      <c r="AD279" s="47">
        <f t="shared" si="159"/>
        <v>0</v>
      </c>
      <c r="AE279" s="47">
        <f t="shared" si="159"/>
        <v>0</v>
      </c>
      <c r="AF279" s="47">
        <f>AF283</f>
        <v>0</v>
      </c>
      <c r="AG279" s="47">
        <f>AG283</f>
        <v>0</v>
      </c>
      <c r="AH279" s="47">
        <f>AH283</f>
        <v>0</v>
      </c>
      <c r="AI279" s="47">
        <f>AI283</f>
        <v>0</v>
      </c>
      <c r="AJ279" s="47">
        <f>AJ283</f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19"/>
      <c r="AQ279" s="96"/>
    </row>
    <row r="280" spans="1:44" s="266" customFormat="1" ht="17.25" hidden="1" customHeight="1" x14ac:dyDescent="0.25">
      <c r="A280" s="1359"/>
      <c r="B280" s="102" t="s">
        <v>93</v>
      </c>
      <c r="C280" s="576"/>
      <c r="D280" s="576"/>
      <c r="E280" s="576"/>
      <c r="F280" s="576"/>
      <c r="G280" s="104"/>
      <c r="H280" s="104"/>
      <c r="I280" s="1327"/>
      <c r="J280" s="106"/>
      <c r="K280" s="106"/>
      <c r="L280" s="96"/>
      <c r="M280" s="96"/>
      <c r="N280" s="96"/>
      <c r="O280" s="96"/>
      <c r="P280" s="96">
        <f>R280</f>
        <v>0</v>
      </c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21"/>
      <c r="AQ280" s="96"/>
    </row>
    <row r="281" spans="1:44" s="266" customFormat="1" ht="17.25" hidden="1" customHeight="1" x14ac:dyDescent="0.25">
      <c r="A281" s="1359"/>
      <c r="B281" s="252" t="s">
        <v>225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44" s="266" customFormat="1" ht="17.25" hidden="1" customHeight="1" x14ac:dyDescent="0.25">
      <c r="A282" s="1359"/>
      <c r="B282" s="252" t="s">
        <v>226</v>
      </c>
      <c r="C282" s="363"/>
      <c r="D282" s="363"/>
      <c r="E282" s="363"/>
      <c r="F282" s="363"/>
      <c r="G282" s="363"/>
      <c r="H282" s="364"/>
      <c r="I282" s="1327"/>
      <c r="J282" s="258"/>
      <c r="K282" s="96"/>
      <c r="L282" s="96"/>
      <c r="M282" s="96"/>
      <c r="N282" s="96"/>
      <c r="O282" s="96"/>
      <c r="P282" s="47"/>
      <c r="Q282" s="96">
        <f>S282</f>
        <v>0</v>
      </c>
      <c r="R282" s="96">
        <f>S282</f>
        <v>0</v>
      </c>
      <c r="S282" s="96">
        <v>0</v>
      </c>
      <c r="T282" s="96"/>
      <c r="U282" s="96"/>
      <c r="V282" s="96"/>
      <c r="W282" s="96"/>
      <c r="X282" s="96">
        <v>0</v>
      </c>
      <c r="Y282" s="96">
        <v>0</v>
      </c>
      <c r="Z282" s="96"/>
      <c r="AA282" s="96">
        <f>AB282</f>
        <v>0</v>
      </c>
      <c r="AB282" s="96">
        <v>0</v>
      </c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405"/>
      <c r="AQ282" s="96"/>
    </row>
    <row r="283" spans="1:44" s="266" customFormat="1" ht="17.25" hidden="1" customHeight="1" x14ac:dyDescent="0.25">
      <c r="A283" s="1359"/>
      <c r="B283" s="252" t="s">
        <v>227</v>
      </c>
      <c r="C283" s="363"/>
      <c r="D283" s="363"/>
      <c r="E283" s="363"/>
      <c r="F283" s="363"/>
      <c r="G283" s="363"/>
      <c r="H283" s="364"/>
      <c r="I283" s="1327"/>
      <c r="J283" s="258"/>
      <c r="K283" s="96"/>
      <c r="L283" s="96"/>
      <c r="M283" s="96"/>
      <c r="N283" s="96"/>
      <c r="O283" s="96"/>
      <c r="P283" s="47"/>
      <c r="Q283" s="96">
        <f>Y283</f>
        <v>0</v>
      </c>
      <c r="R283" s="96"/>
      <c r="S283" s="96"/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05"/>
      <c r="AQ283" s="96"/>
    </row>
    <row r="284" spans="1:44" ht="15.75" hidden="1" customHeight="1" x14ac:dyDescent="0.25">
      <c r="A284" s="1361"/>
      <c r="B284" s="1" t="s">
        <v>32</v>
      </c>
      <c r="C284" s="1079"/>
      <c r="D284" s="1079"/>
      <c r="E284" s="1079"/>
      <c r="F284" s="1079"/>
      <c r="G284" s="1072">
        <v>2022</v>
      </c>
      <c r="H284" s="1072">
        <v>2025</v>
      </c>
      <c r="I284" s="1328"/>
      <c r="J284" s="6">
        <f>L284</f>
        <v>4919.54</v>
      </c>
      <c r="K284" s="6"/>
      <c r="L284" s="47">
        <v>4919.54</v>
      </c>
      <c r="M284" s="47">
        <v>0</v>
      </c>
      <c r="N284" s="47">
        <v>1639.85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96"/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19"/>
      <c r="AQ284" s="96"/>
    </row>
    <row r="285" spans="1:44" s="327" customFormat="1" ht="22.5" customHeight="1" x14ac:dyDescent="0.25">
      <c r="A285" s="1358" t="s">
        <v>194</v>
      </c>
      <c r="B285" s="780" t="s">
        <v>196</v>
      </c>
      <c r="C285" s="1076"/>
      <c r="D285" s="1076"/>
      <c r="E285" s="1076"/>
      <c r="F285" s="1076">
        <v>82</v>
      </c>
      <c r="G285" s="807"/>
      <c r="H285" s="807"/>
      <c r="I285" s="1326" t="s">
        <v>20</v>
      </c>
      <c r="J285" s="52">
        <f>L285</f>
        <v>12299.37</v>
      </c>
      <c r="K285" s="52"/>
      <c r="L285" s="3">
        <f>L287</f>
        <v>12299.37</v>
      </c>
      <c r="M285" s="3">
        <f t="shared" ref="M285:AO285" si="160">M287</f>
        <v>0</v>
      </c>
      <c r="N285" s="3">
        <f t="shared" si="160"/>
        <v>0</v>
      </c>
      <c r="O285" s="3">
        <f t="shared" si="160"/>
        <v>5371.98</v>
      </c>
      <c r="P285" s="3">
        <f t="shared" si="160"/>
        <v>0</v>
      </c>
      <c r="Q285" s="3">
        <f>Q286+Q287</f>
        <v>1818.26</v>
      </c>
      <c r="R285" s="3">
        <f t="shared" ref="R285:AA285" si="161">R286+R287</f>
        <v>0</v>
      </c>
      <c r="S285" s="3">
        <f t="shared" si="161"/>
        <v>0</v>
      </c>
      <c r="T285" s="3">
        <f t="shared" si="161"/>
        <v>0</v>
      </c>
      <c r="U285" s="3">
        <f t="shared" si="161"/>
        <v>0</v>
      </c>
      <c r="V285" s="3">
        <f t="shared" si="161"/>
        <v>0</v>
      </c>
      <c r="W285" s="3">
        <f t="shared" si="161"/>
        <v>0</v>
      </c>
      <c r="X285" s="3">
        <f t="shared" si="161"/>
        <v>0</v>
      </c>
      <c r="Y285" s="3">
        <f t="shared" si="161"/>
        <v>0</v>
      </c>
      <c r="Z285" s="3">
        <f t="shared" si="161"/>
        <v>0</v>
      </c>
      <c r="AA285" s="3">
        <f t="shared" si="161"/>
        <v>1870</v>
      </c>
      <c r="AB285" s="3">
        <f t="shared" si="160"/>
        <v>0</v>
      </c>
      <c r="AC285" s="3">
        <f t="shared" si="160"/>
        <v>0</v>
      </c>
      <c r="AD285" s="3">
        <f t="shared" si="160"/>
        <v>0</v>
      </c>
      <c r="AE285" s="3">
        <f t="shared" si="160"/>
        <v>0</v>
      </c>
      <c r="AF285" s="3">
        <f t="shared" si="160"/>
        <v>0</v>
      </c>
      <c r="AG285" s="3">
        <f t="shared" si="160"/>
        <v>0</v>
      </c>
      <c r="AH285" s="3">
        <f t="shared" si="160"/>
        <v>0</v>
      </c>
      <c r="AI285" s="3">
        <f t="shared" si="160"/>
        <v>0</v>
      </c>
      <c r="AJ285" s="3">
        <f t="shared" si="160"/>
        <v>0</v>
      </c>
      <c r="AK285" s="3">
        <f t="shared" si="160"/>
        <v>0</v>
      </c>
      <c r="AL285" s="3">
        <f t="shared" si="160"/>
        <v>0</v>
      </c>
      <c r="AM285" s="3">
        <f t="shared" si="160"/>
        <v>0</v>
      </c>
      <c r="AN285" s="3">
        <f t="shared" si="160"/>
        <v>0</v>
      </c>
      <c r="AO285" s="3">
        <f t="shared" si="160"/>
        <v>0</v>
      </c>
      <c r="AP285" s="834"/>
      <c r="AQ285" s="95">
        <v>0</v>
      </c>
    </row>
    <row r="286" spans="1:44" ht="15.75" customHeight="1" x14ac:dyDescent="0.25">
      <c r="A286" s="1359"/>
      <c r="B286" s="1" t="s">
        <v>39</v>
      </c>
      <c r="C286" s="1080"/>
      <c r="D286" s="1080"/>
      <c r="E286" s="1080"/>
      <c r="F286" s="1080"/>
      <c r="G286" s="1072"/>
      <c r="H286" s="1072"/>
      <c r="I286" s="1327"/>
      <c r="J286" s="6"/>
      <c r="K286" s="6"/>
      <c r="L286" s="47"/>
      <c r="M286" s="47"/>
      <c r="N286" s="47"/>
      <c r="O286" s="47"/>
      <c r="P286" s="47">
        <f>R286</f>
        <v>0</v>
      </c>
      <c r="Q286" s="47">
        <f>1205.01+613.25</f>
        <v>1818.26</v>
      </c>
      <c r="R286" s="47">
        <f>S286</f>
        <v>0</v>
      </c>
      <c r="S286" s="47">
        <v>0</v>
      </c>
      <c r="T286" s="47"/>
      <c r="U286" s="47"/>
      <c r="V286" s="47"/>
      <c r="W286" s="47"/>
      <c r="X286" s="47"/>
      <c r="Y286" s="47"/>
      <c r="Z286" s="47"/>
      <c r="AA286" s="47">
        <v>1870</v>
      </c>
      <c r="AB286" s="47">
        <v>0</v>
      </c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19"/>
      <c r="AQ286" s="47"/>
    </row>
    <row r="287" spans="1:44" ht="19.5" customHeight="1" x14ac:dyDescent="0.25">
      <c r="A287" s="1361"/>
      <c r="B287" s="1" t="s">
        <v>213</v>
      </c>
      <c r="C287" s="1079"/>
      <c r="D287" s="1079"/>
      <c r="E287" s="1079"/>
      <c r="F287" s="1079"/>
      <c r="G287" s="1072">
        <v>2024</v>
      </c>
      <c r="H287" s="1072">
        <v>2029</v>
      </c>
      <c r="I287" s="1328"/>
      <c r="J287" s="6">
        <f>L287</f>
        <v>12299.37</v>
      </c>
      <c r="K287" s="6"/>
      <c r="L287" s="47">
        <v>12299.37</v>
      </c>
      <c r="M287" s="47">
        <v>0</v>
      </c>
      <c r="N287" s="47">
        <v>0</v>
      </c>
      <c r="O287" s="47">
        <v>5371.98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4" s="327" customFormat="1" ht="24" customHeight="1" x14ac:dyDescent="0.25">
      <c r="A288" s="1358" t="s">
        <v>195</v>
      </c>
      <c r="B288" s="780" t="s">
        <v>197</v>
      </c>
      <c r="C288" s="1076"/>
      <c r="D288" s="1076"/>
      <c r="E288" s="1076"/>
      <c r="F288" s="1076">
        <v>83</v>
      </c>
      <c r="G288" s="807"/>
      <c r="H288" s="807"/>
      <c r="I288" s="1069"/>
      <c r="J288" s="52">
        <f>L288</f>
        <v>264150.86</v>
      </c>
      <c r="K288" s="52"/>
      <c r="L288" s="3">
        <f t="shared" ref="L288:Z288" si="162">L289+L293</f>
        <v>264150.86</v>
      </c>
      <c r="M288" s="3">
        <f t="shared" si="162"/>
        <v>263850.07</v>
      </c>
      <c r="N288" s="3">
        <f t="shared" si="162"/>
        <v>263850.07</v>
      </c>
      <c r="O288" s="3">
        <f t="shared" si="162"/>
        <v>263850.07</v>
      </c>
      <c r="P288" s="3">
        <f t="shared" si="162"/>
        <v>3.4</v>
      </c>
      <c r="Q288" s="3">
        <f t="shared" si="162"/>
        <v>78149.130229999995</v>
      </c>
      <c r="R288" s="3">
        <f t="shared" si="162"/>
        <v>21705.95</v>
      </c>
      <c r="S288" s="3">
        <f t="shared" si="162"/>
        <v>21705.95</v>
      </c>
      <c r="T288" s="3">
        <f t="shared" si="162"/>
        <v>21705.95</v>
      </c>
      <c r="U288" s="3">
        <f t="shared" si="162"/>
        <v>21709.350000000002</v>
      </c>
      <c r="V288" s="3">
        <f t="shared" si="162"/>
        <v>21705.95</v>
      </c>
      <c r="W288" s="3">
        <f t="shared" si="162"/>
        <v>21705.95</v>
      </c>
      <c r="X288" s="3">
        <f t="shared" si="162"/>
        <v>21705.95</v>
      </c>
      <c r="Y288" s="3">
        <f t="shared" si="162"/>
        <v>21705.95</v>
      </c>
      <c r="Z288" s="3">
        <f t="shared" si="162"/>
        <v>21705.95</v>
      </c>
      <c r="AA288" s="3">
        <f>AA289+AA293</f>
        <v>85525.082699999999</v>
      </c>
      <c r="AB288" s="3">
        <f>AB289+AB293</f>
        <v>17522.268</v>
      </c>
      <c r="AC288" s="3">
        <f>AC289+AC293</f>
        <v>17119.198000000004</v>
      </c>
      <c r="AD288" s="3">
        <f t="shared" ref="AD288:AO288" si="163">AD289</f>
        <v>63735.476889999998</v>
      </c>
      <c r="AE288" s="3">
        <f t="shared" si="163"/>
        <v>0</v>
      </c>
      <c r="AF288" s="3">
        <f t="shared" si="163"/>
        <v>0</v>
      </c>
      <c r="AG288" s="3">
        <f t="shared" si="163"/>
        <v>0</v>
      </c>
      <c r="AH288" s="3">
        <f t="shared" si="163"/>
        <v>0</v>
      </c>
      <c r="AI288" s="3">
        <f t="shared" si="163"/>
        <v>0</v>
      </c>
      <c r="AJ288" s="3">
        <f t="shared" si="163"/>
        <v>0</v>
      </c>
      <c r="AK288" s="3">
        <f t="shared" si="163"/>
        <v>0</v>
      </c>
      <c r="AL288" s="3">
        <f t="shared" si="163"/>
        <v>0</v>
      </c>
      <c r="AM288" s="3">
        <v>7.79</v>
      </c>
      <c r="AN288" s="3">
        <f t="shared" si="163"/>
        <v>0</v>
      </c>
      <c r="AO288" s="3">
        <f t="shared" si="163"/>
        <v>0</v>
      </c>
      <c r="AP288" s="834"/>
      <c r="AQ288" s="95">
        <f>116.245</f>
        <v>116.245</v>
      </c>
      <c r="AR288" s="835"/>
    </row>
    <row r="289" spans="1:79" ht="14.25" customHeight="1" x14ac:dyDescent="0.25">
      <c r="A289" s="1359"/>
      <c r="B289" s="1" t="s">
        <v>213</v>
      </c>
      <c r="C289" s="1079"/>
      <c r="D289" s="1079"/>
      <c r="E289" s="1079"/>
      <c r="F289" s="1079"/>
      <c r="G289" s="1072">
        <v>2026</v>
      </c>
      <c r="H289" s="1072">
        <v>2033</v>
      </c>
      <c r="I289" s="1072" t="s">
        <v>20</v>
      </c>
      <c r="J289" s="6">
        <f>L289</f>
        <v>300.79000000000002</v>
      </c>
      <c r="K289" s="6"/>
      <c r="L289" s="47">
        <v>300.79000000000002</v>
      </c>
      <c r="M289" s="47">
        <v>0</v>
      </c>
      <c r="N289" s="47">
        <v>0</v>
      </c>
      <c r="O289" s="47">
        <v>0</v>
      </c>
      <c r="P289" s="47">
        <v>3.4</v>
      </c>
      <c r="Q289" s="47">
        <f>Q290</f>
        <v>10.39</v>
      </c>
      <c r="R289" s="47">
        <f t="shared" ref="R289:Z289" si="164">SUM(R290:R292)</f>
        <v>0</v>
      </c>
      <c r="S289" s="47">
        <f t="shared" si="164"/>
        <v>0</v>
      </c>
      <c r="T289" s="47">
        <f t="shared" si="164"/>
        <v>0</v>
      </c>
      <c r="U289" s="47">
        <f t="shared" si="164"/>
        <v>3.4</v>
      </c>
      <c r="V289" s="47">
        <f t="shared" si="164"/>
        <v>0</v>
      </c>
      <c r="W289" s="47">
        <f t="shared" si="164"/>
        <v>0</v>
      </c>
      <c r="X289" s="47">
        <f t="shared" si="164"/>
        <v>0</v>
      </c>
      <c r="Y289" s="47">
        <f t="shared" si="164"/>
        <v>0</v>
      </c>
      <c r="Z289" s="47">
        <f t="shared" si="164"/>
        <v>0</v>
      </c>
      <c r="AA289" s="47">
        <v>0</v>
      </c>
      <c r="AB289" s="47">
        <v>0</v>
      </c>
      <c r="AC289" s="47">
        <v>0</v>
      </c>
      <c r="AD289" s="47">
        <f>SUM(AD290:AD293)</f>
        <v>63735.476889999998</v>
      </c>
      <c r="AE289" s="47">
        <f>SUM(AE290:AE293)</f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19"/>
      <c r="AQ289" s="96"/>
      <c r="AR289" s="600"/>
      <c r="AS289" s="600"/>
      <c r="AT289" s="600"/>
      <c r="AU289" s="600"/>
      <c r="AV289" s="600"/>
      <c r="AW289" s="600"/>
      <c r="AX289" s="600"/>
      <c r="AY289" s="600"/>
      <c r="AZ289" s="600"/>
      <c r="BA289" s="600"/>
      <c r="BB289" s="600"/>
      <c r="BC289" s="600"/>
      <c r="BD289" s="600"/>
      <c r="BE289" s="600"/>
      <c r="BF289" s="600"/>
      <c r="BG289" s="600"/>
      <c r="BH289" s="600"/>
      <c r="BI289" s="600"/>
      <c r="BJ289" s="600"/>
      <c r="BK289" s="600"/>
      <c r="BL289" s="600"/>
      <c r="BM289" s="600"/>
      <c r="BN289" s="600"/>
      <c r="BO289" s="600"/>
      <c r="BP289" s="600"/>
      <c r="BQ289" s="600"/>
      <c r="BR289" s="600"/>
      <c r="BS289" s="600"/>
      <c r="BT289" s="600"/>
      <c r="BU289" s="600"/>
      <c r="BV289" s="600"/>
      <c r="BW289" s="600"/>
      <c r="BX289" s="600"/>
      <c r="BY289" s="600"/>
      <c r="BZ289" s="600"/>
      <c r="CA289" s="600"/>
    </row>
    <row r="290" spans="1:79" s="266" customFormat="1" ht="15" customHeight="1" x14ac:dyDescent="0.25">
      <c r="A290" s="1664"/>
      <c r="B290" s="92" t="s">
        <v>454</v>
      </c>
      <c r="C290" s="653"/>
      <c r="D290" s="653"/>
      <c r="E290" s="653"/>
      <c r="F290" s="653"/>
      <c r="G290" s="262"/>
      <c r="H290" s="262"/>
      <c r="I290" s="368"/>
      <c r="J290" s="442"/>
      <c r="K290" s="442"/>
      <c r="L290" s="268"/>
      <c r="M290" s="268"/>
      <c r="N290" s="268"/>
      <c r="O290" s="268"/>
      <c r="P290" s="268">
        <f>R290</f>
        <v>0</v>
      </c>
      <c r="Q290" s="268">
        <v>10.39</v>
      </c>
      <c r="R290" s="268">
        <f>S290</f>
        <v>0</v>
      </c>
      <c r="S290" s="268">
        <v>0</v>
      </c>
      <c r="T290" s="268"/>
      <c r="U290" s="268"/>
      <c r="V290" s="268"/>
      <c r="W290" s="268"/>
      <c r="X290" s="268"/>
      <c r="Y290" s="268"/>
      <c r="Z290" s="268"/>
      <c r="AA290" s="96"/>
      <c r="AB290" s="268">
        <v>0</v>
      </c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418"/>
      <c r="AQ290" s="268"/>
      <c r="AR290" s="602"/>
      <c r="AS290" s="602"/>
      <c r="AT290" s="602"/>
      <c r="AU290" s="602"/>
      <c r="AV290" s="602"/>
      <c r="AW290" s="602"/>
      <c r="AX290" s="602"/>
      <c r="AY290" s="602"/>
      <c r="AZ290" s="602"/>
      <c r="BA290" s="602"/>
      <c r="BB290" s="602"/>
      <c r="BC290" s="602"/>
      <c r="BD290" s="602"/>
      <c r="BE290" s="602"/>
      <c r="BF290" s="602"/>
      <c r="BG290" s="602"/>
      <c r="BH290" s="602"/>
      <c r="BI290" s="602"/>
      <c r="BJ290" s="602"/>
      <c r="BK290" s="602"/>
      <c r="BL290" s="602"/>
      <c r="BM290" s="602"/>
      <c r="BN290" s="602"/>
      <c r="BO290" s="602"/>
      <c r="BP290" s="602"/>
      <c r="BQ290" s="602"/>
      <c r="BR290" s="602"/>
      <c r="BS290" s="602"/>
      <c r="BT290" s="602"/>
      <c r="BU290" s="602"/>
      <c r="BV290" s="602"/>
      <c r="BW290" s="602"/>
      <c r="BX290" s="602"/>
      <c r="BY290" s="602"/>
      <c r="BZ290" s="602"/>
      <c r="CA290" s="602"/>
    </row>
    <row r="291" spans="1:79" s="544" customFormat="1" x14ac:dyDescent="0.25">
      <c r="A291" s="1664"/>
      <c r="B291" s="102" t="s">
        <v>312</v>
      </c>
      <c r="C291" s="576"/>
      <c r="D291" s="576"/>
      <c r="E291" s="576"/>
      <c r="F291" s="576"/>
      <c r="G291" s="104"/>
      <c r="H291" s="104"/>
      <c r="I291" s="443"/>
      <c r="J291" s="106"/>
      <c r="K291" s="106"/>
      <c r="L291" s="96"/>
      <c r="M291" s="96"/>
      <c r="N291" s="96"/>
      <c r="O291" s="96"/>
      <c r="P291" s="96"/>
      <c r="Q291" s="96"/>
      <c r="R291" s="96"/>
      <c r="S291" s="96">
        <v>0</v>
      </c>
      <c r="T291" s="96"/>
      <c r="U291" s="96">
        <v>3.4</v>
      </c>
      <c r="V291" s="96"/>
      <c r="W291" s="96"/>
      <c r="X291" s="96"/>
      <c r="Y291" s="96"/>
      <c r="Z291" s="96"/>
      <c r="AA291" s="96"/>
      <c r="AB291" s="96">
        <v>0</v>
      </c>
      <c r="AC291" s="96">
        <v>3.4</v>
      </c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421"/>
      <c r="AQ291" s="96"/>
      <c r="AR291" s="602"/>
      <c r="AS291" s="602"/>
      <c r="AT291" s="602"/>
      <c r="AU291" s="602"/>
      <c r="AV291" s="602"/>
      <c r="AW291" s="602"/>
      <c r="AX291" s="602"/>
      <c r="AY291" s="602"/>
      <c r="AZ291" s="602"/>
      <c r="BA291" s="602"/>
      <c r="BB291" s="602"/>
      <c r="BC291" s="602"/>
      <c r="BD291" s="602"/>
      <c r="BE291" s="602"/>
      <c r="BF291" s="602"/>
      <c r="BG291" s="602"/>
      <c r="BH291" s="602"/>
      <c r="BI291" s="602"/>
      <c r="BJ291" s="602"/>
      <c r="BK291" s="602"/>
      <c r="BL291" s="602"/>
      <c r="BM291" s="602"/>
      <c r="BN291" s="602"/>
      <c r="BO291" s="602"/>
      <c r="BP291" s="602"/>
      <c r="BQ291" s="602"/>
      <c r="BR291" s="602"/>
      <c r="BS291" s="602"/>
      <c r="BT291" s="602"/>
      <c r="BU291" s="602"/>
      <c r="BV291" s="602"/>
      <c r="BW291" s="602"/>
      <c r="BX291" s="602"/>
      <c r="BY291" s="602"/>
      <c r="BZ291" s="602"/>
      <c r="CA291" s="622"/>
    </row>
    <row r="292" spans="1:79" s="48" customFormat="1" ht="25.5" customHeight="1" x14ac:dyDescent="0.25">
      <c r="A292" s="1664"/>
      <c r="B292" s="102" t="s">
        <v>265</v>
      </c>
      <c r="C292" s="576"/>
      <c r="D292" s="576"/>
      <c r="E292" s="576"/>
      <c r="F292" s="576"/>
      <c r="G292" s="104"/>
      <c r="H292" s="104"/>
      <c r="I292" s="619"/>
      <c r="J292" s="106"/>
      <c r="K292" s="106"/>
      <c r="L292" s="96"/>
      <c r="M292" s="96"/>
      <c r="N292" s="96"/>
      <c r="O292" s="96"/>
      <c r="P292" s="96">
        <f>R292+T292</f>
        <v>0</v>
      </c>
      <c r="Q292" s="96">
        <f>S292+U292+W292+Y292</f>
        <v>0</v>
      </c>
      <c r="R292" s="96"/>
      <c r="S292" s="96"/>
      <c r="T292" s="96">
        <v>0</v>
      </c>
      <c r="U292" s="96">
        <v>0</v>
      </c>
      <c r="V292" s="96">
        <f>W292</f>
        <v>0</v>
      </c>
      <c r="W292" s="96">
        <v>0</v>
      </c>
      <c r="X292" s="96"/>
      <c r="Y292" s="96">
        <v>0</v>
      </c>
      <c r="Z292" s="96"/>
      <c r="AA292" s="96">
        <f>SUM(AB292:AE292)</f>
        <v>0</v>
      </c>
      <c r="AB292" s="96"/>
      <c r="AC292" s="96">
        <v>0</v>
      </c>
      <c r="AD292" s="96">
        <v>0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21"/>
    </row>
    <row r="293" spans="1:79" s="48" customFormat="1" ht="15.75" customHeight="1" x14ac:dyDescent="0.25">
      <c r="A293" s="1664"/>
      <c r="B293" s="1" t="s">
        <v>415</v>
      </c>
      <c r="C293" s="1080"/>
      <c r="D293" s="1080"/>
      <c r="E293" s="1080"/>
      <c r="F293" s="1080"/>
      <c r="G293" s="1072"/>
      <c r="H293" s="1072"/>
      <c r="I293" s="23" t="s">
        <v>10</v>
      </c>
      <c r="J293" s="6"/>
      <c r="K293" s="6"/>
      <c r="L293" s="47">
        <v>263850.07</v>
      </c>
      <c r="M293" s="47">
        <v>263850.07</v>
      </c>
      <c r="N293" s="47">
        <v>263850.07</v>
      </c>
      <c r="O293" s="47">
        <v>263850.07</v>
      </c>
      <c r="P293" s="47">
        <v>0</v>
      </c>
      <c r="Q293" s="47">
        <f>SUM(Q294:Q297)</f>
        <v>78138.740229999996</v>
      </c>
      <c r="R293" s="47">
        <v>21705.95</v>
      </c>
      <c r="S293" s="47">
        <v>21705.95</v>
      </c>
      <c r="T293" s="47">
        <v>21705.95</v>
      </c>
      <c r="U293" s="47">
        <v>21705.95</v>
      </c>
      <c r="V293" s="47">
        <v>21705.95</v>
      </c>
      <c r="W293" s="47">
        <v>21705.95</v>
      </c>
      <c r="X293" s="47">
        <v>21705.95</v>
      </c>
      <c r="Y293" s="47">
        <v>21705.95</v>
      </c>
      <c r="Z293" s="47">
        <v>21705.95</v>
      </c>
      <c r="AA293" s="47">
        <f>SUM(AA294:AA297)</f>
        <v>85525.082699999999</v>
      </c>
      <c r="AB293" s="47">
        <f t="shared" ref="AB293:AJ293" si="165">SUM(AB294:AB297)</f>
        <v>17522.268</v>
      </c>
      <c r="AC293" s="47">
        <f t="shared" si="165"/>
        <v>17119.198000000004</v>
      </c>
      <c r="AD293" s="47">
        <f t="shared" si="165"/>
        <v>63735.476889999998</v>
      </c>
      <c r="AE293" s="47">
        <f t="shared" si="165"/>
        <v>0</v>
      </c>
      <c r="AF293" s="47">
        <f t="shared" si="165"/>
        <v>0</v>
      </c>
      <c r="AG293" s="47">
        <f t="shared" si="165"/>
        <v>0</v>
      </c>
      <c r="AH293" s="47">
        <f t="shared" si="165"/>
        <v>0</v>
      </c>
      <c r="AI293" s="47">
        <f t="shared" si="165"/>
        <v>0</v>
      </c>
      <c r="AJ293" s="47">
        <f t="shared" si="165"/>
        <v>0</v>
      </c>
      <c r="AK293" s="47">
        <f>AK294</f>
        <v>0</v>
      </c>
      <c r="AL293" s="47">
        <v>0</v>
      </c>
      <c r="AM293" s="47">
        <v>0</v>
      </c>
      <c r="AN293" s="47">
        <v>0</v>
      </c>
      <c r="AO293" s="47">
        <v>0</v>
      </c>
      <c r="AP293" s="419"/>
      <c r="AQ293" s="96"/>
      <c r="AR293" s="600"/>
      <c r="AS293" s="600"/>
      <c r="AT293" s="600"/>
      <c r="AU293" s="600"/>
      <c r="AV293" s="600"/>
      <c r="AW293" s="600"/>
      <c r="AX293" s="600"/>
      <c r="AY293" s="600"/>
      <c r="AZ293" s="600"/>
      <c r="BA293" s="600"/>
      <c r="BB293" s="600"/>
      <c r="BC293" s="600"/>
      <c r="BD293" s="600"/>
      <c r="BE293" s="600"/>
      <c r="BF293" s="600"/>
      <c r="BG293" s="600"/>
      <c r="BH293" s="600"/>
      <c r="BI293" s="600"/>
      <c r="BJ293" s="600"/>
      <c r="BK293" s="600"/>
      <c r="BL293" s="600"/>
      <c r="BM293" s="600"/>
      <c r="BN293" s="600"/>
      <c r="BO293" s="600"/>
      <c r="BP293" s="600"/>
      <c r="BQ293" s="600"/>
      <c r="BR293" s="600"/>
      <c r="BS293" s="600"/>
      <c r="BT293" s="600"/>
      <c r="BU293" s="600"/>
      <c r="BV293" s="600"/>
      <c r="BW293" s="600"/>
      <c r="BX293" s="600"/>
      <c r="BY293" s="600"/>
      <c r="BZ293" s="600"/>
      <c r="CA293" s="621"/>
    </row>
    <row r="294" spans="1:79" s="544" customFormat="1" x14ac:dyDescent="0.25">
      <c r="A294" s="1664"/>
      <c r="B294" s="102" t="s">
        <v>304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f>21662.59874+8211.12924+16706.17315+24031.27674</f>
        <v>70611.17787</v>
      </c>
      <c r="R294" s="96"/>
      <c r="S294" s="96">
        <v>17505.331999999999</v>
      </c>
      <c r="T294" s="96"/>
      <c r="U294" s="96">
        <v>17063.596000000001</v>
      </c>
      <c r="V294" s="96"/>
      <c r="W294" s="96">
        <v>63608.259890000001</v>
      </c>
      <c r="X294" s="96"/>
      <c r="Y294" s="96"/>
      <c r="Z294" s="96"/>
      <c r="AA294" s="96">
        <f>21662.59874+8211.12924+16706.17315+24031.27674</f>
        <v>70611.17787</v>
      </c>
      <c r="AB294" s="96">
        <v>17505.331999999999</v>
      </c>
      <c r="AC294" s="96">
        <v>17063.596000000001</v>
      </c>
      <c r="AD294" s="96">
        <v>63608.259890000001</v>
      </c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x14ac:dyDescent="0.25">
      <c r="A295" s="1664"/>
      <c r="B295" s="102" t="s">
        <v>305</v>
      </c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f>43.3252+16.42226+33.41235+48.06255</f>
        <v>141.22236000000001</v>
      </c>
      <c r="R295" s="96"/>
      <c r="S295" s="96">
        <v>16.936</v>
      </c>
      <c r="T295" s="96"/>
      <c r="U295" s="96">
        <v>35.421999999999997</v>
      </c>
      <c r="V295" s="96"/>
      <c r="W295" s="96">
        <f>127.21652+16.78083</f>
        <v>143.99735000000001</v>
      </c>
      <c r="X295" s="96"/>
      <c r="Y295" s="96"/>
      <c r="Z295" s="96"/>
      <c r="AA295" s="96">
        <f>43.3252+16.42226+33.41235+48.06255</f>
        <v>141.22236000000001</v>
      </c>
      <c r="AB295" s="96">
        <v>16.936</v>
      </c>
      <c r="AC295" s="96">
        <v>52.201999999999998</v>
      </c>
      <c r="AD295" s="96">
        <v>127.217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544" customFormat="1" x14ac:dyDescent="0.25">
      <c r="A296" s="1664"/>
      <c r="B296" s="102" t="s">
        <v>317</v>
      </c>
      <c r="C296" s="576"/>
      <c r="D296" s="576"/>
      <c r="E296" s="576"/>
      <c r="F296" s="576"/>
      <c r="G296" s="104"/>
      <c r="H296" s="104"/>
      <c r="I296" s="443"/>
      <c r="J296" s="106"/>
      <c r="K296" s="106"/>
      <c r="L296" s="96"/>
      <c r="M296" s="96"/>
      <c r="N296" s="96"/>
      <c r="O296" s="96"/>
      <c r="P296" s="96"/>
      <c r="Q296" s="96">
        <v>7386.34</v>
      </c>
      <c r="R296" s="96"/>
      <c r="S296" s="96"/>
      <c r="T296" s="96"/>
      <c r="U296" s="96">
        <v>9848.4549999999999</v>
      </c>
      <c r="V296" s="96"/>
      <c r="W296" s="96"/>
      <c r="X296" s="96"/>
      <c r="Y296" s="96"/>
      <c r="Z296" s="96"/>
      <c r="AA296" s="96">
        <v>14772.68247</v>
      </c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421"/>
      <c r="AQ296" s="96"/>
      <c r="AR296" s="602"/>
      <c r="AS296" s="602"/>
      <c r="AT296" s="602"/>
      <c r="AU296" s="602"/>
      <c r="AV296" s="602"/>
      <c r="AW296" s="602"/>
      <c r="AX296" s="602"/>
      <c r="AY296" s="602"/>
      <c r="AZ296" s="602"/>
      <c r="BA296" s="602"/>
      <c r="BB296" s="602"/>
      <c r="BC296" s="602"/>
      <c r="BD296" s="602"/>
      <c r="BE296" s="602"/>
      <c r="BF296" s="602"/>
      <c r="BG296" s="602"/>
      <c r="BH296" s="602"/>
      <c r="BI296" s="602"/>
      <c r="BJ296" s="602"/>
      <c r="BK296" s="602"/>
      <c r="BL296" s="602"/>
      <c r="BM296" s="602"/>
      <c r="BN296" s="602"/>
      <c r="BO296" s="602"/>
      <c r="BP296" s="602"/>
      <c r="BQ296" s="602"/>
      <c r="BR296" s="602"/>
      <c r="BS296" s="602"/>
      <c r="BT296" s="602"/>
      <c r="BU296" s="602"/>
      <c r="BV296" s="602"/>
      <c r="BW296" s="602"/>
      <c r="BX296" s="602"/>
      <c r="BY296" s="602"/>
      <c r="BZ296" s="602"/>
      <c r="CA296" s="622"/>
    </row>
    <row r="297" spans="1:79" s="544" customFormat="1" x14ac:dyDescent="0.25">
      <c r="A297" s="1665"/>
      <c r="B297" s="102"/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v>0</v>
      </c>
      <c r="R297" s="96"/>
      <c r="S297" s="96">
        <v>0</v>
      </c>
      <c r="T297" s="96"/>
      <c r="U297" s="96">
        <v>3.4</v>
      </c>
      <c r="V297" s="96"/>
      <c r="W297" s="96"/>
      <c r="X297" s="96"/>
      <c r="Y297" s="96"/>
      <c r="Z297" s="96"/>
      <c r="AA297" s="96">
        <v>0</v>
      </c>
      <c r="AB297" s="96">
        <v>0</v>
      </c>
      <c r="AC297" s="96">
        <v>3.4</v>
      </c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327" customFormat="1" ht="33" customHeight="1" x14ac:dyDescent="0.25">
      <c r="A298" s="1358" t="s">
        <v>194</v>
      </c>
      <c r="B298" s="780" t="s">
        <v>393</v>
      </c>
      <c r="C298" s="1076"/>
      <c r="D298" s="1076"/>
      <c r="E298" s="1076"/>
      <c r="F298" s="1076">
        <v>82</v>
      </c>
      <c r="G298" s="807"/>
      <c r="H298" s="807"/>
      <c r="I298" s="1326" t="s">
        <v>20</v>
      </c>
      <c r="J298" s="52">
        <f>L298</f>
        <v>12299.37</v>
      </c>
      <c r="K298" s="52"/>
      <c r="L298" s="3">
        <f>L300</f>
        <v>12299.37</v>
      </c>
      <c r="M298" s="3">
        <f t="shared" ref="M298:Y298" si="166">M300</f>
        <v>0</v>
      </c>
      <c r="N298" s="3">
        <f t="shared" si="166"/>
        <v>0</v>
      </c>
      <c r="O298" s="3">
        <f t="shared" si="166"/>
        <v>5371.98</v>
      </c>
      <c r="P298" s="3">
        <f>P299+P300</f>
        <v>2400.44</v>
      </c>
      <c r="Q298" s="3">
        <f t="shared" si="166"/>
        <v>0</v>
      </c>
      <c r="R298" s="3">
        <f t="shared" si="166"/>
        <v>0</v>
      </c>
      <c r="S298" s="3">
        <f t="shared" si="166"/>
        <v>0</v>
      </c>
      <c r="T298" s="3">
        <f t="shared" si="166"/>
        <v>0</v>
      </c>
      <c r="U298" s="3">
        <f t="shared" si="166"/>
        <v>0</v>
      </c>
      <c r="V298" s="3">
        <f t="shared" si="166"/>
        <v>0</v>
      </c>
      <c r="W298" s="3">
        <f t="shared" si="166"/>
        <v>0</v>
      </c>
      <c r="X298" s="3">
        <f t="shared" si="166"/>
        <v>0</v>
      </c>
      <c r="Y298" s="3">
        <f t="shared" si="166"/>
        <v>0</v>
      </c>
      <c r="Z298" s="95">
        <v>0</v>
      </c>
      <c r="AA298" s="3">
        <f t="shared" ref="AA298:AO298" si="167">AA300</f>
        <v>0</v>
      </c>
      <c r="AB298" s="3">
        <f t="shared" si="167"/>
        <v>0</v>
      </c>
      <c r="AC298" s="3">
        <f t="shared" si="167"/>
        <v>0</v>
      </c>
      <c r="AD298" s="3">
        <f t="shared" si="167"/>
        <v>0</v>
      </c>
      <c r="AE298" s="3">
        <f t="shared" si="167"/>
        <v>0</v>
      </c>
      <c r="AF298" s="3">
        <f t="shared" si="167"/>
        <v>0</v>
      </c>
      <c r="AG298" s="3">
        <f t="shared" si="167"/>
        <v>0</v>
      </c>
      <c r="AH298" s="3">
        <f t="shared" si="167"/>
        <v>0</v>
      </c>
      <c r="AI298" s="3">
        <f t="shared" si="167"/>
        <v>0</v>
      </c>
      <c r="AJ298" s="3">
        <f t="shared" si="167"/>
        <v>0</v>
      </c>
      <c r="AK298" s="3">
        <f t="shared" si="167"/>
        <v>0</v>
      </c>
      <c r="AL298" s="3">
        <f t="shared" si="167"/>
        <v>0</v>
      </c>
      <c r="AM298" s="3">
        <f t="shared" si="167"/>
        <v>0</v>
      </c>
      <c r="AN298" s="3">
        <f t="shared" si="167"/>
        <v>0</v>
      </c>
      <c r="AO298" s="3">
        <f t="shared" si="167"/>
        <v>0</v>
      </c>
      <c r="AP298" s="834"/>
      <c r="AQ298" s="95">
        <v>0</v>
      </c>
    </row>
    <row r="299" spans="1:79" ht="15.75" customHeight="1" x14ac:dyDescent="0.25">
      <c r="A299" s="1359"/>
      <c r="B299" s="1" t="s">
        <v>39</v>
      </c>
      <c r="C299" s="1080"/>
      <c r="D299" s="1080"/>
      <c r="E299" s="1080"/>
      <c r="F299" s="1080"/>
      <c r="G299" s="1072"/>
      <c r="H299" s="1072"/>
      <c r="I299" s="1327"/>
      <c r="J299" s="6"/>
      <c r="K299" s="6"/>
      <c r="L299" s="47"/>
      <c r="M299" s="47"/>
      <c r="N299" s="47"/>
      <c r="O299" s="47"/>
      <c r="P299" s="47">
        <v>2400.44</v>
      </c>
      <c r="Q299" s="47">
        <f>S299</f>
        <v>0</v>
      </c>
      <c r="R299" s="47">
        <f>S299</f>
        <v>0</v>
      </c>
      <c r="S299" s="47">
        <v>0</v>
      </c>
      <c r="T299" s="47"/>
      <c r="U299" s="47"/>
      <c r="V299" s="47"/>
      <c r="W299" s="47"/>
      <c r="X299" s="47"/>
      <c r="Y299" s="47"/>
      <c r="Z299" s="47"/>
      <c r="AA299" s="47">
        <v>0</v>
      </c>
      <c r="AB299" s="47">
        <v>0</v>
      </c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19"/>
      <c r="AQ299" s="47"/>
    </row>
    <row r="300" spans="1:79" ht="18.75" customHeight="1" x14ac:dyDescent="0.25">
      <c r="A300" s="1361"/>
      <c r="B300" s="1" t="s">
        <v>213</v>
      </c>
      <c r="C300" s="1079"/>
      <c r="D300" s="1079"/>
      <c r="E300" s="1079"/>
      <c r="F300" s="1079"/>
      <c r="G300" s="1072">
        <v>2024</v>
      </c>
      <c r="H300" s="1072">
        <v>2029</v>
      </c>
      <c r="I300" s="1328"/>
      <c r="J300" s="6">
        <f>L300</f>
        <v>12299.37</v>
      </c>
      <c r="K300" s="6"/>
      <c r="L300" s="47">
        <v>12299.37</v>
      </c>
      <c r="M300" s="47">
        <v>0</v>
      </c>
      <c r="N300" s="47">
        <v>0</v>
      </c>
      <c r="O300" s="47">
        <v>5371.98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>
        <v>0</v>
      </c>
      <c r="Z300" s="96"/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19"/>
      <c r="AQ300" s="96"/>
    </row>
    <row r="301" spans="1:79" ht="15.75" hidden="1" x14ac:dyDescent="0.25">
      <c r="B301" s="623" t="s">
        <v>96</v>
      </c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 t="s">
        <v>97</v>
      </c>
      <c r="U301" s="623"/>
      <c r="V301" s="623"/>
      <c r="W301" s="623"/>
      <c r="AB301" s="623" t="s">
        <v>97</v>
      </c>
      <c r="AO301" s="623"/>
      <c r="AP301" s="623"/>
    </row>
    <row r="302" spans="1:79" ht="15.75" hidden="1" x14ac:dyDescent="0.25">
      <c r="B302" s="623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/>
      <c r="U302" s="623"/>
      <c r="AB302" s="623"/>
      <c r="AC302" s="626" t="s">
        <v>98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99</v>
      </c>
      <c r="AN302" s="623"/>
      <c r="AO302" s="623"/>
      <c r="AP302" s="623"/>
    </row>
    <row r="303" spans="1:79" ht="15.75" hidden="1" x14ac:dyDescent="0.25">
      <c r="B303" s="623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4"/>
      <c r="Q303" s="623"/>
      <c r="S303" s="623"/>
      <c r="T303" s="623"/>
      <c r="W303" s="623" t="s">
        <v>98</v>
      </c>
      <c r="AB303" s="623"/>
      <c r="AD303" s="623"/>
      <c r="AE303" s="623"/>
      <c r="AF303" s="623"/>
      <c r="AG303" s="623"/>
      <c r="AH303" s="623"/>
      <c r="AI303" s="623"/>
      <c r="AJ303" s="623"/>
      <c r="AK303" s="623"/>
      <c r="AL303" s="623"/>
      <c r="AM303" s="623"/>
      <c r="AN303" s="623"/>
      <c r="AO303" s="623"/>
      <c r="AP303" s="623"/>
    </row>
    <row r="304" spans="1:79" ht="15.75" hidden="1" x14ac:dyDescent="0.25">
      <c r="B304" s="623" t="s">
        <v>94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95</v>
      </c>
      <c r="W304" s="623"/>
      <c r="AB304" s="623" t="s">
        <v>95</v>
      </c>
      <c r="AC304" s="626" t="s">
        <v>100</v>
      </c>
      <c r="AD304" s="623"/>
      <c r="AE304" s="623"/>
      <c r="AF304" s="623"/>
      <c r="AG304" s="623"/>
      <c r="AH304" s="623"/>
      <c r="AI304" s="623"/>
      <c r="AJ304" s="623"/>
      <c r="AK304" s="623"/>
      <c r="AL304" s="623"/>
      <c r="AM304" s="623" t="s">
        <v>101</v>
      </c>
      <c r="AN304" s="623"/>
    </row>
    <row r="305" spans="1:43" ht="15.75" hidden="1" x14ac:dyDescent="0.25">
      <c r="W305" s="623"/>
      <c r="AJ305" s="623"/>
    </row>
    <row r="306" spans="1:43" ht="15.75" hidden="1" x14ac:dyDescent="0.25">
      <c r="W306" s="623" t="s">
        <v>100</v>
      </c>
      <c r="AJ306" s="623" t="s">
        <v>101</v>
      </c>
    </row>
    <row r="307" spans="1:43" s="624" customFormat="1" ht="4.5" hidden="1" customHeight="1" x14ac:dyDescent="0.25">
      <c r="B307" s="624" t="s">
        <v>242</v>
      </c>
      <c r="T307" s="624" t="s">
        <v>151</v>
      </c>
      <c r="X307" s="627"/>
      <c r="Y307" s="627"/>
      <c r="Z307" s="627"/>
      <c r="AB307" s="624" t="s">
        <v>151</v>
      </c>
      <c r="AP307" s="628"/>
      <c r="AQ307" s="627"/>
    </row>
    <row r="308" spans="1:43" s="327" customFormat="1" ht="29.25" customHeight="1" x14ac:dyDescent="0.25">
      <c r="A308" s="1358" t="s">
        <v>194</v>
      </c>
      <c r="B308" s="780" t="s">
        <v>394</v>
      </c>
      <c r="C308" s="1076"/>
      <c r="D308" s="1076"/>
      <c r="E308" s="1076"/>
      <c r="F308" s="1076">
        <v>82</v>
      </c>
      <c r="G308" s="807"/>
      <c r="H308" s="807"/>
      <c r="I308" s="1326" t="s">
        <v>20</v>
      </c>
      <c r="J308" s="52">
        <f>L308</f>
        <v>12299.37</v>
      </c>
      <c r="K308" s="52"/>
      <c r="L308" s="3">
        <f>L310</f>
        <v>12299.37</v>
      </c>
      <c r="M308" s="3">
        <f t="shared" ref="M308:Y308" si="168">M310</f>
        <v>0</v>
      </c>
      <c r="N308" s="3">
        <f t="shared" si="168"/>
        <v>0</v>
      </c>
      <c r="O308" s="3">
        <f t="shared" si="168"/>
        <v>5371.98</v>
      </c>
      <c r="P308" s="3">
        <f>P309+P310</f>
        <v>2804.27</v>
      </c>
      <c r="Q308" s="3">
        <f t="shared" si="168"/>
        <v>0</v>
      </c>
      <c r="R308" s="3">
        <f t="shared" si="168"/>
        <v>0</v>
      </c>
      <c r="S308" s="3">
        <f t="shared" si="168"/>
        <v>0</v>
      </c>
      <c r="T308" s="3">
        <f t="shared" si="168"/>
        <v>0</v>
      </c>
      <c r="U308" s="3">
        <f t="shared" si="168"/>
        <v>0</v>
      </c>
      <c r="V308" s="3">
        <f t="shared" si="168"/>
        <v>0</v>
      </c>
      <c r="W308" s="3">
        <f t="shared" si="168"/>
        <v>0</v>
      </c>
      <c r="X308" s="3">
        <f t="shared" si="168"/>
        <v>0</v>
      </c>
      <c r="Y308" s="3">
        <f t="shared" si="168"/>
        <v>0</v>
      </c>
      <c r="Z308" s="95">
        <v>0</v>
      </c>
      <c r="AA308" s="3">
        <f t="shared" ref="AA308:AO308" si="169">AA310</f>
        <v>0</v>
      </c>
      <c r="AB308" s="3">
        <f t="shared" si="169"/>
        <v>0</v>
      </c>
      <c r="AC308" s="3">
        <f t="shared" si="169"/>
        <v>0</v>
      </c>
      <c r="AD308" s="3">
        <f t="shared" si="169"/>
        <v>0</v>
      </c>
      <c r="AE308" s="3">
        <f t="shared" si="169"/>
        <v>0</v>
      </c>
      <c r="AF308" s="3">
        <f t="shared" si="169"/>
        <v>0</v>
      </c>
      <c r="AG308" s="3">
        <f t="shared" si="169"/>
        <v>0</v>
      </c>
      <c r="AH308" s="3">
        <f t="shared" si="169"/>
        <v>0</v>
      </c>
      <c r="AI308" s="3">
        <f t="shared" si="169"/>
        <v>0</v>
      </c>
      <c r="AJ308" s="3">
        <f t="shared" si="169"/>
        <v>0</v>
      </c>
      <c r="AK308" s="3">
        <f t="shared" si="169"/>
        <v>0</v>
      </c>
      <c r="AL308" s="3">
        <f t="shared" si="169"/>
        <v>0</v>
      </c>
      <c r="AM308" s="3">
        <f t="shared" si="169"/>
        <v>0</v>
      </c>
      <c r="AN308" s="3">
        <f t="shared" si="169"/>
        <v>0</v>
      </c>
      <c r="AO308" s="3">
        <f t="shared" si="169"/>
        <v>0</v>
      </c>
      <c r="AP308" s="834"/>
      <c r="AQ308" s="95">
        <v>0</v>
      </c>
    </row>
    <row r="309" spans="1:43" ht="15.75" customHeight="1" x14ac:dyDescent="0.25">
      <c r="A309" s="1359"/>
      <c r="B309" s="1" t="s">
        <v>39</v>
      </c>
      <c r="C309" s="1080"/>
      <c r="D309" s="1080"/>
      <c r="E309" s="1080"/>
      <c r="F309" s="1080"/>
      <c r="G309" s="1072"/>
      <c r="H309" s="1072"/>
      <c r="I309" s="1327"/>
      <c r="J309" s="6"/>
      <c r="K309" s="6"/>
      <c r="L309" s="47"/>
      <c r="M309" s="47"/>
      <c r="N309" s="47"/>
      <c r="O309" s="47"/>
      <c r="P309" s="47">
        <v>2804.27</v>
      </c>
      <c r="Q309" s="47">
        <f>S309</f>
        <v>0</v>
      </c>
      <c r="R309" s="47">
        <f>S309</f>
        <v>0</v>
      </c>
      <c r="S309" s="47">
        <v>0</v>
      </c>
      <c r="T309" s="47"/>
      <c r="U309" s="47"/>
      <c r="V309" s="47"/>
      <c r="W309" s="47"/>
      <c r="X309" s="47"/>
      <c r="Y309" s="47"/>
      <c r="Z309" s="47"/>
      <c r="AA309" s="47">
        <v>0</v>
      </c>
      <c r="AB309" s="47">
        <v>0</v>
      </c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19"/>
      <c r="AQ309" s="47"/>
    </row>
    <row r="310" spans="1:43" ht="19.5" customHeight="1" x14ac:dyDescent="0.25">
      <c r="A310" s="1361"/>
      <c r="B310" s="1" t="s">
        <v>213</v>
      </c>
      <c r="C310" s="1079"/>
      <c r="D310" s="1079"/>
      <c r="E310" s="1079"/>
      <c r="F310" s="1079"/>
      <c r="G310" s="1072">
        <v>2024</v>
      </c>
      <c r="H310" s="1072">
        <v>2029</v>
      </c>
      <c r="I310" s="1328"/>
      <c r="J310" s="6">
        <f>L310</f>
        <v>12299.37</v>
      </c>
      <c r="K310" s="6"/>
      <c r="L310" s="47">
        <v>12299.37</v>
      </c>
      <c r="M310" s="47">
        <v>0</v>
      </c>
      <c r="N310" s="47">
        <v>0</v>
      </c>
      <c r="O310" s="47">
        <v>5371.98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96"/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19"/>
      <c r="AQ310" s="96"/>
    </row>
    <row r="311" spans="1:43" s="327" customFormat="1" ht="29.25" customHeight="1" x14ac:dyDescent="0.25">
      <c r="A311" s="1358" t="s">
        <v>194</v>
      </c>
      <c r="B311" s="780" t="s">
        <v>459</v>
      </c>
      <c r="C311" s="1076"/>
      <c r="D311" s="1076"/>
      <c r="E311" s="1076"/>
      <c r="F311" s="1076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70">M313</f>
        <v>0</v>
      </c>
      <c r="N311" s="3">
        <f t="shared" si="170"/>
        <v>0</v>
      </c>
      <c r="O311" s="3">
        <f t="shared" si="170"/>
        <v>5371.98</v>
      </c>
      <c r="P311" s="3">
        <f>P312+P313</f>
        <v>377.92</v>
      </c>
      <c r="Q311" s="3">
        <f t="shared" si="170"/>
        <v>0</v>
      </c>
      <c r="R311" s="3">
        <f t="shared" si="170"/>
        <v>0</v>
      </c>
      <c r="S311" s="3">
        <f t="shared" si="170"/>
        <v>0</v>
      </c>
      <c r="T311" s="3">
        <f t="shared" si="170"/>
        <v>0</v>
      </c>
      <c r="U311" s="3">
        <f t="shared" si="170"/>
        <v>0</v>
      </c>
      <c r="V311" s="3">
        <f t="shared" si="170"/>
        <v>0</v>
      </c>
      <c r="W311" s="3">
        <f t="shared" si="170"/>
        <v>0</v>
      </c>
      <c r="X311" s="3">
        <f t="shared" si="170"/>
        <v>0</v>
      </c>
      <c r="Y311" s="3">
        <f t="shared" si="170"/>
        <v>0</v>
      </c>
      <c r="Z311" s="95">
        <v>0</v>
      </c>
      <c r="AA311" s="3">
        <f t="shared" ref="AA311:AO311" si="171">AA313</f>
        <v>0</v>
      </c>
      <c r="AB311" s="3">
        <f t="shared" si="171"/>
        <v>0</v>
      </c>
      <c r="AC311" s="3">
        <f t="shared" si="171"/>
        <v>0</v>
      </c>
      <c r="AD311" s="3">
        <f t="shared" si="171"/>
        <v>0</v>
      </c>
      <c r="AE311" s="3">
        <f t="shared" si="171"/>
        <v>0</v>
      </c>
      <c r="AF311" s="3">
        <f t="shared" si="171"/>
        <v>0</v>
      </c>
      <c r="AG311" s="3">
        <f t="shared" si="171"/>
        <v>0</v>
      </c>
      <c r="AH311" s="3">
        <f t="shared" si="171"/>
        <v>0</v>
      </c>
      <c r="AI311" s="3">
        <f t="shared" si="171"/>
        <v>0</v>
      </c>
      <c r="AJ311" s="3">
        <f t="shared" si="171"/>
        <v>0</v>
      </c>
      <c r="AK311" s="3">
        <f t="shared" si="171"/>
        <v>0</v>
      </c>
      <c r="AL311" s="3">
        <f t="shared" si="171"/>
        <v>0</v>
      </c>
      <c r="AM311" s="3">
        <f t="shared" si="171"/>
        <v>0</v>
      </c>
      <c r="AN311" s="3">
        <f t="shared" si="171"/>
        <v>0</v>
      </c>
      <c r="AO311" s="3">
        <f t="shared" si="171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1080"/>
      <c r="D312" s="1080"/>
      <c r="E312" s="1080"/>
      <c r="F312" s="1080"/>
      <c r="G312" s="1072"/>
      <c r="H312" s="1072"/>
      <c r="I312" s="1327"/>
      <c r="J312" s="6"/>
      <c r="K312" s="6"/>
      <c r="L312" s="47"/>
      <c r="M312" s="47"/>
      <c r="N312" s="47"/>
      <c r="O312" s="47"/>
      <c r="P312" s="47">
        <v>377.92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1079"/>
      <c r="D313" s="1079"/>
      <c r="E313" s="1079"/>
      <c r="F313" s="1079"/>
      <c r="G313" s="1072">
        <v>2024</v>
      </c>
      <c r="H313" s="1072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</sheetData>
  <mergeCells count="199">
    <mergeCell ref="A311:A313"/>
    <mergeCell ref="I311:I313"/>
    <mergeCell ref="A285:A287"/>
    <mergeCell ref="I285:I287"/>
    <mergeCell ref="A288:A297"/>
    <mergeCell ref="A298:A300"/>
    <mergeCell ref="I298:I300"/>
    <mergeCell ref="A308:A310"/>
    <mergeCell ref="I308:I310"/>
    <mergeCell ref="A278:A284"/>
    <mergeCell ref="C278:C279"/>
    <mergeCell ref="D278:D279"/>
    <mergeCell ref="E278:E279"/>
    <mergeCell ref="F278:F279"/>
    <mergeCell ref="I278:I284"/>
    <mergeCell ref="A273:A277"/>
    <mergeCell ref="C273:C274"/>
    <mergeCell ref="D273:D274"/>
    <mergeCell ref="E273:E274"/>
    <mergeCell ref="F273:F274"/>
    <mergeCell ref="I273:I277"/>
    <mergeCell ref="I267:I268"/>
    <mergeCell ref="J267:J268"/>
    <mergeCell ref="A269:A272"/>
    <mergeCell ref="C269:C270"/>
    <mergeCell ref="D269:D270"/>
    <mergeCell ref="E269:E270"/>
    <mergeCell ref="F269:F270"/>
    <mergeCell ref="I269:I272"/>
    <mergeCell ref="A252:A256"/>
    <mergeCell ref="I252:I256"/>
    <mergeCell ref="A257:A258"/>
    <mergeCell ref="I257:I258"/>
    <mergeCell ref="I264:I265"/>
    <mergeCell ref="A267:A268"/>
    <mergeCell ref="C267:C268"/>
    <mergeCell ref="D267:D268"/>
    <mergeCell ref="E267:E268"/>
    <mergeCell ref="F267:F268"/>
    <mergeCell ref="H238:H241"/>
    <mergeCell ref="I238:I241"/>
    <mergeCell ref="J238:J241"/>
    <mergeCell ref="A245:A248"/>
    <mergeCell ref="B245:H248"/>
    <mergeCell ref="A249:A251"/>
    <mergeCell ref="I249:I250"/>
    <mergeCell ref="I229:I230"/>
    <mergeCell ref="A231:A234"/>
    <mergeCell ref="B231:H234"/>
    <mergeCell ref="I235:I236"/>
    <mergeCell ref="A238:A241"/>
    <mergeCell ref="C238:C241"/>
    <mergeCell ref="D238:D241"/>
    <mergeCell ref="E238:E241"/>
    <mergeCell ref="F238:F241"/>
    <mergeCell ref="G238:G241"/>
    <mergeCell ref="J208:J212"/>
    <mergeCell ref="A213:A214"/>
    <mergeCell ref="I213:I214"/>
    <mergeCell ref="I219:I220"/>
    <mergeCell ref="I225:I226"/>
    <mergeCell ref="I227:I228"/>
    <mergeCell ref="A208:A212"/>
    <mergeCell ref="C208:C212"/>
    <mergeCell ref="D208:D212"/>
    <mergeCell ref="E208:E212"/>
    <mergeCell ref="F208:F212"/>
    <mergeCell ref="I208:I212"/>
    <mergeCell ref="A184:A185"/>
    <mergeCell ref="I184:I185"/>
    <mergeCell ref="A187:A188"/>
    <mergeCell ref="I187:I188"/>
    <mergeCell ref="A204:A207"/>
    <mergeCell ref="B204:H207"/>
    <mergeCell ref="H171:H172"/>
    <mergeCell ref="I171:I172"/>
    <mergeCell ref="J171:J172"/>
    <mergeCell ref="K171:K172"/>
    <mergeCell ref="A180:A181"/>
    <mergeCell ref="I180:I181"/>
    <mergeCell ref="A171:A172"/>
    <mergeCell ref="C171:C172"/>
    <mergeCell ref="D171:D172"/>
    <mergeCell ref="E171:E172"/>
    <mergeCell ref="F171:F172"/>
    <mergeCell ref="G171:G172"/>
    <mergeCell ref="H164:H165"/>
    <mergeCell ref="I164:I165"/>
    <mergeCell ref="J164:J165"/>
    <mergeCell ref="K164:K165"/>
    <mergeCell ref="A167:A170"/>
    <mergeCell ref="F167:F170"/>
    <mergeCell ref="I167:I170"/>
    <mergeCell ref="A164:A165"/>
    <mergeCell ref="C164:C165"/>
    <mergeCell ref="D164:D165"/>
    <mergeCell ref="E164:E165"/>
    <mergeCell ref="F164:F165"/>
    <mergeCell ref="G164:G165"/>
    <mergeCell ref="A148:A152"/>
    <mergeCell ref="I148:I152"/>
    <mergeCell ref="J148:J152"/>
    <mergeCell ref="A155:H159"/>
    <mergeCell ref="A160:A163"/>
    <mergeCell ref="B160:H163"/>
    <mergeCell ref="A138:A142"/>
    <mergeCell ref="I138:I142"/>
    <mergeCell ref="J138:J142"/>
    <mergeCell ref="A143:A147"/>
    <mergeCell ref="I143:I147"/>
    <mergeCell ref="J143:J147"/>
    <mergeCell ref="A120:A124"/>
    <mergeCell ref="I120:I124"/>
    <mergeCell ref="A125:A126"/>
    <mergeCell ref="I125:I126"/>
    <mergeCell ref="A128:A131"/>
    <mergeCell ref="B128:H131"/>
    <mergeCell ref="A108:A112"/>
    <mergeCell ref="I108:I112"/>
    <mergeCell ref="A113:A114"/>
    <mergeCell ref="I113:I114"/>
    <mergeCell ref="A116:A119"/>
    <mergeCell ref="I116:I119"/>
    <mergeCell ref="A96:A98"/>
    <mergeCell ref="I96:I97"/>
    <mergeCell ref="A99:A100"/>
    <mergeCell ref="I99:I100"/>
    <mergeCell ref="A102:A107"/>
    <mergeCell ref="I102:I107"/>
    <mergeCell ref="C86:C91"/>
    <mergeCell ref="D86:D91"/>
    <mergeCell ref="E86:E91"/>
    <mergeCell ref="F86:F91"/>
    <mergeCell ref="I86:I91"/>
    <mergeCell ref="A93:A95"/>
    <mergeCell ref="I93:I94"/>
    <mergeCell ref="I68:I71"/>
    <mergeCell ref="J68:J71"/>
    <mergeCell ref="A78:A81"/>
    <mergeCell ref="B78:H81"/>
    <mergeCell ref="A82:A83"/>
    <mergeCell ref="I82:I83"/>
    <mergeCell ref="A65:A67"/>
    <mergeCell ref="B65:H67"/>
    <mergeCell ref="A68:A71"/>
    <mergeCell ref="C68:C71"/>
    <mergeCell ref="D68:D71"/>
    <mergeCell ref="E68:E71"/>
    <mergeCell ref="F68:F7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1:AP1"/>
    <mergeCell ref="E3:F3"/>
    <mergeCell ref="M3:O3"/>
    <mergeCell ref="R3:S3"/>
    <mergeCell ref="T3:U3"/>
    <mergeCell ref="V3:W3"/>
    <mergeCell ref="X3:Y3"/>
    <mergeCell ref="AF3:AJ3"/>
    <mergeCell ref="AL3:AO3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3" max="16383" man="1"/>
    <brk id="251" max="16383" man="1"/>
  </rowBreaks>
  <colBreaks count="1" manualBreakCount="1">
    <brk id="4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3"/>
  <sheetViews>
    <sheetView topLeftCell="B1" zoomScale="150" zoomScaleNormal="150" zoomScaleSheetLayoutView="140" workbookViewId="0">
      <pane xSplit="14" ySplit="9" topLeftCell="P144" activePane="bottomRight" state="frozen"/>
      <selection activeCell="B1" sqref="B1"/>
      <selection pane="topRight" activeCell="P1" sqref="P1"/>
      <selection pane="bottomLeft" activeCell="B10" sqref="B10"/>
      <selection pane="bottomRight" activeCell="B298" sqref="B298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467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156" t="s">
        <v>3</v>
      </c>
      <c r="B3" s="1156" t="s">
        <v>4</v>
      </c>
      <c r="C3" s="1118" t="s">
        <v>6</v>
      </c>
      <c r="D3" s="1118" t="s">
        <v>14</v>
      </c>
      <c r="E3" s="1530" t="s">
        <v>5</v>
      </c>
      <c r="F3" s="1532"/>
      <c r="G3" s="1118" t="s">
        <v>1</v>
      </c>
      <c r="H3" s="1118" t="s">
        <v>2</v>
      </c>
      <c r="I3" s="1118" t="s">
        <v>0</v>
      </c>
      <c r="J3" s="1118" t="s">
        <v>51</v>
      </c>
      <c r="K3" s="1118" t="s">
        <v>52</v>
      </c>
      <c r="L3" s="1118" t="s">
        <v>275</v>
      </c>
      <c r="M3" s="1530" t="s">
        <v>8</v>
      </c>
      <c r="N3" s="1531"/>
      <c r="O3" s="1532"/>
      <c r="P3" s="1132" t="s">
        <v>437</v>
      </c>
      <c r="Q3" s="1132" t="s">
        <v>468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471</v>
      </c>
      <c r="AB3" s="1132"/>
      <c r="AC3" s="1132"/>
      <c r="AD3" s="1132"/>
      <c r="AE3" s="1132"/>
      <c r="AF3" s="1508" t="s">
        <v>307</v>
      </c>
      <c r="AG3" s="1515"/>
      <c r="AH3" s="1515"/>
      <c r="AI3" s="1515"/>
      <c r="AJ3" s="1516"/>
      <c r="AK3" s="1130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131">
        <v>3</v>
      </c>
      <c r="Q4" s="606">
        <v>4</v>
      </c>
      <c r="R4" s="1131">
        <v>7</v>
      </c>
      <c r="S4" s="1131">
        <v>8</v>
      </c>
      <c r="T4" s="606">
        <v>9</v>
      </c>
      <c r="U4" s="606">
        <v>10</v>
      </c>
      <c r="V4" s="606">
        <v>11</v>
      </c>
      <c r="W4" s="606">
        <v>12</v>
      </c>
      <c r="X4" s="1131">
        <v>13</v>
      </c>
      <c r="Y4" s="1131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E9" si="1">P10+P155</f>
        <v>519486.85400000005</v>
      </c>
      <c r="Q5" s="679">
        <f t="shared" si="1"/>
        <v>99480.982730000003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>AA10+AA155</f>
        <v>107306.6752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317325.54000000004</v>
      </c>
      <c r="AL5" s="679">
        <f t="shared" si="2"/>
        <v>317325.54000000004</v>
      </c>
      <c r="AM5" s="679">
        <f>ROUND((Q5*100%/P5*100),2)</f>
        <v>19.149999999999999</v>
      </c>
      <c r="AN5" s="679">
        <f t="shared" si="2"/>
        <v>0</v>
      </c>
      <c r="AO5" s="679">
        <f t="shared" si="2"/>
        <v>0</v>
      </c>
      <c r="AP5" s="938"/>
      <c r="AQ5" s="679">
        <f>AQ10+AQ155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J11+J156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si="1"/>
        <v>264162.01</v>
      </c>
      <c r="Q6" s="3">
        <f t="shared" si="1"/>
        <v>0</v>
      </c>
      <c r="R6" s="3">
        <f t="shared" si="1"/>
        <v>1128.182</v>
      </c>
      <c r="S6" s="3">
        <f t="shared" si="1"/>
        <v>4128.1819999999998</v>
      </c>
      <c r="T6" s="3">
        <f t="shared" si="1"/>
        <v>31.5</v>
      </c>
      <c r="U6" s="3">
        <f t="shared" si="1"/>
        <v>2236.8380000000002</v>
      </c>
      <c r="V6" s="3">
        <f t="shared" si="1"/>
        <v>0</v>
      </c>
      <c r="W6" s="3">
        <f t="shared" si="1"/>
        <v>0</v>
      </c>
      <c r="X6" s="3">
        <f t="shared" si="1"/>
        <v>0</v>
      </c>
      <c r="Y6" s="3">
        <f t="shared" si="1"/>
        <v>0</v>
      </c>
      <c r="Z6" s="95">
        <f t="shared" si="1"/>
        <v>0</v>
      </c>
      <c r="AA6" s="3">
        <f t="shared" si="1"/>
        <v>0</v>
      </c>
      <c r="AB6" s="3">
        <f t="shared" si="1"/>
        <v>3015.1369999999997</v>
      </c>
      <c r="AC6" s="3">
        <f t="shared" si="1"/>
        <v>0</v>
      </c>
      <c r="AD6" s="3">
        <f t="shared" si="1"/>
        <v>31.5</v>
      </c>
      <c r="AE6" s="3">
        <f t="shared" si="1"/>
        <v>0</v>
      </c>
      <c r="AF6" s="3">
        <f t="shared" ref="AF6:AL9" si="4">AF11+AF156</f>
        <v>0</v>
      </c>
      <c r="AG6" s="3">
        <f t="shared" si="4"/>
        <v>0</v>
      </c>
      <c r="AH6" s="3">
        <f t="shared" si="4"/>
        <v>0</v>
      </c>
      <c r="AI6" s="3">
        <f t="shared" si="4"/>
        <v>0</v>
      </c>
      <c r="AJ6" s="3">
        <f t="shared" si="4"/>
        <v>0</v>
      </c>
      <c r="AK6" s="3">
        <f t="shared" si="4"/>
        <v>192946.75</v>
      </c>
      <c r="AL6" s="3">
        <f t="shared" si="4"/>
        <v>192946.75</v>
      </c>
      <c r="AM6" s="385">
        <f>ROUND((Q6*100%/P6*100),2)</f>
        <v>0</v>
      </c>
      <c r="AN6" s="3">
        <f t="shared" ref="AN6:AO9" si="5">AN11+AN156</f>
        <v>0</v>
      </c>
      <c r="AO6" s="3">
        <f t="shared" si="5"/>
        <v>0</v>
      </c>
      <c r="AP6" s="632"/>
      <c r="AQ6" s="95">
        <f>AQ11+AQ156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si="1"/>
        <v>175498.53000000003</v>
      </c>
      <c r="Q7" s="3">
        <f t="shared" si="1"/>
        <v>2436.4518600000001</v>
      </c>
      <c r="R7" s="3">
        <f t="shared" si="1"/>
        <v>12156.708000000001</v>
      </c>
      <c r="S7" s="3">
        <f t="shared" si="1"/>
        <v>12573.374</v>
      </c>
      <c r="T7" s="3">
        <f t="shared" si="1"/>
        <v>22089.049000000003</v>
      </c>
      <c r="U7" s="3">
        <f t="shared" si="1"/>
        <v>21847.228999999999</v>
      </c>
      <c r="V7" s="3">
        <f t="shared" si="1"/>
        <v>6338.5969999999998</v>
      </c>
      <c r="W7" s="3">
        <f t="shared" si="1"/>
        <v>7317.3669999999993</v>
      </c>
      <c r="X7" s="3">
        <f t="shared" si="1"/>
        <v>0</v>
      </c>
      <c r="Y7" s="3">
        <f t="shared" si="1"/>
        <v>0</v>
      </c>
      <c r="Z7" s="95">
        <f t="shared" si="1"/>
        <v>0</v>
      </c>
      <c r="AA7" s="3">
        <f t="shared" si="1"/>
        <v>2477.80186</v>
      </c>
      <c r="AB7" s="3">
        <f t="shared" si="1"/>
        <v>40.5</v>
      </c>
      <c r="AC7" s="3">
        <f t="shared" si="1"/>
        <v>4148.6930000000002</v>
      </c>
      <c r="AD7" s="3">
        <f t="shared" si="1"/>
        <v>72764.314890000009</v>
      </c>
      <c r="AE7" s="3">
        <f t="shared" si="1"/>
        <v>0</v>
      </c>
      <c r="AF7" s="3">
        <f t="shared" si="4"/>
        <v>0</v>
      </c>
      <c r="AG7" s="3">
        <f t="shared" si="4"/>
        <v>0</v>
      </c>
      <c r="AH7" s="3">
        <f t="shared" si="4"/>
        <v>0</v>
      </c>
      <c r="AI7" s="3">
        <f t="shared" si="4"/>
        <v>0</v>
      </c>
      <c r="AJ7" s="3">
        <f t="shared" si="4"/>
        <v>0</v>
      </c>
      <c r="AK7" s="3">
        <f t="shared" si="4"/>
        <v>124378.79000000001</v>
      </c>
      <c r="AL7" s="3">
        <f t="shared" si="4"/>
        <v>124378.79000000001</v>
      </c>
      <c r="AM7" s="385">
        <f>ROUND((Q7*100%/P7*100),2)</f>
        <v>1.39</v>
      </c>
      <c r="AN7" s="3">
        <f t="shared" si="5"/>
        <v>0</v>
      </c>
      <c r="AO7" s="3">
        <f t="shared" si="5"/>
        <v>0</v>
      </c>
      <c r="AP7" s="632"/>
      <c r="AQ7" s="95">
        <f>AQ12+AQ157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si="1"/>
        <v>0</v>
      </c>
      <c r="Q8" s="3">
        <f t="shared" si="1"/>
        <v>97008.858719999989</v>
      </c>
      <c r="R8" s="3">
        <f t="shared" si="1"/>
        <v>21705.95</v>
      </c>
      <c r="S8" s="3">
        <f t="shared" si="1"/>
        <v>21705.95</v>
      </c>
      <c r="T8" s="3">
        <f t="shared" si="1"/>
        <v>67610.615609999993</v>
      </c>
      <c r="U8" s="3">
        <f t="shared" si="1"/>
        <v>67610.615609999993</v>
      </c>
      <c r="V8" s="3">
        <f t="shared" si="1"/>
        <v>50383.255000000005</v>
      </c>
      <c r="W8" s="3">
        <f t="shared" si="1"/>
        <v>50383.255000000005</v>
      </c>
      <c r="X8" s="3">
        <f t="shared" si="1"/>
        <v>21705.95</v>
      </c>
      <c r="Y8" s="3">
        <f t="shared" si="1"/>
        <v>21705.95</v>
      </c>
      <c r="Z8" s="95">
        <f t="shared" si="1"/>
        <v>0</v>
      </c>
      <c r="AA8" s="3">
        <f t="shared" si="1"/>
        <v>104395.20118999999</v>
      </c>
      <c r="AB8" s="3">
        <f t="shared" si="1"/>
        <v>17522.268</v>
      </c>
      <c r="AC8" s="3">
        <f t="shared" si="1"/>
        <v>32106.996000000003</v>
      </c>
      <c r="AD8" s="3">
        <f t="shared" si="1"/>
        <v>0</v>
      </c>
      <c r="AE8" s="3">
        <f t="shared" si="1"/>
        <v>0</v>
      </c>
      <c r="AF8" s="3">
        <f t="shared" si="4"/>
        <v>0</v>
      </c>
      <c r="AG8" s="3">
        <f t="shared" si="4"/>
        <v>0</v>
      </c>
      <c r="AH8" s="3">
        <f t="shared" si="4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85">
        <v>0</v>
      </c>
      <c r="AN8" s="3">
        <f t="shared" si="5"/>
        <v>0</v>
      </c>
      <c r="AO8" s="3">
        <f t="shared" si="5"/>
        <v>0</v>
      </c>
      <c r="AP8" s="632"/>
      <c r="AQ8" s="95">
        <f>AQ13+AQ158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si="1"/>
        <v>0</v>
      </c>
      <c r="Q9" s="3">
        <f t="shared" si="1"/>
        <v>0</v>
      </c>
      <c r="R9" s="3">
        <f t="shared" si="1"/>
        <v>37814.324000000001</v>
      </c>
      <c r="S9" s="3">
        <f t="shared" si="1"/>
        <v>37814.324000000001</v>
      </c>
      <c r="T9" s="3">
        <f t="shared" si="1"/>
        <v>0</v>
      </c>
      <c r="U9" s="3">
        <f t="shared" si="1"/>
        <v>0</v>
      </c>
      <c r="V9" s="3">
        <f t="shared" si="1"/>
        <v>0</v>
      </c>
      <c r="W9" s="3">
        <f t="shared" si="1"/>
        <v>0</v>
      </c>
      <c r="X9" s="3">
        <f t="shared" si="1"/>
        <v>0</v>
      </c>
      <c r="Y9" s="3">
        <f t="shared" si="1"/>
        <v>0</v>
      </c>
      <c r="Z9" s="95">
        <f t="shared" si="1"/>
        <v>0</v>
      </c>
      <c r="AA9" s="3">
        <f t="shared" si="1"/>
        <v>0</v>
      </c>
      <c r="AB9" s="3">
        <f t="shared" si="1"/>
        <v>0</v>
      </c>
      <c r="AC9" s="3">
        <f t="shared" si="1"/>
        <v>0</v>
      </c>
      <c r="AD9" s="3">
        <f t="shared" si="1"/>
        <v>0</v>
      </c>
      <c r="AE9" s="3">
        <f t="shared" si="1"/>
        <v>0</v>
      </c>
      <c r="AF9" s="3">
        <f t="shared" si="4"/>
        <v>0</v>
      </c>
      <c r="AG9" s="3">
        <f t="shared" si="4"/>
        <v>0</v>
      </c>
      <c r="AH9" s="3">
        <f t="shared" si="4"/>
        <v>0</v>
      </c>
      <c r="AI9" s="3">
        <f t="shared" si="4"/>
        <v>0</v>
      </c>
      <c r="AJ9" s="3">
        <f t="shared" si="4"/>
        <v>0</v>
      </c>
      <c r="AK9" s="3">
        <f t="shared" si="4"/>
        <v>0</v>
      </c>
      <c r="AL9" s="3">
        <f t="shared" si="4"/>
        <v>0</v>
      </c>
      <c r="AM9" s="385">
        <v>0</v>
      </c>
      <c r="AN9" s="3">
        <f t="shared" si="5"/>
        <v>0</v>
      </c>
      <c r="AO9" s="3">
        <f t="shared" si="5"/>
        <v>0</v>
      </c>
      <c r="AP9" s="632"/>
      <c r="AQ9" s="95">
        <f>AQ14+AQ159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6">J11+J12+J13+J14</f>
        <v>1940430.69</v>
      </c>
      <c r="K10" s="922">
        <f t="shared" si="6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6"/>
        <v>363282.47</v>
      </c>
      <c r="O10" s="922">
        <f t="shared" si="6"/>
        <v>116582.55</v>
      </c>
      <c r="P10" s="923">
        <f>P19+P33+P36+P47+P58+P68+P82+P86+P93+P96+P99+P102+P108+P113+P116+P120+P125+P138+P40+P62+P132+P135+P72+P76+P143+P148</f>
        <v>226744.65400000001</v>
      </c>
      <c r="Q10" s="923">
        <f t="shared" ref="Q10:Z10" si="7">Q19+Q33+Q36+Q47+Q58+Q68+Q82+Q86+Q93+Q96+Q99+Q102+Q108+Q113+Q116+Q120+Q125+Q138+Q40+Q62+Q132+Q135+Q72+Q76+Q143+Q148</f>
        <v>110.67214999999999</v>
      </c>
      <c r="R10" s="923">
        <f t="shared" si="7"/>
        <v>49571.563999999998</v>
      </c>
      <c r="S10" s="923">
        <f t="shared" si="7"/>
        <v>49988.229999999996</v>
      </c>
      <c r="T10" s="923">
        <f t="shared" si="7"/>
        <v>65950.61860999999</v>
      </c>
      <c r="U10" s="923">
        <f t="shared" si="7"/>
        <v>65705.398609999989</v>
      </c>
      <c r="V10" s="923">
        <f t="shared" si="7"/>
        <v>2007.1869999999999</v>
      </c>
      <c r="W10" s="923">
        <f t="shared" si="7"/>
        <v>2047.0429999999999</v>
      </c>
      <c r="X10" s="923">
        <f t="shared" si="7"/>
        <v>0</v>
      </c>
      <c r="Y10" s="923">
        <f t="shared" si="7"/>
        <v>0</v>
      </c>
      <c r="Z10" s="923">
        <f t="shared" si="7"/>
        <v>0</v>
      </c>
      <c r="AA10" s="923">
        <f>AA19+AA33+AA36+AA47+AA58+AA68+AA82+AA86+AA93+AA96+AA99+AA102+AA108+AA113+AA116+AA120+AA125+AA138+AA40+AA62+AA132+AA135+AA72+AA76+AA143+AA148</f>
        <v>110.67214999999999</v>
      </c>
      <c r="AB10" s="923">
        <f t="shared" ref="AB10:AO10" si="8">AB11+AB12+AB13+AB14</f>
        <v>106.83</v>
      </c>
      <c r="AC10" s="923">
        <f t="shared" si="8"/>
        <v>914.28300000000002</v>
      </c>
      <c r="AD10" s="923">
        <f t="shared" si="8"/>
        <v>3005.3339999999998</v>
      </c>
      <c r="AE10" s="923">
        <f t="shared" si="8"/>
        <v>0</v>
      </c>
      <c r="AF10" s="923">
        <f t="shared" si="8"/>
        <v>0</v>
      </c>
      <c r="AG10" s="923">
        <f t="shared" si="8"/>
        <v>0</v>
      </c>
      <c r="AH10" s="923">
        <f t="shared" si="8"/>
        <v>0</v>
      </c>
      <c r="AI10" s="923">
        <f t="shared" si="8"/>
        <v>0</v>
      </c>
      <c r="AJ10" s="923">
        <f t="shared" si="8"/>
        <v>0</v>
      </c>
      <c r="AK10" s="923">
        <f t="shared" si="8"/>
        <v>170072.3</v>
      </c>
      <c r="AL10" s="923">
        <f t="shared" si="8"/>
        <v>170072.3</v>
      </c>
      <c r="AM10" s="923" t="e">
        <f t="shared" si="8"/>
        <v>#DIV/0!</v>
      </c>
      <c r="AN10" s="923">
        <f t="shared" si="8"/>
        <v>0</v>
      </c>
      <c r="AO10" s="923">
        <f t="shared" si="8"/>
        <v>0</v>
      </c>
      <c r="AP10" s="924"/>
      <c r="AQ10" s="923">
        <f>AQ19+AQ33+AQ36+AQ47+AQ58+AQ68+AQ82+AQ86+AQ93+AQ96+AQ99+AQ102+AQ108+AQ113+AQ116+AQ120+AQ125+AQ138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9">J15+J128</f>
        <v>977955.46</v>
      </c>
      <c r="K11" s="47">
        <f t="shared" si="9"/>
        <v>251829.19999999995</v>
      </c>
      <c r="L11" s="47">
        <f t="shared" si="9"/>
        <v>750480.15999999992</v>
      </c>
      <c r="M11" s="47">
        <f t="shared" si="9"/>
        <v>96658.23</v>
      </c>
      <c r="N11" s="47">
        <f t="shared" si="9"/>
        <v>83716.939999999988</v>
      </c>
      <c r="O11" s="47">
        <f t="shared" si="9"/>
        <v>78886.680000000008</v>
      </c>
      <c r="P11" s="47">
        <f t="shared" si="9"/>
        <v>164000</v>
      </c>
      <c r="Q11" s="47">
        <f t="shared" si="9"/>
        <v>0</v>
      </c>
      <c r="R11" s="47">
        <f t="shared" si="9"/>
        <v>384.71</v>
      </c>
      <c r="S11" s="47">
        <f t="shared" si="9"/>
        <v>384.71</v>
      </c>
      <c r="T11" s="47">
        <f t="shared" si="9"/>
        <v>0</v>
      </c>
      <c r="U11" s="47">
        <f t="shared" si="9"/>
        <v>0</v>
      </c>
      <c r="V11" s="47">
        <f t="shared" si="9"/>
        <v>0</v>
      </c>
      <c r="W11" s="47">
        <f t="shared" si="9"/>
        <v>0</v>
      </c>
      <c r="X11" s="47">
        <f t="shared" si="9"/>
        <v>0</v>
      </c>
      <c r="Y11" s="47">
        <f t="shared" si="9"/>
        <v>0</v>
      </c>
      <c r="Z11" s="96"/>
      <c r="AA11" s="47">
        <f t="shared" ref="AA11:AO11" si="10">AA15+AA128</f>
        <v>0</v>
      </c>
      <c r="AB11" s="47">
        <f t="shared" si="10"/>
        <v>66.33</v>
      </c>
      <c r="AC11" s="47">
        <f t="shared" si="10"/>
        <v>0</v>
      </c>
      <c r="AD11" s="47">
        <f t="shared" si="10"/>
        <v>0</v>
      </c>
      <c r="AE11" s="47">
        <f t="shared" si="10"/>
        <v>0</v>
      </c>
      <c r="AF11" s="47">
        <f t="shared" si="10"/>
        <v>0</v>
      </c>
      <c r="AG11" s="47">
        <f t="shared" si="10"/>
        <v>0</v>
      </c>
      <c r="AH11" s="47">
        <f t="shared" si="10"/>
        <v>0</v>
      </c>
      <c r="AI11" s="47">
        <f t="shared" si="10"/>
        <v>0</v>
      </c>
      <c r="AJ11" s="47">
        <f t="shared" si="10"/>
        <v>0</v>
      </c>
      <c r="AK11" s="47">
        <f t="shared" si="10"/>
        <v>164000</v>
      </c>
      <c r="AL11" s="47">
        <f t="shared" si="10"/>
        <v>164000</v>
      </c>
      <c r="AM11" s="47">
        <f t="shared" si="10"/>
        <v>0</v>
      </c>
      <c r="AN11" s="47">
        <f t="shared" si="10"/>
        <v>0</v>
      </c>
      <c r="AO11" s="47">
        <f t="shared" si="10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J16+J44+J52+J65+J79+J129</f>
        <v>236854.15</v>
      </c>
      <c r="K12" s="47">
        <f>K16+K65+K129</f>
        <v>0</v>
      </c>
      <c r="L12" s="47">
        <f t="shared" ref="L12:Y12" si="11">L16+L44+L52+L65+L79+L129</f>
        <v>230331.37</v>
      </c>
      <c r="M12" s="47">
        <f t="shared" si="11"/>
        <v>24568.73</v>
      </c>
      <c r="N12" s="47">
        <f t="shared" si="11"/>
        <v>46592.61</v>
      </c>
      <c r="O12" s="47">
        <f t="shared" si="11"/>
        <v>37695.869999999995</v>
      </c>
      <c r="P12" s="47">
        <f t="shared" si="11"/>
        <v>43488.07</v>
      </c>
      <c r="Q12" s="47">
        <f t="shared" si="11"/>
        <v>75</v>
      </c>
      <c r="R12" s="47">
        <f t="shared" si="11"/>
        <v>11372.53</v>
      </c>
      <c r="S12" s="47">
        <f t="shared" si="11"/>
        <v>11789.196</v>
      </c>
      <c r="T12" s="47">
        <f t="shared" si="11"/>
        <v>18085.953000000001</v>
      </c>
      <c r="U12" s="47">
        <f t="shared" si="11"/>
        <v>17840.733</v>
      </c>
      <c r="V12" s="47">
        <f t="shared" si="11"/>
        <v>2007.1869999999999</v>
      </c>
      <c r="W12" s="47">
        <f t="shared" si="11"/>
        <v>2047.0429999999999</v>
      </c>
      <c r="X12" s="47">
        <f t="shared" si="11"/>
        <v>0</v>
      </c>
      <c r="Y12" s="47">
        <f t="shared" si="11"/>
        <v>0</v>
      </c>
      <c r="Z12" s="96"/>
      <c r="AA12" s="47">
        <f t="shared" ref="AA12:AO12" si="12">AA16+AA44+AA52+AA65+AA79+AA129</f>
        <v>75</v>
      </c>
      <c r="AB12" s="47">
        <f t="shared" si="12"/>
        <v>40.5</v>
      </c>
      <c r="AC12" s="47">
        <f t="shared" si="12"/>
        <v>907.08299999999997</v>
      </c>
      <c r="AD12" s="47">
        <f t="shared" si="12"/>
        <v>3005.3339999999998</v>
      </c>
      <c r="AE12" s="47">
        <f t="shared" si="12"/>
        <v>0</v>
      </c>
      <c r="AF12" s="47">
        <f t="shared" si="12"/>
        <v>0</v>
      </c>
      <c r="AG12" s="47">
        <f t="shared" si="12"/>
        <v>0</v>
      </c>
      <c r="AH12" s="47">
        <f t="shared" si="12"/>
        <v>0</v>
      </c>
      <c r="AI12" s="47">
        <f t="shared" si="12"/>
        <v>0</v>
      </c>
      <c r="AJ12" s="47">
        <f t="shared" si="12"/>
        <v>0</v>
      </c>
      <c r="AK12" s="47">
        <f t="shared" si="12"/>
        <v>6072.3000000000011</v>
      </c>
      <c r="AL12" s="47">
        <f t="shared" si="12"/>
        <v>6072.3000000000011</v>
      </c>
      <c r="AM12" s="47" t="e">
        <f t="shared" si="12"/>
        <v>#DIV/0!</v>
      </c>
      <c r="AN12" s="47">
        <f t="shared" si="12"/>
        <v>0</v>
      </c>
      <c r="AO12" s="47">
        <f t="shared" si="12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13">J17+J66+J130+J45</f>
        <v>23417.360000000001</v>
      </c>
      <c r="K13" s="47">
        <f t="shared" si="13"/>
        <v>0</v>
      </c>
      <c r="L13" s="47">
        <f t="shared" si="13"/>
        <v>172003.82</v>
      </c>
      <c r="M13" s="47">
        <f t="shared" si="13"/>
        <v>135504.01</v>
      </c>
      <c r="N13" s="47">
        <f t="shared" si="13"/>
        <v>36499.81</v>
      </c>
      <c r="O13" s="47">
        <f t="shared" si="13"/>
        <v>0</v>
      </c>
      <c r="P13" s="47">
        <f t="shared" si="13"/>
        <v>0</v>
      </c>
      <c r="Q13" s="47">
        <f t="shared" si="13"/>
        <v>0</v>
      </c>
      <c r="R13" s="47">
        <f t="shared" si="13"/>
        <v>0</v>
      </c>
      <c r="S13" s="47">
        <f t="shared" si="13"/>
        <v>0</v>
      </c>
      <c r="T13" s="47">
        <f t="shared" si="13"/>
        <v>45904.665609999996</v>
      </c>
      <c r="U13" s="47">
        <f t="shared" si="13"/>
        <v>45904.665609999996</v>
      </c>
      <c r="V13" s="47">
        <f t="shared" si="13"/>
        <v>0</v>
      </c>
      <c r="W13" s="47">
        <f t="shared" si="13"/>
        <v>0</v>
      </c>
      <c r="X13" s="47">
        <f t="shared" si="13"/>
        <v>0</v>
      </c>
      <c r="Y13" s="47">
        <f t="shared" si="13"/>
        <v>0</v>
      </c>
      <c r="Z13" s="96"/>
      <c r="AA13" s="47">
        <f t="shared" ref="AA13:AO13" si="14">AA17+AA66+AA130+AA45</f>
        <v>0</v>
      </c>
      <c r="AB13" s="47">
        <f t="shared" si="14"/>
        <v>0</v>
      </c>
      <c r="AC13" s="47">
        <f t="shared" si="14"/>
        <v>7.2</v>
      </c>
      <c r="AD13" s="47">
        <f t="shared" si="14"/>
        <v>0</v>
      </c>
      <c r="AE13" s="47">
        <f t="shared" si="14"/>
        <v>0</v>
      </c>
      <c r="AF13" s="47">
        <f t="shared" si="14"/>
        <v>0</v>
      </c>
      <c r="AG13" s="47">
        <f t="shared" si="14"/>
        <v>0</v>
      </c>
      <c r="AH13" s="47">
        <f t="shared" si="14"/>
        <v>0</v>
      </c>
      <c r="AI13" s="47">
        <f t="shared" si="14"/>
        <v>0</v>
      </c>
      <c r="AJ13" s="47">
        <f t="shared" si="14"/>
        <v>0</v>
      </c>
      <c r="AK13" s="47">
        <f t="shared" si="14"/>
        <v>0</v>
      </c>
      <c r="AL13" s="47">
        <f t="shared" si="14"/>
        <v>0</v>
      </c>
      <c r="AM13" s="47">
        <f t="shared" si="14"/>
        <v>0</v>
      </c>
      <c r="AN13" s="47">
        <f t="shared" si="14"/>
        <v>0</v>
      </c>
      <c r="AO13" s="47">
        <f t="shared" si="14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15">J18+J67+J131</f>
        <v>702203.72</v>
      </c>
      <c r="K14" s="607">
        <f t="shared" si="15"/>
        <v>702203.72</v>
      </c>
      <c r="L14" s="607">
        <f t="shared" si="15"/>
        <v>789617.84</v>
      </c>
      <c r="M14" s="607">
        <f t="shared" si="15"/>
        <v>348941.19</v>
      </c>
      <c r="N14" s="607">
        <f t="shared" si="15"/>
        <v>196473.11</v>
      </c>
      <c r="O14" s="607">
        <f t="shared" si="15"/>
        <v>0</v>
      </c>
      <c r="P14" s="607">
        <f t="shared" si="15"/>
        <v>0</v>
      </c>
      <c r="Q14" s="607">
        <f t="shared" si="15"/>
        <v>0</v>
      </c>
      <c r="R14" s="607">
        <f t="shared" si="15"/>
        <v>37814.324000000001</v>
      </c>
      <c r="S14" s="607">
        <f t="shared" si="15"/>
        <v>37814.324000000001</v>
      </c>
      <c r="T14" s="607">
        <f t="shared" si="15"/>
        <v>0</v>
      </c>
      <c r="U14" s="607">
        <f t="shared" si="15"/>
        <v>0</v>
      </c>
      <c r="V14" s="607">
        <f t="shared" si="15"/>
        <v>0</v>
      </c>
      <c r="W14" s="607">
        <f t="shared" si="15"/>
        <v>0</v>
      </c>
      <c r="X14" s="607">
        <f t="shared" si="15"/>
        <v>0</v>
      </c>
      <c r="Y14" s="607">
        <f t="shared" si="15"/>
        <v>0</v>
      </c>
      <c r="Z14" s="674"/>
      <c r="AA14" s="607">
        <f t="shared" ref="AA14:AO14" si="16">AA18+AA67+AA131</f>
        <v>0</v>
      </c>
      <c r="AB14" s="607">
        <f t="shared" si="16"/>
        <v>0</v>
      </c>
      <c r="AC14" s="607">
        <f t="shared" si="16"/>
        <v>0</v>
      </c>
      <c r="AD14" s="607">
        <f t="shared" si="16"/>
        <v>0</v>
      </c>
      <c r="AE14" s="607">
        <f t="shared" si="16"/>
        <v>0</v>
      </c>
      <c r="AF14" s="607">
        <f t="shared" si="16"/>
        <v>0</v>
      </c>
      <c r="AG14" s="607">
        <f t="shared" si="16"/>
        <v>0</v>
      </c>
      <c r="AH14" s="607">
        <f t="shared" si="16"/>
        <v>0</v>
      </c>
      <c r="AI14" s="607">
        <f t="shared" si="16"/>
        <v>0</v>
      </c>
      <c r="AJ14" s="607">
        <f t="shared" si="16"/>
        <v>0</v>
      </c>
      <c r="AK14" s="607">
        <f t="shared" si="16"/>
        <v>0</v>
      </c>
      <c r="AL14" s="607">
        <f t="shared" si="16"/>
        <v>0</v>
      </c>
      <c r="AM14" s="607">
        <f t="shared" si="16"/>
        <v>0</v>
      </c>
      <c r="AN14" s="607">
        <f t="shared" si="16"/>
        <v>0</v>
      </c>
      <c r="AO14" s="607">
        <f t="shared" si="16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17">J20+J33+J36</f>
        <v>977955.46</v>
      </c>
      <c r="K15" s="47">
        <f t="shared" si="17"/>
        <v>251829.19999999995</v>
      </c>
      <c r="L15" s="47">
        <f t="shared" si="17"/>
        <v>750480.15999999992</v>
      </c>
      <c r="M15" s="47">
        <f t="shared" si="17"/>
        <v>96658.23</v>
      </c>
      <c r="N15" s="47">
        <f t="shared" si="17"/>
        <v>83716.939999999988</v>
      </c>
      <c r="O15" s="47">
        <f t="shared" si="17"/>
        <v>78886.680000000008</v>
      </c>
      <c r="P15" s="47">
        <f t="shared" si="17"/>
        <v>164000</v>
      </c>
      <c r="Q15" s="47">
        <f t="shared" si="17"/>
        <v>0</v>
      </c>
      <c r="R15" s="47">
        <f t="shared" si="17"/>
        <v>384.71</v>
      </c>
      <c r="S15" s="47">
        <f t="shared" si="17"/>
        <v>384.71</v>
      </c>
      <c r="T15" s="47">
        <f t="shared" si="17"/>
        <v>0</v>
      </c>
      <c r="U15" s="47">
        <f t="shared" si="17"/>
        <v>0</v>
      </c>
      <c r="V15" s="47">
        <f t="shared" si="17"/>
        <v>0</v>
      </c>
      <c r="W15" s="47">
        <f t="shared" si="17"/>
        <v>0</v>
      </c>
      <c r="X15" s="47">
        <f t="shared" si="17"/>
        <v>0</v>
      </c>
      <c r="Y15" s="47">
        <f t="shared" si="17"/>
        <v>0</v>
      </c>
      <c r="Z15" s="96"/>
      <c r="AA15" s="47">
        <f t="shared" ref="AA15:AO15" si="18">AA20+AA33+AA36</f>
        <v>0</v>
      </c>
      <c r="AB15" s="47">
        <f t="shared" si="18"/>
        <v>66.33</v>
      </c>
      <c r="AC15" s="47">
        <f t="shared" si="18"/>
        <v>0</v>
      </c>
      <c r="AD15" s="47">
        <f t="shared" si="18"/>
        <v>0</v>
      </c>
      <c r="AE15" s="47">
        <f t="shared" si="18"/>
        <v>0</v>
      </c>
      <c r="AF15" s="47">
        <f t="shared" si="18"/>
        <v>0</v>
      </c>
      <c r="AG15" s="47">
        <f t="shared" si="18"/>
        <v>0</v>
      </c>
      <c r="AH15" s="47">
        <f t="shared" si="18"/>
        <v>0</v>
      </c>
      <c r="AI15" s="47">
        <f t="shared" si="18"/>
        <v>0</v>
      </c>
      <c r="AJ15" s="47">
        <f t="shared" si="18"/>
        <v>0</v>
      </c>
      <c r="AK15" s="47">
        <f t="shared" si="18"/>
        <v>164000</v>
      </c>
      <c r="AL15" s="47">
        <f t="shared" si="18"/>
        <v>164000</v>
      </c>
      <c r="AM15" s="47">
        <f t="shared" si="18"/>
        <v>0</v>
      </c>
      <c r="AN15" s="47">
        <f t="shared" si="18"/>
        <v>0</v>
      </c>
      <c r="AO15" s="47">
        <f t="shared" si="18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19">R30</f>
        <v>0</v>
      </c>
      <c r="S17" s="47">
        <f t="shared" si="19"/>
        <v>0</v>
      </c>
      <c r="T17" s="47">
        <f t="shared" si="19"/>
        <v>45904.665609999996</v>
      </c>
      <c r="U17" s="47">
        <f>U30</f>
        <v>45904.665609999996</v>
      </c>
      <c r="V17" s="47">
        <f t="shared" si="19"/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  <c r="Z17" s="96"/>
      <c r="AA17" s="47">
        <f t="shared" si="19"/>
        <v>0</v>
      </c>
      <c r="AB17" s="47">
        <f t="shared" si="19"/>
        <v>0</v>
      </c>
      <c r="AC17" s="47">
        <f t="shared" si="19"/>
        <v>0</v>
      </c>
      <c r="AD17" s="47">
        <f t="shared" si="19"/>
        <v>0</v>
      </c>
      <c r="AE17" s="47">
        <f t="shared" si="19"/>
        <v>0</v>
      </c>
      <c r="AF17" s="47">
        <f t="shared" si="19"/>
        <v>0</v>
      </c>
      <c r="AG17" s="47">
        <f t="shared" si="19"/>
        <v>0</v>
      </c>
      <c r="AH17" s="47">
        <f t="shared" si="19"/>
        <v>0</v>
      </c>
      <c r="AI17" s="47">
        <f t="shared" si="19"/>
        <v>0</v>
      </c>
      <c r="AJ17" s="47">
        <f t="shared" si="19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0">J28</f>
        <v>702203.72</v>
      </c>
      <c r="K18" s="47">
        <f t="shared" si="20"/>
        <v>702203.72</v>
      </c>
      <c r="L18" s="47">
        <f t="shared" si="20"/>
        <v>789617.84</v>
      </c>
      <c r="M18" s="47">
        <f t="shared" si="20"/>
        <v>348941.19</v>
      </c>
      <c r="N18" s="47">
        <f t="shared" si="20"/>
        <v>196473.11</v>
      </c>
      <c r="O18" s="47">
        <f t="shared" si="20"/>
        <v>0</v>
      </c>
      <c r="P18" s="47">
        <f t="shared" si="20"/>
        <v>0</v>
      </c>
      <c r="Q18" s="47">
        <f t="shared" si="20"/>
        <v>0</v>
      </c>
      <c r="R18" s="47">
        <f t="shared" si="20"/>
        <v>37814.324000000001</v>
      </c>
      <c r="S18" s="47">
        <f t="shared" si="20"/>
        <v>37814.324000000001</v>
      </c>
      <c r="T18" s="47">
        <f t="shared" si="20"/>
        <v>0</v>
      </c>
      <c r="U18" s="47">
        <f t="shared" si="20"/>
        <v>0</v>
      </c>
      <c r="V18" s="47">
        <f t="shared" si="20"/>
        <v>0</v>
      </c>
      <c r="W18" s="47">
        <f t="shared" si="20"/>
        <v>0</v>
      </c>
      <c r="X18" s="47">
        <f t="shared" si="20"/>
        <v>0</v>
      </c>
      <c r="Y18" s="47">
        <f t="shared" si="20"/>
        <v>0</v>
      </c>
      <c r="Z18" s="96"/>
      <c r="AA18" s="47">
        <f t="shared" si="20"/>
        <v>0</v>
      </c>
      <c r="AB18" s="47">
        <f t="shared" si="20"/>
        <v>0</v>
      </c>
      <c r="AC18" s="47">
        <f t="shared" si="20"/>
        <v>0</v>
      </c>
      <c r="AD18" s="47">
        <f t="shared" si="20"/>
        <v>0</v>
      </c>
      <c r="AE18" s="47">
        <f t="shared" si="20"/>
        <v>0</v>
      </c>
      <c r="AF18" s="47">
        <f t="shared" si="20"/>
        <v>0</v>
      </c>
      <c r="AG18" s="47">
        <f t="shared" si="20"/>
        <v>0</v>
      </c>
      <c r="AH18" s="47">
        <f t="shared" si="20"/>
        <v>0</v>
      </c>
      <c r="AI18" s="47">
        <f t="shared" si="20"/>
        <v>0</v>
      </c>
      <c r="AJ18" s="47">
        <f t="shared" si="20"/>
        <v>0</v>
      </c>
      <c r="AK18" s="47">
        <f t="shared" si="20"/>
        <v>0</v>
      </c>
      <c r="AL18" s="47">
        <f t="shared" si="20"/>
        <v>0</v>
      </c>
      <c r="AM18" s="47">
        <f t="shared" si="20"/>
        <v>0</v>
      </c>
      <c r="AN18" s="47">
        <f t="shared" si="20"/>
        <v>0</v>
      </c>
      <c r="AO18" s="47">
        <f t="shared" si="20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1">L20+L28+L30</f>
        <v>1083165.3899999999</v>
      </c>
      <c r="M19" s="318">
        <f t="shared" si="21"/>
        <v>560860.31000000006</v>
      </c>
      <c r="N19" s="318">
        <f t="shared" si="21"/>
        <v>232972.91999999998</v>
      </c>
      <c r="O19" s="318">
        <f t="shared" si="21"/>
        <v>0</v>
      </c>
      <c r="P19" s="318">
        <f t="shared" si="21"/>
        <v>0</v>
      </c>
      <c r="Q19" s="318">
        <f>Q20+Q28+Q30</f>
        <v>0</v>
      </c>
      <c r="R19" s="318">
        <f t="shared" ref="R19:X19" si="22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2"/>
        <v>0</v>
      </c>
      <c r="W19" s="318">
        <f t="shared" si="22"/>
        <v>0</v>
      </c>
      <c r="X19" s="318">
        <f t="shared" si="22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23">AB20+AB28</f>
        <v>66.33</v>
      </c>
      <c r="AC19" s="318">
        <f t="shared" si="23"/>
        <v>0</v>
      </c>
      <c r="AD19" s="318">
        <f t="shared" si="23"/>
        <v>0</v>
      </c>
      <c r="AE19" s="318">
        <f t="shared" si="23"/>
        <v>0</v>
      </c>
      <c r="AF19" s="318">
        <f t="shared" si="23"/>
        <v>0</v>
      </c>
      <c r="AG19" s="318">
        <f t="shared" si="23"/>
        <v>0</v>
      </c>
      <c r="AH19" s="318">
        <f t="shared" si="23"/>
        <v>0</v>
      </c>
      <c r="AI19" s="318">
        <f t="shared" si="23"/>
        <v>0</v>
      </c>
      <c r="AJ19" s="318">
        <f t="shared" si="23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128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24">SUM(R21:R27)</f>
        <v>384.71</v>
      </c>
      <c r="S20" s="47">
        <f t="shared" si="24"/>
        <v>384.71</v>
      </c>
      <c r="T20" s="47">
        <f t="shared" si="24"/>
        <v>0</v>
      </c>
      <c r="U20" s="47">
        <f t="shared" si="24"/>
        <v>0</v>
      </c>
      <c r="V20" s="47">
        <f t="shared" si="24"/>
        <v>0</v>
      </c>
      <c r="W20" s="47">
        <f>SUM(W21:W27)</f>
        <v>0</v>
      </c>
      <c r="X20" s="47">
        <f t="shared" si="24"/>
        <v>0</v>
      </c>
      <c r="Y20" s="47">
        <f t="shared" si="24"/>
        <v>0</v>
      </c>
      <c r="Z20" s="96"/>
      <c r="AA20" s="47">
        <f t="shared" ref="AA20:AJ20" si="25">SUM(AA21:AA27)</f>
        <v>0</v>
      </c>
      <c r="AB20" s="47">
        <f t="shared" si="25"/>
        <v>66.33</v>
      </c>
      <c r="AC20" s="47">
        <f t="shared" si="25"/>
        <v>0</v>
      </c>
      <c r="AD20" s="47">
        <f t="shared" si="25"/>
        <v>0</v>
      </c>
      <c r="AE20" s="47">
        <f t="shared" si="25"/>
        <v>0</v>
      </c>
      <c r="AF20" s="47">
        <f t="shared" si="25"/>
        <v>0</v>
      </c>
      <c r="AG20" s="47">
        <f t="shared" si="25"/>
        <v>0</v>
      </c>
      <c r="AH20" s="47">
        <f t="shared" si="25"/>
        <v>0</v>
      </c>
      <c r="AI20" s="47">
        <f t="shared" si="25"/>
        <v>0</v>
      </c>
      <c r="AJ20" s="47">
        <f t="shared" si="25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26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26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26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27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26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27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26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27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26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27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26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1104"/>
      <c r="D28" s="1104"/>
      <c r="E28" s="1104"/>
      <c r="F28" s="1143"/>
      <c r="G28" s="1104"/>
      <c r="H28" s="1104"/>
      <c r="I28" s="23" t="s">
        <v>9</v>
      </c>
      <c r="J28" s="1147">
        <f>K28</f>
        <v>702203.72</v>
      </c>
      <c r="K28" s="1147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28">SUM(T29:T29)</f>
        <v>0</v>
      </c>
      <c r="U28" s="71">
        <f t="shared" si="28"/>
        <v>0</v>
      </c>
      <c r="V28" s="71">
        <f t="shared" si="28"/>
        <v>0</v>
      </c>
      <c r="W28" s="71">
        <f t="shared" si="28"/>
        <v>0</v>
      </c>
      <c r="X28" s="71">
        <v>0</v>
      </c>
      <c r="Y28" s="71">
        <f t="shared" si="28"/>
        <v>0</v>
      </c>
      <c r="Z28" s="100"/>
      <c r="AA28" s="71">
        <f t="shared" si="28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28"/>
        <v>0</v>
      </c>
      <c r="AG28" s="71">
        <f t="shared" si="28"/>
        <v>0</v>
      </c>
      <c r="AH28" s="71">
        <f t="shared" si="28"/>
        <v>0</v>
      </c>
      <c r="AI28" s="71">
        <f t="shared" si="28"/>
        <v>0</v>
      </c>
      <c r="AJ28" s="71">
        <f t="shared" si="28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140"/>
      <c r="B30" s="801"/>
      <c r="C30" s="1104"/>
      <c r="D30" s="1104"/>
      <c r="E30" s="1104"/>
      <c r="F30" s="1143"/>
      <c r="G30" s="1104"/>
      <c r="H30" s="1104"/>
      <c r="I30" s="1120" t="s">
        <v>10</v>
      </c>
      <c r="J30" s="1141"/>
      <c r="K30" s="1141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29">SUM(R31:R32)</f>
        <v>0</v>
      </c>
      <c r="S30" s="47">
        <f t="shared" si="29"/>
        <v>0</v>
      </c>
      <c r="T30" s="47">
        <f t="shared" si="29"/>
        <v>45904.665609999996</v>
      </c>
      <c r="U30" s="47">
        <f t="shared" si="29"/>
        <v>45904.665609999996</v>
      </c>
      <c r="V30" s="47">
        <f t="shared" si="29"/>
        <v>0</v>
      </c>
      <c r="W30" s="47">
        <f t="shared" si="29"/>
        <v>0</v>
      </c>
      <c r="X30" s="47">
        <v>0</v>
      </c>
      <c r="Y30" s="47">
        <f t="shared" si="29"/>
        <v>0</v>
      </c>
      <c r="Z30" s="96"/>
      <c r="AA30" s="47">
        <f t="shared" si="29"/>
        <v>0</v>
      </c>
      <c r="AB30" s="47">
        <f t="shared" si="29"/>
        <v>0</v>
      </c>
      <c r="AC30" s="47">
        <f t="shared" si="29"/>
        <v>0</v>
      </c>
      <c r="AD30" s="47">
        <f t="shared" si="29"/>
        <v>0</v>
      </c>
      <c r="AE30" s="47">
        <f t="shared" si="29"/>
        <v>0</v>
      </c>
      <c r="AF30" s="47">
        <f t="shared" si="29"/>
        <v>0</v>
      </c>
      <c r="AG30" s="47">
        <f t="shared" si="29"/>
        <v>0</v>
      </c>
      <c r="AH30" s="47">
        <f t="shared" si="29"/>
        <v>0</v>
      </c>
      <c r="AI30" s="47">
        <f t="shared" si="29"/>
        <v>0</v>
      </c>
      <c r="AJ30" s="47">
        <f t="shared" si="29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140"/>
      <c r="B31" s="37" t="s">
        <v>219</v>
      </c>
      <c r="C31" s="1104"/>
      <c r="D31" s="1104"/>
      <c r="E31" s="1104"/>
      <c r="F31" s="1143"/>
      <c r="G31" s="1104"/>
      <c r="H31" s="1104"/>
      <c r="I31" s="1120"/>
      <c r="J31" s="1141"/>
      <c r="K31" s="1141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140"/>
      <c r="B32" s="37" t="s">
        <v>220</v>
      </c>
      <c r="C32" s="1104"/>
      <c r="D32" s="1104"/>
      <c r="E32" s="1104"/>
      <c r="F32" s="1143"/>
      <c r="G32" s="1104"/>
      <c r="H32" s="1104"/>
      <c r="I32" s="1120"/>
      <c r="J32" s="1141"/>
      <c r="K32" s="1141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0">Q35</f>
        <v>0</v>
      </c>
      <c r="R33" s="70">
        <f t="shared" si="30"/>
        <v>0</v>
      </c>
      <c r="S33" s="70">
        <f t="shared" si="30"/>
        <v>0</v>
      </c>
      <c r="T33" s="70">
        <f t="shared" si="30"/>
        <v>0</v>
      </c>
      <c r="U33" s="70">
        <f t="shared" si="30"/>
        <v>0</v>
      </c>
      <c r="V33" s="70">
        <f t="shared" si="30"/>
        <v>0</v>
      </c>
      <c r="W33" s="70">
        <f t="shared" si="30"/>
        <v>0</v>
      </c>
      <c r="X33" s="70">
        <f t="shared" si="30"/>
        <v>0</v>
      </c>
      <c r="Y33" s="70">
        <f t="shared" si="30"/>
        <v>0</v>
      </c>
      <c r="Z33" s="679">
        <v>0</v>
      </c>
      <c r="AA33" s="70">
        <f t="shared" si="30"/>
        <v>0</v>
      </c>
      <c r="AB33" s="70">
        <f t="shared" si="30"/>
        <v>0</v>
      </c>
      <c r="AC33" s="70">
        <f t="shared" si="30"/>
        <v>0</v>
      </c>
      <c r="AD33" s="70">
        <f t="shared" si="30"/>
        <v>0</v>
      </c>
      <c r="AE33" s="70">
        <f t="shared" si="30"/>
        <v>0</v>
      </c>
      <c r="AF33" s="70">
        <f t="shared" si="30"/>
        <v>0</v>
      </c>
      <c r="AG33" s="70">
        <f t="shared" si="30"/>
        <v>0</v>
      </c>
      <c r="AH33" s="70">
        <f t="shared" si="30"/>
        <v>0</v>
      </c>
      <c r="AI33" s="70">
        <f t="shared" si="30"/>
        <v>0</v>
      </c>
      <c r="AJ33" s="70">
        <f t="shared" si="30"/>
        <v>0</v>
      </c>
      <c r="AK33" s="3">
        <f>P33-Q33</f>
        <v>74000</v>
      </c>
      <c r="AL33" s="3">
        <f>AK33</f>
        <v>74000</v>
      </c>
      <c r="AM33" s="70">
        <f t="shared" si="30"/>
        <v>0</v>
      </c>
      <c r="AN33" s="70">
        <f t="shared" si="30"/>
        <v>0</v>
      </c>
      <c r="AO33" s="70">
        <f t="shared" si="30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126"/>
      <c r="H34" s="1126"/>
      <c r="I34" s="1327"/>
      <c r="J34" s="1628"/>
      <c r="K34" s="1628"/>
      <c r="L34" s="1139">
        <v>10164.5</v>
      </c>
      <c r="M34" s="1139">
        <v>0</v>
      </c>
      <c r="N34" s="1139">
        <v>4946.26</v>
      </c>
      <c r="O34" s="1139">
        <v>0</v>
      </c>
      <c r="P34" s="1139">
        <v>0</v>
      </c>
      <c r="Q34" s="1139">
        <v>0</v>
      </c>
      <c r="R34" s="1139">
        <v>0</v>
      </c>
      <c r="S34" s="1139">
        <v>0</v>
      </c>
      <c r="T34" s="1139">
        <v>0</v>
      </c>
      <c r="U34" s="1139">
        <v>0</v>
      </c>
      <c r="V34" s="1139">
        <v>0</v>
      </c>
      <c r="W34" s="1139">
        <v>0</v>
      </c>
      <c r="X34" s="1139">
        <v>0</v>
      </c>
      <c r="Y34" s="1139">
        <v>0</v>
      </c>
      <c r="Z34" s="258"/>
      <c r="AA34" s="1139">
        <v>0</v>
      </c>
      <c r="AB34" s="1139">
        <v>0</v>
      </c>
      <c r="AC34" s="1139">
        <v>0</v>
      </c>
      <c r="AD34" s="1139">
        <v>0</v>
      </c>
      <c r="AE34" s="1139">
        <v>0</v>
      </c>
      <c r="AF34" s="1139">
        <v>0</v>
      </c>
      <c r="AG34" s="1139">
        <v>0</v>
      </c>
      <c r="AH34" s="1139">
        <v>0</v>
      </c>
      <c r="AI34" s="1139">
        <v>0</v>
      </c>
      <c r="AJ34" s="1139">
        <v>0</v>
      </c>
      <c r="AK34" s="288">
        <v>0</v>
      </c>
      <c r="AL34" s="288">
        <v>0</v>
      </c>
      <c r="AM34" s="1139">
        <v>0</v>
      </c>
      <c r="AN34" s="1139">
        <v>0</v>
      </c>
      <c r="AO34" s="1139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126">
        <v>2020</v>
      </c>
      <c r="H35" s="1126">
        <v>2021</v>
      </c>
      <c r="I35" s="1328"/>
      <c r="J35" s="1629"/>
      <c r="K35" s="1629"/>
      <c r="L35" s="1139">
        <v>250336.75</v>
      </c>
      <c r="M35" s="1139">
        <v>0</v>
      </c>
      <c r="N35" s="1139">
        <v>64997.45</v>
      </c>
      <c r="O35" s="1139">
        <v>69943.710000000006</v>
      </c>
      <c r="P35" s="1139">
        <v>74000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39">
        <v>0</v>
      </c>
      <c r="Y35" s="1139">
        <v>0</v>
      </c>
      <c r="Z35" s="258"/>
      <c r="AA35" s="1139">
        <v>0</v>
      </c>
      <c r="AB35" s="1139">
        <v>0</v>
      </c>
      <c r="AC35" s="1139">
        <v>0</v>
      </c>
      <c r="AD35" s="1139">
        <v>0</v>
      </c>
      <c r="AE35" s="1139">
        <v>0</v>
      </c>
      <c r="AF35" s="1139">
        <v>0</v>
      </c>
      <c r="AG35" s="1139">
        <v>0</v>
      </c>
      <c r="AH35" s="1139">
        <v>0</v>
      </c>
      <c r="AI35" s="1139">
        <v>0</v>
      </c>
      <c r="AJ35" s="1139">
        <v>0</v>
      </c>
      <c r="AK35" s="1139">
        <v>0</v>
      </c>
      <c r="AL35" s="1139">
        <v>0</v>
      </c>
      <c r="AM35" s="1139">
        <v>0</v>
      </c>
      <c r="AN35" s="1139">
        <v>0</v>
      </c>
      <c r="AO35" s="1139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1">M37+M39</f>
        <v>20243.12</v>
      </c>
      <c r="N36" s="318">
        <f t="shared" si="31"/>
        <v>13773.23</v>
      </c>
      <c r="O36" s="318">
        <f t="shared" si="31"/>
        <v>8942.9699999999993</v>
      </c>
      <c r="P36" s="318">
        <f t="shared" si="31"/>
        <v>90000</v>
      </c>
      <c r="Q36" s="318">
        <f t="shared" si="31"/>
        <v>0</v>
      </c>
      <c r="R36" s="318">
        <f t="shared" si="31"/>
        <v>0</v>
      </c>
      <c r="S36" s="318">
        <f t="shared" si="31"/>
        <v>0</v>
      </c>
      <c r="T36" s="318">
        <f t="shared" si="31"/>
        <v>0</v>
      </c>
      <c r="U36" s="318">
        <f t="shared" si="31"/>
        <v>0</v>
      </c>
      <c r="V36" s="318">
        <f t="shared" si="31"/>
        <v>0</v>
      </c>
      <c r="W36" s="318">
        <f t="shared" si="31"/>
        <v>0</v>
      </c>
      <c r="X36" s="318">
        <f t="shared" si="31"/>
        <v>0</v>
      </c>
      <c r="Y36" s="318">
        <f t="shared" si="31"/>
        <v>0</v>
      </c>
      <c r="Z36" s="372">
        <v>0</v>
      </c>
      <c r="AA36" s="318">
        <f t="shared" si="31"/>
        <v>0</v>
      </c>
      <c r="AB36" s="318">
        <f t="shared" si="31"/>
        <v>0</v>
      </c>
      <c r="AC36" s="318">
        <f t="shared" si="31"/>
        <v>0</v>
      </c>
      <c r="AD36" s="318">
        <f t="shared" si="31"/>
        <v>0</v>
      </c>
      <c r="AE36" s="318">
        <f t="shared" si="31"/>
        <v>0</v>
      </c>
      <c r="AF36" s="318">
        <f t="shared" si="31"/>
        <v>0</v>
      </c>
      <c r="AG36" s="318">
        <f t="shared" si="31"/>
        <v>0</v>
      </c>
      <c r="AH36" s="318">
        <f t="shared" si="31"/>
        <v>0</v>
      </c>
      <c r="AI36" s="318">
        <f t="shared" si="31"/>
        <v>0</v>
      </c>
      <c r="AJ36" s="318">
        <f t="shared" si="31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1"/>
        <v>0</v>
      </c>
      <c r="AO36" s="318">
        <f t="shared" si="31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126">
        <v>2019</v>
      </c>
      <c r="H37" s="1126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113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126">
        <v>2020</v>
      </c>
      <c r="H39" s="1126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110"/>
      <c r="J40" s="3"/>
      <c r="K40" s="1117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2">SUM(R41:R42)</f>
        <v>0</v>
      </c>
      <c r="S40" s="318">
        <f t="shared" si="32"/>
        <v>0</v>
      </c>
      <c r="T40" s="318">
        <f t="shared" si="32"/>
        <v>0</v>
      </c>
      <c r="U40" s="318">
        <f t="shared" si="32"/>
        <v>0</v>
      </c>
      <c r="V40" s="318">
        <f t="shared" si="32"/>
        <v>0</v>
      </c>
      <c r="W40" s="318">
        <f t="shared" si="32"/>
        <v>0</v>
      </c>
      <c r="X40" s="318">
        <f t="shared" si="32"/>
        <v>0</v>
      </c>
      <c r="Y40" s="318">
        <f t="shared" si="32"/>
        <v>0</v>
      </c>
      <c r="Z40" s="318">
        <f t="shared" si="32"/>
        <v>0</v>
      </c>
      <c r="AA40" s="318">
        <f t="shared" si="32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140"/>
      <c r="B41" s="42" t="s">
        <v>15</v>
      </c>
      <c r="C41" s="768"/>
      <c r="D41" s="768"/>
      <c r="E41" s="768"/>
      <c r="F41" s="769"/>
      <c r="G41" s="335"/>
      <c r="H41" s="770"/>
      <c r="I41" s="1105"/>
      <c r="J41" s="47"/>
      <c r="K41" s="1139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113"/>
      <c r="AQ41" s="268"/>
    </row>
    <row r="42" spans="1:43" ht="15" customHeight="1" x14ac:dyDescent="0.25">
      <c r="A42" s="1140"/>
      <c r="B42" s="42" t="s">
        <v>16</v>
      </c>
      <c r="C42" s="768"/>
      <c r="D42" s="768"/>
      <c r="E42" s="768"/>
      <c r="F42" s="769"/>
      <c r="G42" s="335"/>
      <c r="H42" s="770"/>
      <c r="I42" s="1105"/>
      <c r="J42" s="47"/>
      <c r="K42" s="1139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113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113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33">M47</f>
        <v>0</v>
      </c>
      <c r="N44" s="47">
        <f t="shared" si="33"/>
        <v>0</v>
      </c>
      <c r="O44" s="47">
        <f t="shared" si="33"/>
        <v>0</v>
      </c>
      <c r="P44" s="47">
        <f t="shared" si="33"/>
        <v>0</v>
      </c>
      <c r="Q44" s="47">
        <f t="shared" si="33"/>
        <v>0</v>
      </c>
      <c r="R44" s="47">
        <f t="shared" si="33"/>
        <v>0</v>
      </c>
      <c r="S44" s="47">
        <f t="shared" si="33"/>
        <v>0</v>
      </c>
      <c r="T44" s="47">
        <f t="shared" si="33"/>
        <v>0</v>
      </c>
      <c r="U44" s="47">
        <f t="shared" si="33"/>
        <v>7.2</v>
      </c>
      <c r="V44" s="47">
        <f t="shared" si="33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113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34">J47</f>
        <v>23417.360000000001</v>
      </c>
      <c r="K45" s="47">
        <f t="shared" si="34"/>
        <v>0</v>
      </c>
      <c r="L45" s="47">
        <v>0</v>
      </c>
      <c r="M45" s="4">
        <f t="shared" si="34"/>
        <v>0</v>
      </c>
      <c r="N45" s="4">
        <f t="shared" si="34"/>
        <v>0</v>
      </c>
      <c r="O45" s="4">
        <f t="shared" si="34"/>
        <v>0</v>
      </c>
      <c r="P45" s="4">
        <v>0</v>
      </c>
      <c r="Q45" s="4">
        <v>0</v>
      </c>
      <c r="R45" s="4">
        <f t="shared" si="34"/>
        <v>0</v>
      </c>
      <c r="S45" s="4">
        <f t="shared" si="34"/>
        <v>0</v>
      </c>
      <c r="T45" s="4">
        <f t="shared" si="34"/>
        <v>0</v>
      </c>
      <c r="U45" s="4">
        <v>0</v>
      </c>
      <c r="V45" s="4">
        <f t="shared" si="34"/>
        <v>0</v>
      </c>
      <c r="W45" s="4">
        <f t="shared" si="34"/>
        <v>0</v>
      </c>
      <c r="X45" s="4">
        <f t="shared" si="34"/>
        <v>0</v>
      </c>
      <c r="Y45" s="4">
        <f t="shared" si="34"/>
        <v>0</v>
      </c>
      <c r="Z45" s="268"/>
      <c r="AA45" s="4">
        <f t="shared" si="34"/>
        <v>0</v>
      </c>
      <c r="AB45" s="4">
        <f t="shared" si="34"/>
        <v>0</v>
      </c>
      <c r="AC45" s="4">
        <f t="shared" si="34"/>
        <v>7.2</v>
      </c>
      <c r="AD45" s="4">
        <f t="shared" si="34"/>
        <v>0</v>
      </c>
      <c r="AE45" s="4">
        <f t="shared" si="34"/>
        <v>0</v>
      </c>
      <c r="AF45" s="4">
        <f t="shared" si="34"/>
        <v>0</v>
      </c>
      <c r="AG45" s="4">
        <f t="shared" si="34"/>
        <v>0</v>
      </c>
      <c r="AH45" s="4">
        <f t="shared" si="34"/>
        <v>0</v>
      </c>
      <c r="AI45" s="4">
        <f t="shared" si="34"/>
        <v>0</v>
      </c>
      <c r="AJ45" s="4">
        <f t="shared" si="34"/>
        <v>0</v>
      </c>
      <c r="AK45" s="4">
        <f t="shared" si="34"/>
        <v>0</v>
      </c>
      <c r="AL45" s="4">
        <f t="shared" si="34"/>
        <v>0</v>
      </c>
      <c r="AM45" s="4">
        <f t="shared" si="34"/>
        <v>0</v>
      </c>
      <c r="AN45" s="4">
        <f t="shared" si="34"/>
        <v>0</v>
      </c>
      <c r="AO45" s="4">
        <f t="shared" si="34"/>
        <v>0</v>
      </c>
      <c r="AP45" s="1113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113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127">
        <v>900</v>
      </c>
      <c r="D47" s="35">
        <v>28000</v>
      </c>
      <c r="E47" s="1127"/>
      <c r="F47" s="1112"/>
      <c r="G47" s="1109"/>
      <c r="H47" s="1109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35">R48+R51</f>
        <v>0</v>
      </c>
      <c r="S47" s="70">
        <f t="shared" si="35"/>
        <v>0</v>
      </c>
      <c r="T47" s="70">
        <f t="shared" si="35"/>
        <v>0</v>
      </c>
      <c r="U47" s="70">
        <f t="shared" si="35"/>
        <v>7.2</v>
      </c>
      <c r="V47" s="70">
        <f t="shared" si="35"/>
        <v>0</v>
      </c>
      <c r="W47" s="70">
        <f t="shared" si="35"/>
        <v>0</v>
      </c>
      <c r="X47" s="70">
        <f t="shared" si="35"/>
        <v>0</v>
      </c>
      <c r="Y47" s="70">
        <f t="shared" si="35"/>
        <v>0</v>
      </c>
      <c r="Z47" s="679">
        <v>0</v>
      </c>
      <c r="AA47" s="70">
        <v>0</v>
      </c>
      <c r="AB47" s="70">
        <f t="shared" si="35"/>
        <v>0</v>
      </c>
      <c r="AC47" s="70">
        <f t="shared" si="35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128" t="s">
        <v>15</v>
      </c>
      <c r="C48" s="1122"/>
      <c r="D48" s="577"/>
      <c r="E48" s="1122"/>
      <c r="F48" s="1156"/>
      <c r="G48" s="1103"/>
      <c r="H48" s="1103"/>
      <c r="I48" s="1448"/>
      <c r="J48" s="1628"/>
      <c r="K48" s="1628"/>
      <c r="L48" s="1139">
        <v>521.89</v>
      </c>
      <c r="M48" s="1139"/>
      <c r="N48" s="1139">
        <v>0</v>
      </c>
      <c r="O48" s="1146"/>
      <c r="P48" s="1139">
        <v>0</v>
      </c>
      <c r="Q48" s="1139">
        <v>0</v>
      </c>
      <c r="R48" s="1139">
        <f t="shared" ref="R48:Z48" si="36">R49+R50</f>
        <v>0</v>
      </c>
      <c r="S48" s="1139">
        <f t="shared" si="36"/>
        <v>0</v>
      </c>
      <c r="T48" s="1139">
        <f t="shared" si="36"/>
        <v>0</v>
      </c>
      <c r="U48" s="1139">
        <f t="shared" si="36"/>
        <v>7.2</v>
      </c>
      <c r="V48" s="1139">
        <f t="shared" si="36"/>
        <v>0</v>
      </c>
      <c r="W48" s="1139">
        <f t="shared" si="36"/>
        <v>0</v>
      </c>
      <c r="X48" s="1139">
        <f t="shared" si="36"/>
        <v>0</v>
      </c>
      <c r="Y48" s="1139">
        <f t="shared" si="36"/>
        <v>0</v>
      </c>
      <c r="Z48" s="1139">
        <f t="shared" si="36"/>
        <v>0</v>
      </c>
      <c r="AA48" s="1139">
        <v>0</v>
      </c>
      <c r="AB48" s="1139">
        <f t="shared" ref="AB48:AC48" si="37">AB49</f>
        <v>0</v>
      </c>
      <c r="AC48" s="1139">
        <f t="shared" si="37"/>
        <v>7.2</v>
      </c>
      <c r="AD48" s="1139"/>
      <c r="AE48" s="1139"/>
      <c r="AF48" s="1139"/>
      <c r="AG48" s="1139"/>
      <c r="AH48" s="1139"/>
      <c r="AI48" s="1139"/>
      <c r="AJ48" s="1139"/>
      <c r="AK48" s="288"/>
      <c r="AL48" s="288"/>
      <c r="AM48" s="1139"/>
      <c r="AN48" s="1139"/>
      <c r="AO48" s="1139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128" t="s">
        <v>16</v>
      </c>
      <c r="C51" s="1122"/>
      <c r="D51" s="1122"/>
      <c r="E51" s="1122"/>
      <c r="F51" s="1156"/>
      <c r="G51" s="1103">
        <v>2020</v>
      </c>
      <c r="H51" s="1103">
        <v>2020</v>
      </c>
      <c r="I51" s="1449"/>
      <c r="J51" s="1629"/>
      <c r="K51" s="1629"/>
      <c r="L51" s="1139">
        <v>4152.18</v>
      </c>
      <c r="M51" s="1139">
        <v>0</v>
      </c>
      <c r="N51" s="1139">
        <v>0</v>
      </c>
      <c r="O51" s="1139">
        <v>0</v>
      </c>
      <c r="P51" s="1139">
        <v>0</v>
      </c>
      <c r="Q51" s="1139">
        <v>0</v>
      </c>
      <c r="R51" s="1139">
        <v>0</v>
      </c>
      <c r="S51" s="1139">
        <v>0</v>
      </c>
      <c r="T51" s="1139">
        <v>0</v>
      </c>
      <c r="U51" s="1139">
        <v>0</v>
      </c>
      <c r="V51" s="1139">
        <v>0</v>
      </c>
      <c r="W51" s="1139">
        <v>0</v>
      </c>
      <c r="X51" s="1139">
        <v>0</v>
      </c>
      <c r="Y51" s="1139">
        <v>0</v>
      </c>
      <c r="Z51" s="258"/>
      <c r="AA51" s="1139">
        <v>0</v>
      </c>
      <c r="AB51" s="1139">
        <v>0</v>
      </c>
      <c r="AC51" s="1139">
        <v>0</v>
      </c>
      <c r="AD51" s="1139">
        <v>0</v>
      </c>
      <c r="AE51" s="1139">
        <v>0</v>
      </c>
      <c r="AF51" s="1139">
        <v>0</v>
      </c>
      <c r="AG51" s="1139">
        <f t="shared" ref="AG51:AJ52" si="38">AG54+AG57</f>
        <v>0</v>
      </c>
      <c r="AH51" s="1139">
        <f t="shared" si="38"/>
        <v>0</v>
      </c>
      <c r="AI51" s="1139">
        <f t="shared" si="38"/>
        <v>0</v>
      </c>
      <c r="AJ51" s="1139">
        <f t="shared" si="38"/>
        <v>0</v>
      </c>
      <c r="AK51" s="1139">
        <v>0</v>
      </c>
      <c r="AL51" s="1139">
        <v>0</v>
      </c>
      <c r="AM51" s="1139">
        <v>0</v>
      </c>
      <c r="AN51" s="1139">
        <v>0</v>
      </c>
      <c r="AO51" s="1139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142">
        <f>L52</f>
        <v>924.64</v>
      </c>
      <c r="K52" s="1142">
        <v>0</v>
      </c>
      <c r="L52" s="1139">
        <f>L58</f>
        <v>924.64</v>
      </c>
      <c r="M52" s="1139">
        <f t="shared" ref="M52:AO52" si="39">M55+M58</f>
        <v>0</v>
      </c>
      <c r="N52" s="1139">
        <f t="shared" si="39"/>
        <v>0</v>
      </c>
      <c r="O52" s="1139">
        <f t="shared" si="39"/>
        <v>0</v>
      </c>
      <c r="P52" s="1139">
        <f t="shared" si="39"/>
        <v>725.37</v>
      </c>
      <c r="Q52" s="1139">
        <f t="shared" si="39"/>
        <v>0</v>
      </c>
      <c r="R52" s="1139">
        <f t="shared" si="39"/>
        <v>0</v>
      </c>
      <c r="S52" s="1139">
        <f t="shared" si="39"/>
        <v>0</v>
      </c>
      <c r="T52" s="1139">
        <f t="shared" si="39"/>
        <v>0</v>
      </c>
      <c r="U52" s="1139">
        <f t="shared" si="39"/>
        <v>0</v>
      </c>
      <c r="V52" s="1139">
        <f t="shared" si="39"/>
        <v>131</v>
      </c>
      <c r="W52" s="1139">
        <f t="shared" si="39"/>
        <v>131</v>
      </c>
      <c r="X52" s="1139">
        <f t="shared" si="39"/>
        <v>0</v>
      </c>
      <c r="Y52" s="1139">
        <f t="shared" si="39"/>
        <v>0</v>
      </c>
      <c r="Z52" s="258"/>
      <c r="AA52" s="1139">
        <f t="shared" si="39"/>
        <v>0</v>
      </c>
      <c r="AB52" s="1139">
        <f t="shared" si="39"/>
        <v>0</v>
      </c>
      <c r="AC52" s="1139">
        <f t="shared" si="39"/>
        <v>0</v>
      </c>
      <c r="AD52" s="1139">
        <f t="shared" si="39"/>
        <v>200</v>
      </c>
      <c r="AE52" s="1139">
        <f t="shared" si="39"/>
        <v>0</v>
      </c>
      <c r="AF52" s="1139">
        <f t="shared" si="39"/>
        <v>0</v>
      </c>
      <c r="AG52" s="1139">
        <f t="shared" si="38"/>
        <v>0</v>
      </c>
      <c r="AH52" s="1139">
        <f t="shared" si="38"/>
        <v>0</v>
      </c>
      <c r="AI52" s="1139">
        <f t="shared" si="38"/>
        <v>0</v>
      </c>
      <c r="AJ52" s="1139">
        <f t="shared" si="38"/>
        <v>0</v>
      </c>
      <c r="AK52" s="1139">
        <f t="shared" si="39"/>
        <v>725.37</v>
      </c>
      <c r="AL52" s="1139">
        <f t="shared" si="39"/>
        <v>725.37</v>
      </c>
      <c r="AM52" s="1139">
        <f t="shared" si="39"/>
        <v>0</v>
      </c>
      <c r="AN52" s="1139">
        <f t="shared" si="39"/>
        <v>0</v>
      </c>
      <c r="AO52" s="1139">
        <f t="shared" si="3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142">
        <f>L53</f>
        <v>0</v>
      </c>
      <c r="K53" s="1142">
        <v>0</v>
      </c>
      <c r="L53" s="1139">
        <v>0</v>
      </c>
      <c r="M53" s="1139">
        <v>0</v>
      </c>
      <c r="N53" s="1139">
        <v>0</v>
      </c>
      <c r="O53" s="1146">
        <v>0</v>
      </c>
      <c r="P53" s="1139">
        <v>0</v>
      </c>
      <c r="Q53" s="1139">
        <v>0</v>
      </c>
      <c r="R53" s="1139">
        <v>0</v>
      </c>
      <c r="S53" s="1139">
        <v>0</v>
      </c>
      <c r="T53" s="1139">
        <v>0</v>
      </c>
      <c r="U53" s="1139">
        <v>0</v>
      </c>
      <c r="V53" s="1139">
        <v>0</v>
      </c>
      <c r="W53" s="1139">
        <v>0</v>
      </c>
      <c r="X53" s="1139">
        <v>0</v>
      </c>
      <c r="Y53" s="1139">
        <v>0</v>
      </c>
      <c r="Z53" s="258"/>
      <c r="AA53" s="1139">
        <v>0</v>
      </c>
      <c r="AB53" s="1139">
        <v>0</v>
      </c>
      <c r="AC53" s="1139">
        <v>0</v>
      </c>
      <c r="AD53" s="1139">
        <v>0</v>
      </c>
      <c r="AE53" s="1139">
        <v>0</v>
      </c>
      <c r="AF53" s="1139">
        <v>0</v>
      </c>
      <c r="AG53" s="1139">
        <v>0</v>
      </c>
      <c r="AH53" s="1139">
        <v>0</v>
      </c>
      <c r="AI53" s="1139">
        <v>0</v>
      </c>
      <c r="AJ53" s="1139">
        <v>0</v>
      </c>
      <c r="AK53" s="1139">
        <v>0</v>
      </c>
      <c r="AL53" s="1139">
        <v>0</v>
      </c>
      <c r="AM53" s="1139">
        <v>0</v>
      </c>
      <c r="AN53" s="1139">
        <v>0</v>
      </c>
      <c r="AO53" s="1139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142">
        <f>L54</f>
        <v>0</v>
      </c>
      <c r="K54" s="1142">
        <v>0</v>
      </c>
      <c r="L54" s="1139">
        <v>0</v>
      </c>
      <c r="M54" s="1139">
        <v>0</v>
      </c>
      <c r="N54" s="1139">
        <v>0</v>
      </c>
      <c r="O54" s="1146">
        <v>0</v>
      </c>
      <c r="P54" s="1139">
        <v>0</v>
      </c>
      <c r="Q54" s="1139">
        <v>0</v>
      </c>
      <c r="R54" s="1139">
        <v>0</v>
      </c>
      <c r="S54" s="1139">
        <v>0</v>
      </c>
      <c r="T54" s="1139">
        <v>0</v>
      </c>
      <c r="U54" s="1139">
        <v>0</v>
      </c>
      <c r="V54" s="1139">
        <v>0</v>
      </c>
      <c r="W54" s="1139">
        <v>0</v>
      </c>
      <c r="X54" s="1139">
        <v>0</v>
      </c>
      <c r="Y54" s="1139">
        <v>0</v>
      </c>
      <c r="Z54" s="258"/>
      <c r="AA54" s="1139">
        <v>0</v>
      </c>
      <c r="AB54" s="1139">
        <v>0</v>
      </c>
      <c r="AC54" s="1139">
        <v>0</v>
      </c>
      <c r="AD54" s="1139">
        <v>0</v>
      </c>
      <c r="AE54" s="1139">
        <v>0</v>
      </c>
      <c r="AF54" s="1139">
        <v>0</v>
      </c>
      <c r="AG54" s="1139">
        <v>0</v>
      </c>
      <c r="AH54" s="1139">
        <v>0</v>
      </c>
      <c r="AI54" s="1139">
        <v>0</v>
      </c>
      <c r="AJ54" s="1139">
        <v>0</v>
      </c>
      <c r="AK54" s="1139">
        <v>0</v>
      </c>
      <c r="AL54" s="1139">
        <v>0</v>
      </c>
      <c r="AM54" s="1139">
        <v>0</v>
      </c>
      <c r="AN54" s="1139">
        <v>0</v>
      </c>
      <c r="AO54" s="1139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122"/>
      <c r="H55" s="1122"/>
      <c r="I55" s="1374" t="s">
        <v>20</v>
      </c>
      <c r="J55" s="1142">
        <f>L55</f>
        <v>0</v>
      </c>
      <c r="K55" s="1142"/>
      <c r="L55" s="1139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0">R56+R57</f>
        <v>0</v>
      </c>
      <c r="S55" s="71">
        <f t="shared" si="40"/>
        <v>0</v>
      </c>
      <c r="T55" s="71">
        <f t="shared" si="40"/>
        <v>0</v>
      </c>
      <c r="U55" s="71">
        <f t="shared" si="40"/>
        <v>0</v>
      </c>
      <c r="V55" s="71">
        <f t="shared" si="40"/>
        <v>0</v>
      </c>
      <c r="W55" s="71">
        <f t="shared" si="40"/>
        <v>0</v>
      </c>
      <c r="X55" s="71">
        <f t="shared" si="40"/>
        <v>0</v>
      </c>
      <c r="Y55" s="71">
        <f t="shared" si="40"/>
        <v>0</v>
      </c>
      <c r="Z55" s="100"/>
      <c r="AA55" s="71">
        <f t="shared" si="40"/>
        <v>0</v>
      </c>
      <c r="AB55" s="71">
        <f t="shared" si="40"/>
        <v>0</v>
      </c>
      <c r="AC55" s="71">
        <f t="shared" si="40"/>
        <v>0</v>
      </c>
      <c r="AD55" s="71">
        <f t="shared" si="40"/>
        <v>0</v>
      </c>
      <c r="AE55" s="71">
        <f t="shared" si="40"/>
        <v>0</v>
      </c>
      <c r="AF55" s="71">
        <f t="shared" si="40"/>
        <v>0</v>
      </c>
      <c r="AG55" s="71">
        <f t="shared" si="40"/>
        <v>0</v>
      </c>
      <c r="AH55" s="71">
        <f t="shared" si="40"/>
        <v>0</v>
      </c>
      <c r="AI55" s="71">
        <f t="shared" si="4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0"/>
        <v>0</v>
      </c>
      <c r="AO55" s="71">
        <f t="shared" si="4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122">
        <v>2019</v>
      </c>
      <c r="H56" s="1122">
        <v>2019</v>
      </c>
      <c r="I56" s="1391"/>
      <c r="J56" s="1142">
        <f t="shared" ref="J56:J61" si="41">L56</f>
        <v>0</v>
      </c>
      <c r="K56" s="1142"/>
      <c r="L56" s="1139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126">
        <v>2019</v>
      </c>
      <c r="H57" s="1126">
        <v>2019</v>
      </c>
      <c r="I57" s="1375"/>
      <c r="J57" s="1142">
        <f t="shared" si="41"/>
        <v>0</v>
      </c>
      <c r="K57" s="1105"/>
      <c r="L57" s="1139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126"/>
      <c r="H58" s="1126"/>
      <c r="I58" s="1374" t="s">
        <v>20</v>
      </c>
      <c r="J58" s="1142">
        <f t="shared" si="41"/>
        <v>924.64</v>
      </c>
      <c r="K58" s="1105"/>
      <c r="L58" s="1139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2">R59+R61</f>
        <v>0</v>
      </c>
      <c r="S58" s="318">
        <f t="shared" si="42"/>
        <v>0</v>
      </c>
      <c r="T58" s="318">
        <f t="shared" si="42"/>
        <v>0</v>
      </c>
      <c r="U58" s="318">
        <f t="shared" si="42"/>
        <v>0</v>
      </c>
      <c r="V58" s="318">
        <f t="shared" si="42"/>
        <v>131</v>
      </c>
      <c r="W58" s="318">
        <f t="shared" si="42"/>
        <v>131</v>
      </c>
      <c r="X58" s="318">
        <f t="shared" si="42"/>
        <v>0</v>
      </c>
      <c r="Y58" s="318">
        <f t="shared" si="42"/>
        <v>0</v>
      </c>
      <c r="Z58" s="372">
        <v>0</v>
      </c>
      <c r="AA58" s="318">
        <v>0</v>
      </c>
      <c r="AB58" s="4">
        <f t="shared" si="42"/>
        <v>0</v>
      </c>
      <c r="AC58" s="4">
        <f t="shared" si="42"/>
        <v>0</v>
      </c>
      <c r="AD58" s="4">
        <f t="shared" si="42"/>
        <v>200</v>
      </c>
      <c r="AE58" s="4">
        <f t="shared" si="42"/>
        <v>0</v>
      </c>
      <c r="AF58" s="4">
        <f t="shared" si="42"/>
        <v>0</v>
      </c>
      <c r="AG58" s="4">
        <f t="shared" si="42"/>
        <v>0</v>
      </c>
      <c r="AH58" s="4">
        <f t="shared" si="42"/>
        <v>0</v>
      </c>
      <c r="AI58" s="4">
        <f t="shared" si="42"/>
        <v>0</v>
      </c>
      <c r="AJ58" s="4">
        <f t="shared" si="4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2"/>
        <v>0</v>
      </c>
      <c r="AO58" s="4">
        <f t="shared" si="4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126">
        <v>2019</v>
      </c>
      <c r="H59" s="1126">
        <v>2019</v>
      </c>
      <c r="I59" s="1391"/>
      <c r="J59" s="1142">
        <f t="shared" si="41"/>
        <v>250</v>
      </c>
      <c r="K59" s="1105"/>
      <c r="L59" s="1139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43">R60</f>
        <v>0</v>
      </c>
      <c r="S59" s="4">
        <f t="shared" si="43"/>
        <v>0</v>
      </c>
      <c r="T59" s="4">
        <f t="shared" si="43"/>
        <v>0</v>
      </c>
      <c r="U59" s="4">
        <f t="shared" si="43"/>
        <v>0</v>
      </c>
      <c r="V59" s="4">
        <f t="shared" si="43"/>
        <v>131</v>
      </c>
      <c r="W59" s="4">
        <f t="shared" si="43"/>
        <v>131</v>
      </c>
      <c r="X59" s="4">
        <f t="shared" si="43"/>
        <v>0</v>
      </c>
      <c r="Y59" s="4">
        <f t="shared" si="43"/>
        <v>0</v>
      </c>
      <c r="Z59" s="268"/>
      <c r="AA59" s="4">
        <v>0</v>
      </c>
      <c r="AB59" s="4">
        <f t="shared" si="43"/>
        <v>0</v>
      </c>
      <c r="AC59" s="4">
        <f t="shared" si="43"/>
        <v>0</v>
      </c>
      <c r="AD59" s="4">
        <f t="shared" si="4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113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126">
        <v>2019</v>
      </c>
      <c r="H61" s="1126">
        <v>2019</v>
      </c>
      <c r="I61" s="1375"/>
      <c r="J61" s="1142">
        <f t="shared" si="41"/>
        <v>674.64</v>
      </c>
      <c r="K61" s="1105"/>
      <c r="L61" s="1139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110"/>
      <c r="L62" s="1117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44">SUM(R63:R64)</f>
        <v>0</v>
      </c>
      <c r="S62" s="318">
        <f t="shared" si="44"/>
        <v>0</v>
      </c>
      <c r="T62" s="318">
        <f t="shared" si="44"/>
        <v>0</v>
      </c>
      <c r="U62" s="318">
        <f t="shared" si="44"/>
        <v>0</v>
      </c>
      <c r="V62" s="318">
        <f t="shared" si="44"/>
        <v>0</v>
      </c>
      <c r="W62" s="318">
        <f t="shared" si="44"/>
        <v>0</v>
      </c>
      <c r="X62" s="318">
        <f t="shared" si="44"/>
        <v>0</v>
      </c>
      <c r="Y62" s="318">
        <f t="shared" si="44"/>
        <v>0</v>
      </c>
      <c r="Z62" s="318">
        <f t="shared" si="44"/>
        <v>0</v>
      </c>
      <c r="AA62" s="318">
        <f t="shared" si="4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140"/>
      <c r="B63" s="42" t="s">
        <v>15</v>
      </c>
      <c r="C63" s="341"/>
      <c r="D63" s="341"/>
      <c r="E63" s="771"/>
      <c r="F63" s="691"/>
      <c r="G63" s="335"/>
      <c r="H63" s="770"/>
      <c r="I63" s="1114"/>
      <c r="J63" s="1142"/>
      <c r="K63" s="1105"/>
      <c r="L63" s="1139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140"/>
      <c r="B64" s="42" t="s">
        <v>32</v>
      </c>
      <c r="C64" s="341"/>
      <c r="D64" s="341"/>
      <c r="E64" s="771"/>
      <c r="F64" s="691"/>
      <c r="G64" s="335"/>
      <c r="H64" s="770"/>
      <c r="I64" s="1114"/>
      <c r="J64" s="1142"/>
      <c r="K64" s="1105"/>
      <c r="L64" s="1139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45">J68</f>
        <v>18824.2</v>
      </c>
      <c r="K65" s="47">
        <f t="shared" si="45"/>
        <v>0</v>
      </c>
      <c r="L65" s="47">
        <f t="shared" si="45"/>
        <v>5710.74</v>
      </c>
      <c r="M65" s="47">
        <f t="shared" si="45"/>
        <v>893.45</v>
      </c>
      <c r="N65" s="47">
        <f t="shared" si="45"/>
        <v>1051.49</v>
      </c>
      <c r="O65" s="47">
        <f t="shared" si="45"/>
        <v>11206.2</v>
      </c>
      <c r="P65" s="47">
        <f t="shared" si="45"/>
        <v>192.06</v>
      </c>
      <c r="Q65" s="47">
        <f t="shared" si="45"/>
        <v>75</v>
      </c>
      <c r="R65" s="47">
        <f t="shared" si="45"/>
        <v>0</v>
      </c>
      <c r="S65" s="47">
        <f t="shared" si="45"/>
        <v>0</v>
      </c>
      <c r="T65" s="47">
        <f t="shared" si="45"/>
        <v>0</v>
      </c>
      <c r="U65" s="47">
        <f t="shared" si="45"/>
        <v>0</v>
      </c>
      <c r="V65" s="47">
        <f t="shared" si="45"/>
        <v>0</v>
      </c>
      <c r="W65" s="47">
        <f t="shared" si="45"/>
        <v>0</v>
      </c>
      <c r="X65" s="47">
        <f t="shared" si="45"/>
        <v>0</v>
      </c>
      <c r="Y65" s="47">
        <f t="shared" si="45"/>
        <v>0</v>
      </c>
      <c r="Z65" s="96"/>
      <c r="AA65" s="47">
        <f t="shared" si="45"/>
        <v>75</v>
      </c>
      <c r="AB65" s="47">
        <f t="shared" si="45"/>
        <v>0</v>
      </c>
      <c r="AC65" s="47">
        <f t="shared" si="45"/>
        <v>0</v>
      </c>
      <c r="AD65" s="47">
        <f t="shared" si="45"/>
        <v>0</v>
      </c>
      <c r="AE65" s="47">
        <f t="shared" si="45"/>
        <v>0</v>
      </c>
      <c r="AF65" s="47">
        <f t="shared" si="45"/>
        <v>0</v>
      </c>
      <c r="AG65" s="47">
        <f t="shared" si="45"/>
        <v>0</v>
      </c>
      <c r="AH65" s="47">
        <f t="shared" si="45"/>
        <v>0</v>
      </c>
      <c r="AI65" s="47">
        <f t="shared" si="45"/>
        <v>0</v>
      </c>
      <c r="AJ65" s="47">
        <f t="shared" si="45"/>
        <v>0</v>
      </c>
      <c r="AK65" s="47">
        <f t="shared" si="45"/>
        <v>117.06</v>
      </c>
      <c r="AL65" s="47">
        <f t="shared" si="45"/>
        <v>117.06</v>
      </c>
      <c r="AM65" s="47">
        <f t="shared" si="45"/>
        <v>39.049999999999997</v>
      </c>
      <c r="AN65" s="47">
        <f t="shared" si="45"/>
        <v>0</v>
      </c>
      <c r="AO65" s="47">
        <f t="shared" si="45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109"/>
      <c r="H68" s="1109"/>
      <c r="I68" s="1326" t="s">
        <v>20</v>
      </c>
      <c r="J68" s="1640">
        <v>18824.2</v>
      </c>
      <c r="K68" s="3">
        <v>0</v>
      </c>
      <c r="L68" s="3">
        <f t="shared" ref="L68:P68" si="46">L69+L71</f>
        <v>5710.74</v>
      </c>
      <c r="M68" s="3">
        <f t="shared" si="46"/>
        <v>893.45</v>
      </c>
      <c r="N68" s="3">
        <f t="shared" si="46"/>
        <v>1051.49</v>
      </c>
      <c r="O68" s="3">
        <f t="shared" si="46"/>
        <v>11206.2</v>
      </c>
      <c r="P68" s="3">
        <f t="shared" si="46"/>
        <v>192.06</v>
      </c>
      <c r="Q68" s="3">
        <f>SUM(Q69:Q71)</f>
        <v>75</v>
      </c>
      <c r="R68" s="3">
        <f t="shared" ref="R68:AA68" si="47">SUM(R69:R71)</f>
        <v>0</v>
      </c>
      <c r="S68" s="3">
        <f t="shared" si="47"/>
        <v>0</v>
      </c>
      <c r="T68" s="3">
        <f t="shared" si="47"/>
        <v>0</v>
      </c>
      <c r="U68" s="3">
        <f t="shared" si="47"/>
        <v>0</v>
      </c>
      <c r="V68" s="3">
        <f t="shared" si="47"/>
        <v>0</v>
      </c>
      <c r="W68" s="3">
        <f t="shared" si="47"/>
        <v>0</v>
      </c>
      <c r="X68" s="3">
        <f t="shared" si="47"/>
        <v>0</v>
      </c>
      <c r="Y68" s="3">
        <f t="shared" si="47"/>
        <v>0</v>
      </c>
      <c r="Z68" s="3">
        <f t="shared" si="47"/>
        <v>0</v>
      </c>
      <c r="AA68" s="3">
        <f t="shared" si="47"/>
        <v>75</v>
      </c>
      <c r="AB68" s="3">
        <f t="shared" ref="AB68:AO68" si="48">AB69+AB71</f>
        <v>0</v>
      </c>
      <c r="AC68" s="3">
        <f t="shared" si="48"/>
        <v>0</v>
      </c>
      <c r="AD68" s="3">
        <f t="shared" si="48"/>
        <v>0</v>
      </c>
      <c r="AE68" s="3">
        <f t="shared" si="48"/>
        <v>0</v>
      </c>
      <c r="AF68" s="3">
        <f t="shared" si="48"/>
        <v>0</v>
      </c>
      <c r="AG68" s="3">
        <f t="shared" si="48"/>
        <v>0</v>
      </c>
      <c r="AH68" s="3">
        <f t="shared" si="48"/>
        <v>0</v>
      </c>
      <c r="AI68" s="3">
        <f t="shared" si="48"/>
        <v>0</v>
      </c>
      <c r="AJ68" s="3">
        <f t="shared" si="48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48"/>
        <v>0</v>
      </c>
      <c r="AO68" s="3">
        <f t="shared" si="48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128" t="s">
        <v>15</v>
      </c>
      <c r="C69" s="1327"/>
      <c r="D69" s="1327"/>
      <c r="E69" s="1327"/>
      <c r="F69" s="1327"/>
      <c r="G69" s="1103">
        <v>2019</v>
      </c>
      <c r="H69" s="1103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49">SUM(R70)</f>
        <v>0</v>
      </c>
      <c r="S69" s="47">
        <f t="shared" si="49"/>
        <v>0</v>
      </c>
      <c r="T69" s="47">
        <f t="shared" si="49"/>
        <v>0</v>
      </c>
      <c r="U69" s="47">
        <f t="shared" si="49"/>
        <v>0</v>
      </c>
      <c r="V69" s="47">
        <f t="shared" si="49"/>
        <v>0</v>
      </c>
      <c r="W69" s="47">
        <f t="shared" si="49"/>
        <v>0</v>
      </c>
      <c r="X69" s="47">
        <v>0</v>
      </c>
      <c r="Y69" s="47">
        <f t="shared" si="49"/>
        <v>0</v>
      </c>
      <c r="Z69" s="96"/>
      <c r="AA69" s="47">
        <v>75</v>
      </c>
      <c r="AB69" s="47">
        <f t="shared" si="49"/>
        <v>0</v>
      </c>
      <c r="AC69" s="47">
        <v>0</v>
      </c>
      <c r="AD69" s="47">
        <v>0</v>
      </c>
      <c r="AE69" s="47">
        <v>0</v>
      </c>
      <c r="AF69" s="47">
        <f t="shared" si="49"/>
        <v>0</v>
      </c>
      <c r="AG69" s="47">
        <f t="shared" si="49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128" t="s">
        <v>16</v>
      </c>
      <c r="C71" s="1327"/>
      <c r="D71" s="1327"/>
      <c r="E71" s="1327"/>
      <c r="F71" s="1327"/>
      <c r="G71" s="1103">
        <v>2020</v>
      </c>
      <c r="H71" s="1103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115"/>
      <c r="B72" s="609" t="s">
        <v>403</v>
      </c>
      <c r="C72" s="341"/>
      <c r="D72" s="341"/>
      <c r="E72" s="341"/>
      <c r="F72" s="341"/>
      <c r="G72" s="1109"/>
      <c r="H72" s="1109"/>
      <c r="I72" s="1105"/>
      <c r="J72" s="1145"/>
      <c r="K72" s="3">
        <v>0</v>
      </c>
      <c r="L72" s="3">
        <f>L73+L78</f>
        <v>0</v>
      </c>
      <c r="M72" s="3">
        <f>M73+M78</f>
        <v>0</v>
      </c>
      <c r="N72" s="3">
        <f>N73+N78</f>
        <v>0</v>
      </c>
      <c r="O72" s="3">
        <f>O73+O78</f>
        <v>0</v>
      </c>
      <c r="P72" s="3">
        <f>P73+P78</f>
        <v>0</v>
      </c>
      <c r="Q72" s="3">
        <f>SUM(Q73)</f>
        <v>35.672149999999995</v>
      </c>
      <c r="R72" s="3">
        <f t="shared" ref="R72:AA72" si="50">SUM(R73)</f>
        <v>0</v>
      </c>
      <c r="S72" s="3">
        <f t="shared" si="50"/>
        <v>0</v>
      </c>
      <c r="T72" s="3">
        <f t="shared" si="50"/>
        <v>0</v>
      </c>
      <c r="U72" s="3">
        <f t="shared" si="50"/>
        <v>0</v>
      </c>
      <c r="V72" s="3">
        <f t="shared" si="50"/>
        <v>0</v>
      </c>
      <c r="W72" s="3">
        <f t="shared" si="50"/>
        <v>0</v>
      </c>
      <c r="X72" s="3">
        <f t="shared" si="50"/>
        <v>0</v>
      </c>
      <c r="Y72" s="3">
        <f t="shared" si="50"/>
        <v>0</v>
      </c>
      <c r="Z72" s="3">
        <f t="shared" si="50"/>
        <v>0</v>
      </c>
      <c r="AA72" s="3">
        <f t="shared" si="50"/>
        <v>35.672149999999995</v>
      </c>
      <c r="AB72" s="3">
        <f t="shared" ref="AB72:AJ72" si="51">AB73+AB78</f>
        <v>0</v>
      </c>
      <c r="AC72" s="3">
        <f t="shared" si="51"/>
        <v>0</v>
      </c>
      <c r="AD72" s="3">
        <f t="shared" si="51"/>
        <v>0</v>
      </c>
      <c r="AE72" s="3">
        <f t="shared" si="51"/>
        <v>0</v>
      </c>
      <c r="AF72" s="3">
        <f t="shared" si="51"/>
        <v>0</v>
      </c>
      <c r="AG72" s="3">
        <f t="shared" si="51"/>
        <v>0</v>
      </c>
      <c r="AH72" s="3">
        <f t="shared" si="51"/>
        <v>0</v>
      </c>
      <c r="AI72" s="3">
        <f t="shared" si="51"/>
        <v>0</v>
      </c>
      <c r="AJ72" s="3">
        <f t="shared" si="51"/>
        <v>0</v>
      </c>
      <c r="AK72" s="3">
        <f>P72-Q72</f>
        <v>-35.672149999999995</v>
      </c>
      <c r="AL72" s="3">
        <f>AK72</f>
        <v>-35.672149999999995</v>
      </c>
      <c r="AM72" s="318" t="e">
        <f>ROUND((Q72*100%/P72*100),2)</f>
        <v>#DIV/0!</v>
      </c>
      <c r="AN72" s="3">
        <f>AN73+AN78</f>
        <v>0</v>
      </c>
      <c r="AO72" s="3">
        <f>AO73+AO78</f>
        <v>0</v>
      </c>
      <c r="AP72" s="633" t="s">
        <v>272</v>
      </c>
      <c r="AQ72" s="95">
        <v>40</v>
      </c>
    </row>
    <row r="73" spans="1:43" ht="15.75" customHeight="1" x14ac:dyDescent="0.25">
      <c r="A73" s="1115"/>
      <c r="B73" s="42" t="s">
        <v>16</v>
      </c>
      <c r="C73" s="341"/>
      <c r="D73" s="341"/>
      <c r="E73" s="341"/>
      <c r="F73" s="341"/>
      <c r="G73" s="313"/>
      <c r="H73" s="1153"/>
      <c r="I73" s="1105"/>
      <c r="J73" s="1145"/>
      <c r="K73" s="4"/>
      <c r="L73" s="47"/>
      <c r="M73" s="47"/>
      <c r="N73" s="47"/>
      <c r="O73" s="47"/>
      <c r="P73" s="47">
        <v>0</v>
      </c>
      <c r="Q73" s="47">
        <f>SUM(Q74:Q75)</f>
        <v>35.672149999999995</v>
      </c>
      <c r="R73" s="47">
        <f t="shared" ref="R73:AA73" si="52">SUM(R74:R75)</f>
        <v>0</v>
      </c>
      <c r="S73" s="47">
        <f t="shared" si="52"/>
        <v>0</v>
      </c>
      <c r="T73" s="47">
        <f t="shared" si="52"/>
        <v>0</v>
      </c>
      <c r="U73" s="47">
        <f t="shared" si="52"/>
        <v>0</v>
      </c>
      <c r="V73" s="47">
        <f t="shared" si="52"/>
        <v>0</v>
      </c>
      <c r="W73" s="47">
        <f t="shared" si="52"/>
        <v>0</v>
      </c>
      <c r="X73" s="47">
        <f t="shared" si="52"/>
        <v>0</v>
      </c>
      <c r="Y73" s="47">
        <f t="shared" si="52"/>
        <v>0</v>
      </c>
      <c r="Z73" s="47">
        <f t="shared" si="52"/>
        <v>0</v>
      </c>
      <c r="AA73" s="47">
        <f t="shared" si="52"/>
        <v>35.672149999999995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451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34.092149999999997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34.092149999999997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327" customFormat="1" ht="28.5" customHeight="1" x14ac:dyDescent="0.25">
      <c r="A76" s="1115"/>
      <c r="B76" s="609" t="s">
        <v>404</v>
      </c>
      <c r="C76" s="341"/>
      <c r="D76" s="341"/>
      <c r="E76" s="341"/>
      <c r="F76" s="341"/>
      <c r="G76" s="1109"/>
      <c r="H76" s="1109"/>
      <c r="I76" s="1105"/>
      <c r="J76" s="1145"/>
      <c r="K76" s="3">
        <v>0</v>
      </c>
      <c r="L76" s="3">
        <f>L77+L80</f>
        <v>0</v>
      </c>
      <c r="M76" s="3">
        <f>M77+M80</f>
        <v>0</v>
      </c>
      <c r="N76" s="3">
        <f>N77+N80</f>
        <v>0</v>
      </c>
      <c r="O76" s="3">
        <f>O77+O80</f>
        <v>0</v>
      </c>
      <c r="P76" s="3">
        <f>P77+P80</f>
        <v>0</v>
      </c>
      <c r="Q76" s="3">
        <f>SUM(Q77)</f>
        <v>0</v>
      </c>
      <c r="R76" s="3">
        <f t="shared" ref="R76:AA76" si="53">SUM(R77)</f>
        <v>0</v>
      </c>
      <c r="S76" s="3">
        <f t="shared" si="53"/>
        <v>0</v>
      </c>
      <c r="T76" s="3">
        <f t="shared" si="53"/>
        <v>0</v>
      </c>
      <c r="U76" s="3">
        <f t="shared" si="53"/>
        <v>0</v>
      </c>
      <c r="V76" s="3">
        <f t="shared" si="53"/>
        <v>0</v>
      </c>
      <c r="W76" s="3">
        <f t="shared" si="53"/>
        <v>0</v>
      </c>
      <c r="X76" s="3">
        <f t="shared" si="53"/>
        <v>0</v>
      </c>
      <c r="Y76" s="3">
        <f t="shared" si="53"/>
        <v>0</v>
      </c>
      <c r="Z76" s="3">
        <f t="shared" si="53"/>
        <v>0</v>
      </c>
      <c r="AA76" s="3">
        <f t="shared" si="53"/>
        <v>0</v>
      </c>
      <c r="AB76" s="3">
        <f t="shared" ref="AB76:AJ76" si="54">AB77+AB80</f>
        <v>0</v>
      </c>
      <c r="AC76" s="3">
        <f t="shared" si="54"/>
        <v>0</v>
      </c>
      <c r="AD76" s="3">
        <f t="shared" si="54"/>
        <v>0</v>
      </c>
      <c r="AE76" s="3">
        <f t="shared" si="54"/>
        <v>0</v>
      </c>
      <c r="AF76" s="3">
        <f t="shared" si="54"/>
        <v>0</v>
      </c>
      <c r="AG76" s="3">
        <f t="shared" si="54"/>
        <v>0</v>
      </c>
      <c r="AH76" s="3">
        <f t="shared" si="54"/>
        <v>0</v>
      </c>
      <c r="AI76" s="3">
        <f t="shared" si="54"/>
        <v>0</v>
      </c>
      <c r="AJ76" s="3">
        <f t="shared" si="54"/>
        <v>0</v>
      </c>
      <c r="AK76" s="3">
        <f>P76-Q76</f>
        <v>0</v>
      </c>
      <c r="AL76" s="3">
        <f>AK76</f>
        <v>0</v>
      </c>
      <c r="AM76" s="318" t="e">
        <f>ROUND((Q76*100%/P76*100),2)</f>
        <v>#DIV/0!</v>
      </c>
      <c r="AN76" s="3">
        <f>AN77+AN80</f>
        <v>0</v>
      </c>
      <c r="AO76" s="3">
        <f>AO77+AO80</f>
        <v>0</v>
      </c>
      <c r="AP76" s="633" t="s">
        <v>272</v>
      </c>
      <c r="AQ76" s="95">
        <v>40</v>
      </c>
    </row>
    <row r="77" spans="1:43" ht="15.75" customHeight="1" x14ac:dyDescent="0.25">
      <c r="A77" s="1115"/>
      <c r="B77" s="42" t="s">
        <v>16</v>
      </c>
      <c r="C77" s="341"/>
      <c r="D77" s="341"/>
      <c r="E77" s="341"/>
      <c r="F77" s="341"/>
      <c r="G77" s="313"/>
      <c r="H77" s="1153"/>
      <c r="I77" s="1105"/>
      <c r="J77" s="1145"/>
      <c r="K77" s="4"/>
      <c r="L77" s="47"/>
      <c r="M77" s="47"/>
      <c r="N77" s="47"/>
      <c r="O77" s="47"/>
      <c r="P77" s="47">
        <v>0</v>
      </c>
      <c r="Q77" s="47">
        <v>0</v>
      </c>
      <c r="R77" s="47"/>
      <c r="S77" s="47"/>
      <c r="T77" s="47"/>
      <c r="U77" s="47"/>
      <c r="V77" s="47"/>
      <c r="W77" s="47"/>
      <c r="X77" s="47"/>
      <c r="Y77" s="47"/>
      <c r="Z77" s="96"/>
      <c r="AA77" s="47"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397"/>
      <c r="AQ77" s="96"/>
    </row>
    <row r="78" spans="1:43" ht="52.5" hidden="1" customHeight="1" x14ac:dyDescent="0.25">
      <c r="A78" s="1332" t="s">
        <v>56</v>
      </c>
      <c r="B78" s="1613" t="s">
        <v>41</v>
      </c>
      <c r="C78" s="1614"/>
      <c r="D78" s="1614"/>
      <c r="E78" s="1614"/>
      <c r="F78" s="1614"/>
      <c r="G78" s="1614"/>
      <c r="H78" s="1615"/>
      <c r="I78" s="23" t="s">
        <v>19</v>
      </c>
      <c r="J78" s="1137">
        <v>0</v>
      </c>
      <c r="K78" s="1137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48" hidden="1" customHeight="1" x14ac:dyDescent="0.25">
      <c r="A79" s="1333"/>
      <c r="B79" s="1616"/>
      <c r="C79" s="1617"/>
      <c r="D79" s="1617"/>
      <c r="E79" s="1617"/>
      <c r="F79" s="1617"/>
      <c r="G79" s="1617"/>
      <c r="H79" s="1618"/>
      <c r="I79" s="23" t="s">
        <v>20</v>
      </c>
      <c r="J79" s="1137">
        <f>L79</f>
        <v>212998.96</v>
      </c>
      <c r="K79" s="1137">
        <f>K82+K129+K130+K131</f>
        <v>0</v>
      </c>
      <c r="L79" s="47">
        <f>L82+L86+L92+L93+L96+L99+L102+L108+L113+L116+L120+L125</f>
        <v>212998.96</v>
      </c>
      <c r="M79" s="47">
        <f>M82+M86+M92+M93+M96+M99+M102+M108</f>
        <v>23675.279999999999</v>
      </c>
      <c r="N79" s="47">
        <f>N82+N86+N92+N93+N96+N99+N102+N108+N113+N116+N120+N125</f>
        <v>44561.120000000003</v>
      </c>
      <c r="O79" s="47">
        <f>O82+O86+O92+O93+O96+O99+O102+O108+O113+O116+O120+O125</f>
        <v>26487.67</v>
      </c>
      <c r="P79" s="47">
        <f>P82+P86+P92+P93+P96+P99+P102+P108+P113+P116+P120+P125</f>
        <v>42150.159999999996</v>
      </c>
      <c r="Q79" s="47">
        <f>Q82+Q86+Q92+Q93+Q96+Q99+Q102+Q108+Q113+Q116+Q120+Q125</f>
        <v>0</v>
      </c>
      <c r="R79" s="47">
        <f t="shared" ref="R79:Y79" si="55">R82+R86+R92+R93+R96+R99+R102+R108+R113+R116+R120+R125</f>
        <v>11372.53</v>
      </c>
      <c r="S79" s="47">
        <f t="shared" si="55"/>
        <v>11789.196</v>
      </c>
      <c r="T79" s="47">
        <f t="shared" si="55"/>
        <v>17105.953000000001</v>
      </c>
      <c r="U79" s="47">
        <f t="shared" si="55"/>
        <v>16853.532999999999</v>
      </c>
      <c r="V79" s="47">
        <f t="shared" si="55"/>
        <v>1876.1869999999999</v>
      </c>
      <c r="W79" s="47">
        <f t="shared" si="55"/>
        <v>1916.0429999999999</v>
      </c>
      <c r="X79" s="47">
        <f t="shared" si="55"/>
        <v>0</v>
      </c>
      <c r="Y79" s="47">
        <f t="shared" si="55"/>
        <v>0</v>
      </c>
      <c r="Z79" s="96"/>
      <c r="AA79" s="47">
        <f>AA82+AA86+AA92+AA93+AA96+AA99+AA102+AA108+AA113+AA116+AA120+AA125</f>
        <v>0</v>
      </c>
      <c r="AB79" s="47">
        <f>AB82+AB86+AB92+AB93+AB96+AB99+AB102+AB108+AB113+AB116+AB120+AB125</f>
        <v>40.5</v>
      </c>
      <c r="AC79" s="47">
        <f>AC82+AC86+AC92+AC93+AC96+AC99+AC102+AC108+AC113+AC116+AC120+AC125</f>
        <v>907.08299999999997</v>
      </c>
      <c r="AD79" s="47">
        <f>AD82+AD86+AD92+AD93+AD96+AD99+AD102+AD108+AD113+AD116+AD120+AD125</f>
        <v>2805.3339999999998</v>
      </c>
      <c r="AE79" s="47">
        <f>AE82+AE86+AE92+AE93+AE96+AE99+AE102+AE108+AE113+AE116+AE120+AE125</f>
        <v>0</v>
      </c>
      <c r="AF79" s="47">
        <f t="shared" ref="AF79:AO79" si="56">AF82+AF86+AF92</f>
        <v>0</v>
      </c>
      <c r="AG79" s="47">
        <f t="shared" si="56"/>
        <v>0</v>
      </c>
      <c r="AH79" s="47">
        <f t="shared" si="56"/>
        <v>0</v>
      </c>
      <c r="AI79" s="47">
        <f t="shared" si="56"/>
        <v>0</v>
      </c>
      <c r="AJ79" s="47">
        <f>AJ82+AJ86+AJ92+AJ125</f>
        <v>0</v>
      </c>
      <c r="AK79" s="47">
        <f t="shared" si="56"/>
        <v>4809.3900000000003</v>
      </c>
      <c r="AL79" s="47">
        <f t="shared" si="56"/>
        <v>4809.3900000000003</v>
      </c>
      <c r="AM79" s="47" t="e">
        <f t="shared" si="56"/>
        <v>#DIV/0!</v>
      </c>
      <c r="AN79" s="47">
        <f t="shared" si="56"/>
        <v>0</v>
      </c>
      <c r="AO79" s="47">
        <f t="shared" si="56"/>
        <v>0</v>
      </c>
      <c r="AP79" s="397"/>
      <c r="AQ79" s="96"/>
    </row>
    <row r="80" spans="1:43" ht="27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10</v>
      </c>
      <c r="J80" s="1137">
        <f>L80</f>
        <v>0</v>
      </c>
      <c r="K80" s="1137">
        <v>0</v>
      </c>
      <c r="L80" s="47">
        <f>M80+N80+O80</f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96"/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397"/>
      <c r="AQ80" s="96"/>
    </row>
    <row r="81" spans="1:43" ht="27" hidden="1" customHeight="1" x14ac:dyDescent="0.25">
      <c r="A81" s="1334"/>
      <c r="B81" s="1619"/>
      <c r="C81" s="1620"/>
      <c r="D81" s="1620"/>
      <c r="E81" s="1620"/>
      <c r="F81" s="1620"/>
      <c r="G81" s="1620"/>
      <c r="H81" s="1621"/>
      <c r="I81" s="23" t="s">
        <v>9</v>
      </c>
      <c r="J81" s="1137">
        <f>L81</f>
        <v>0</v>
      </c>
      <c r="K81" s="1137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s="327" customFormat="1" ht="27.75" customHeight="1" x14ac:dyDescent="0.25">
      <c r="A82" s="1372" t="s">
        <v>57</v>
      </c>
      <c r="B82" s="780" t="s">
        <v>200</v>
      </c>
      <c r="C82" s="1127"/>
      <c r="D82" s="1127"/>
      <c r="E82" s="1127"/>
      <c r="F82" s="1127"/>
      <c r="G82" s="1127">
        <v>2019</v>
      </c>
      <c r="H82" s="1127">
        <v>2019</v>
      </c>
      <c r="I82" s="1326" t="s">
        <v>20</v>
      </c>
      <c r="J82" s="3">
        <f>L82</f>
        <v>30833.33</v>
      </c>
      <c r="K82" s="3"/>
      <c r="L82" s="3">
        <f t="shared" ref="L82:AC82" si="57">L83</f>
        <v>30833.33</v>
      </c>
      <c r="M82" s="3">
        <f t="shared" si="57"/>
        <v>20000</v>
      </c>
      <c r="N82" s="3">
        <f t="shared" si="57"/>
        <v>9151.41</v>
      </c>
      <c r="O82" s="3">
        <f t="shared" si="57"/>
        <v>0</v>
      </c>
      <c r="P82" s="3">
        <v>0</v>
      </c>
      <c r="Q82" s="3">
        <f t="shared" si="57"/>
        <v>0</v>
      </c>
      <c r="R82" s="3">
        <f t="shared" si="57"/>
        <v>0</v>
      </c>
      <c r="S82" s="3">
        <f t="shared" si="57"/>
        <v>0</v>
      </c>
      <c r="T82" s="3">
        <f t="shared" si="57"/>
        <v>0</v>
      </c>
      <c r="U82" s="3">
        <f t="shared" si="57"/>
        <v>0</v>
      </c>
      <c r="V82" s="3">
        <f t="shared" si="57"/>
        <v>0</v>
      </c>
      <c r="W82" s="3">
        <f t="shared" si="57"/>
        <v>0</v>
      </c>
      <c r="X82" s="3">
        <f t="shared" si="57"/>
        <v>0</v>
      </c>
      <c r="Y82" s="3">
        <f t="shared" si="57"/>
        <v>0</v>
      </c>
      <c r="Z82" s="95">
        <v>0</v>
      </c>
      <c r="AA82" s="3">
        <f t="shared" si="57"/>
        <v>0</v>
      </c>
      <c r="AB82" s="3">
        <f t="shared" si="57"/>
        <v>0</v>
      </c>
      <c r="AC82" s="3">
        <f t="shared" si="57"/>
        <v>0</v>
      </c>
      <c r="AD82" s="3">
        <f>AD83</f>
        <v>0</v>
      </c>
      <c r="AE82" s="3">
        <f t="shared" ref="AE82:AJ82" si="58">AE83</f>
        <v>0</v>
      </c>
      <c r="AF82" s="3">
        <f t="shared" si="58"/>
        <v>0</v>
      </c>
      <c r="AG82" s="3">
        <f t="shared" si="58"/>
        <v>0</v>
      </c>
      <c r="AH82" s="3">
        <f t="shared" si="58"/>
        <v>0</v>
      </c>
      <c r="AI82" s="3">
        <f t="shared" si="58"/>
        <v>0</v>
      </c>
      <c r="AJ82" s="3">
        <f t="shared" si="58"/>
        <v>0</v>
      </c>
      <c r="AK82" s="3">
        <v>0</v>
      </c>
      <c r="AL82" s="3">
        <f>AK82</f>
        <v>0</v>
      </c>
      <c r="AM82" s="318" t="e">
        <f>ROUND((Q82*100%/P82*100),2)</f>
        <v>#DIV/0!</v>
      </c>
      <c r="AN82" s="3">
        <v>0</v>
      </c>
      <c r="AO82" s="3">
        <v>0</v>
      </c>
      <c r="AP82" s="633" t="s">
        <v>273</v>
      </c>
      <c r="AQ82" s="95">
        <v>0</v>
      </c>
    </row>
    <row r="83" spans="1:43" ht="14.25" hidden="1" customHeight="1" x14ac:dyDescent="0.25">
      <c r="A83" s="1383"/>
      <c r="B83" s="1" t="s">
        <v>201</v>
      </c>
      <c r="C83" s="1103"/>
      <c r="D83" s="1103"/>
      <c r="E83" s="1103"/>
      <c r="F83" s="1103"/>
      <c r="G83" s="1122"/>
      <c r="H83" s="1122"/>
      <c r="I83" s="1639"/>
      <c r="J83" s="47"/>
      <c r="K83" s="47"/>
      <c r="L83" s="47">
        <v>30833.33</v>
      </c>
      <c r="M83" s="47">
        <v>20000</v>
      </c>
      <c r="N83" s="47">
        <v>9151.41</v>
      </c>
      <c r="O83" s="47">
        <v>0</v>
      </c>
      <c r="P83" s="47">
        <v>1681.92</v>
      </c>
      <c r="Q83" s="47">
        <f>SUM(Q84:Q85)</f>
        <v>0</v>
      </c>
      <c r="R83" s="47">
        <f>SUM(R84:R85)</f>
        <v>0</v>
      </c>
      <c r="S83" s="47">
        <f>SUM(S84:S85)</f>
        <v>0</v>
      </c>
      <c r="T83" s="47">
        <f t="shared" ref="T83:AC83" si="59">SUM(T84:T85)</f>
        <v>0</v>
      </c>
      <c r="U83" s="47">
        <f t="shared" si="59"/>
        <v>0</v>
      </c>
      <c r="V83" s="47">
        <f t="shared" si="59"/>
        <v>0</v>
      </c>
      <c r="W83" s="47">
        <f t="shared" si="59"/>
        <v>0</v>
      </c>
      <c r="X83" s="47">
        <f t="shared" si="59"/>
        <v>0</v>
      </c>
      <c r="Y83" s="47">
        <f t="shared" si="59"/>
        <v>0</v>
      </c>
      <c r="Z83" s="96"/>
      <c r="AA83" s="47">
        <f t="shared" si="59"/>
        <v>0</v>
      </c>
      <c r="AB83" s="47">
        <f t="shared" si="59"/>
        <v>0</v>
      </c>
      <c r="AC83" s="47">
        <f t="shared" si="59"/>
        <v>0</v>
      </c>
      <c r="AD83" s="47">
        <f>SUM(AD84:AD85)</f>
        <v>0</v>
      </c>
      <c r="AE83" s="47">
        <f t="shared" ref="AE83:AJ83" si="60">SUM(AE84:AE85)</f>
        <v>0</v>
      </c>
      <c r="AF83" s="47">
        <f t="shared" si="60"/>
        <v>0</v>
      </c>
      <c r="AG83" s="47">
        <f t="shared" si="60"/>
        <v>0</v>
      </c>
      <c r="AH83" s="47">
        <f t="shared" si="60"/>
        <v>0</v>
      </c>
      <c r="AI83" s="47">
        <f t="shared" si="60"/>
        <v>0</v>
      </c>
      <c r="AJ83" s="47">
        <f t="shared" si="60"/>
        <v>0</v>
      </c>
      <c r="AK83" s="47">
        <v>0</v>
      </c>
      <c r="AL83" s="47">
        <v>0</v>
      </c>
      <c r="AM83" s="4">
        <v>0</v>
      </c>
      <c r="AN83" s="47">
        <v>0</v>
      </c>
      <c r="AO83" s="47">
        <v>0</v>
      </c>
      <c r="AP83" s="397"/>
      <c r="AQ83" s="96"/>
    </row>
    <row r="84" spans="1:43" s="266" customFormat="1" ht="15.75" hidden="1" x14ac:dyDescent="0.25">
      <c r="A84" s="1116"/>
      <c r="B84" s="102"/>
      <c r="C84" s="262"/>
      <c r="D84" s="262"/>
      <c r="E84" s="262"/>
      <c r="F84" s="262"/>
      <c r="G84" s="104"/>
      <c r="H84" s="104"/>
      <c r="I84" s="1144"/>
      <c r="J84" s="96"/>
      <c r="K84" s="96"/>
      <c r="L84" s="96"/>
      <c r="M84" s="96"/>
      <c r="N84" s="96"/>
      <c r="O84" s="96"/>
      <c r="P84" s="47">
        <f>Q84</f>
        <v>0</v>
      </c>
      <c r="Q84" s="96">
        <f>S84+U84+W84+Y84</f>
        <v>0</v>
      </c>
      <c r="R84" s="96">
        <f>S84</f>
        <v>0</v>
      </c>
      <c r="S84" s="96">
        <v>0</v>
      </c>
      <c r="T84" s="96">
        <v>0</v>
      </c>
      <c r="U84" s="96">
        <v>0</v>
      </c>
      <c r="V84" s="96">
        <f>W84</f>
        <v>0</v>
      </c>
      <c r="W84" s="96">
        <v>0</v>
      </c>
      <c r="X84" s="96">
        <f>Y84</f>
        <v>0</v>
      </c>
      <c r="Y84" s="96">
        <v>0</v>
      </c>
      <c r="Z84" s="96"/>
      <c r="AA84" s="96">
        <f>AB84+AD84</f>
        <v>0</v>
      </c>
      <c r="AB84" s="96">
        <v>0</v>
      </c>
      <c r="AC84" s="96">
        <v>0</v>
      </c>
      <c r="AD84" s="96">
        <v>0</v>
      </c>
      <c r="AE84" s="96">
        <v>0</v>
      </c>
      <c r="AF84" s="96">
        <f>AG84+AH84+AI84</f>
        <v>0</v>
      </c>
      <c r="AG84" s="96"/>
      <c r="AH84" s="96"/>
      <c r="AI84" s="96">
        <v>0</v>
      </c>
      <c r="AJ84" s="96"/>
      <c r="AK84" s="96"/>
      <c r="AL84" s="96"/>
      <c r="AM84" s="268"/>
      <c r="AN84" s="96"/>
      <c r="AO84" s="96"/>
      <c r="AP84" s="405"/>
      <c r="AQ84" s="96"/>
    </row>
    <row r="85" spans="1:43" ht="14.25" hidden="1" customHeight="1" x14ac:dyDescent="0.25">
      <c r="A85" s="1116"/>
      <c r="B85" s="1"/>
      <c r="C85" s="1103"/>
      <c r="D85" s="1103"/>
      <c r="E85" s="1103"/>
      <c r="F85" s="1103"/>
      <c r="G85" s="1122"/>
      <c r="H85" s="1122"/>
      <c r="I85" s="1144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96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"/>
      <c r="AN85" s="47"/>
      <c r="AO85" s="47"/>
      <c r="AP85" s="397"/>
      <c r="AQ85" s="96"/>
    </row>
    <row r="86" spans="1:43" s="327" customFormat="1" ht="27" customHeight="1" x14ac:dyDescent="0.25">
      <c r="A86" s="787" t="s">
        <v>58</v>
      </c>
      <c r="B86" s="780" t="s">
        <v>87</v>
      </c>
      <c r="C86" s="1326"/>
      <c r="D86" s="1326"/>
      <c r="E86" s="1326"/>
      <c r="F86" s="1326"/>
      <c r="G86" s="1127"/>
      <c r="H86" s="1127"/>
      <c r="I86" s="1326" t="s">
        <v>20</v>
      </c>
      <c r="J86" s="3">
        <f t="shared" ref="J86:J91" si="61">L86</f>
        <v>20425.87</v>
      </c>
      <c r="K86" s="3"/>
      <c r="L86" s="3">
        <f>L87+L91</f>
        <v>20425.87</v>
      </c>
      <c r="M86" s="3">
        <f t="shared" ref="M86:AO86" si="62">M87+M91</f>
        <v>616.66</v>
      </c>
      <c r="N86" s="3">
        <f t="shared" si="62"/>
        <v>6665.55</v>
      </c>
      <c r="O86" s="3">
        <f t="shared" si="62"/>
        <v>4018.39</v>
      </c>
      <c r="P86" s="3">
        <f t="shared" si="62"/>
        <v>4809.3900000000003</v>
      </c>
      <c r="Q86" s="3">
        <f t="shared" si="62"/>
        <v>0</v>
      </c>
      <c r="R86" s="3">
        <f t="shared" si="62"/>
        <v>0</v>
      </c>
      <c r="S86" s="3">
        <f t="shared" si="62"/>
        <v>416.67</v>
      </c>
      <c r="T86" s="3">
        <f t="shared" si="62"/>
        <v>495.38399999999996</v>
      </c>
      <c r="U86" s="3">
        <f t="shared" si="62"/>
        <v>495.38399999999996</v>
      </c>
      <c r="V86" s="3">
        <f t="shared" si="62"/>
        <v>278.41000000000003</v>
      </c>
      <c r="W86" s="3">
        <f t="shared" si="62"/>
        <v>318.26600000000002</v>
      </c>
      <c r="X86" s="3">
        <f t="shared" si="62"/>
        <v>0</v>
      </c>
      <c r="Y86" s="3">
        <f t="shared" si="62"/>
        <v>0</v>
      </c>
      <c r="Z86" s="95">
        <v>0</v>
      </c>
      <c r="AA86" s="3">
        <f>AA87+AA91+AQ86</f>
        <v>0</v>
      </c>
      <c r="AB86" s="3">
        <f t="shared" si="62"/>
        <v>0</v>
      </c>
      <c r="AC86" s="3">
        <f t="shared" si="62"/>
        <v>907.08299999999997</v>
      </c>
      <c r="AD86" s="3">
        <f t="shared" si="62"/>
        <v>308.33300000000003</v>
      </c>
      <c r="AE86" s="3">
        <f t="shared" si="62"/>
        <v>0</v>
      </c>
      <c r="AF86" s="3">
        <f t="shared" si="62"/>
        <v>0</v>
      </c>
      <c r="AG86" s="3">
        <f t="shared" si="62"/>
        <v>0</v>
      </c>
      <c r="AH86" s="3">
        <f t="shared" si="62"/>
        <v>0</v>
      </c>
      <c r="AI86" s="3">
        <f t="shared" si="62"/>
        <v>0</v>
      </c>
      <c r="AJ86" s="3">
        <f t="shared" si="62"/>
        <v>0</v>
      </c>
      <c r="AK86" s="3">
        <f>P86-Q86</f>
        <v>4809.3900000000003</v>
      </c>
      <c r="AL86" s="3">
        <f>AK86</f>
        <v>4809.3900000000003</v>
      </c>
      <c r="AM86" s="318">
        <f>ROUND((Q86*100%/P86*100),2)</f>
        <v>0</v>
      </c>
      <c r="AN86" s="3">
        <f t="shared" si="62"/>
        <v>0</v>
      </c>
      <c r="AO86" s="3">
        <f t="shared" si="62"/>
        <v>0</v>
      </c>
      <c r="AP86" s="633" t="s">
        <v>243</v>
      </c>
      <c r="AQ86" s="95">
        <v>0</v>
      </c>
    </row>
    <row r="87" spans="1:43" ht="14.25" customHeight="1" x14ac:dyDescent="0.25">
      <c r="A87" s="44"/>
      <c r="B87" s="1" t="s">
        <v>15</v>
      </c>
      <c r="C87" s="1327"/>
      <c r="D87" s="1327"/>
      <c r="E87" s="1327"/>
      <c r="F87" s="1327"/>
      <c r="G87" s="1122">
        <v>2020</v>
      </c>
      <c r="H87" s="1122">
        <v>2020</v>
      </c>
      <c r="I87" s="1327"/>
      <c r="J87" s="47">
        <f t="shared" si="61"/>
        <v>7560.63</v>
      </c>
      <c r="K87" s="47"/>
      <c r="L87" s="47">
        <v>7560.63</v>
      </c>
      <c r="M87" s="47">
        <v>616.66</v>
      </c>
      <c r="N87" s="47">
        <v>6665.55</v>
      </c>
      <c r="O87" s="47">
        <v>0</v>
      </c>
      <c r="P87" s="47">
        <v>791.01</v>
      </c>
      <c r="Q87" s="47">
        <v>0</v>
      </c>
      <c r="R87" s="47">
        <f>R90+R88+R89</f>
        <v>0</v>
      </c>
      <c r="S87" s="47">
        <f>S90+S88+S89</f>
        <v>416.67</v>
      </c>
      <c r="T87" s="47">
        <f>T90+T88+T89</f>
        <v>495.38399999999996</v>
      </c>
      <c r="U87" s="47">
        <f>SUM(U88:U90)</f>
        <v>495.38399999999996</v>
      </c>
      <c r="V87" s="47">
        <f t="shared" ref="V87:AK87" si="63">V90+V88</f>
        <v>278.41000000000003</v>
      </c>
      <c r="W87" s="47">
        <f>W90+W88+W89</f>
        <v>318.26600000000002</v>
      </c>
      <c r="X87" s="47">
        <f t="shared" si="63"/>
        <v>0</v>
      </c>
      <c r="Y87" s="47">
        <f t="shared" si="63"/>
        <v>0</v>
      </c>
      <c r="Z87" s="96"/>
      <c r="AA87" s="47">
        <v>0</v>
      </c>
      <c r="AB87" s="47">
        <f t="shared" si="63"/>
        <v>0</v>
      </c>
      <c r="AC87" s="47">
        <f t="shared" si="63"/>
        <v>907.08299999999997</v>
      </c>
      <c r="AD87" s="47">
        <f t="shared" si="63"/>
        <v>308.33300000000003</v>
      </c>
      <c r="AE87" s="47">
        <f t="shared" si="63"/>
        <v>0</v>
      </c>
      <c r="AF87" s="47">
        <f t="shared" si="63"/>
        <v>0</v>
      </c>
      <c r="AG87" s="47">
        <f t="shared" si="63"/>
        <v>0</v>
      </c>
      <c r="AH87" s="47">
        <f t="shared" si="63"/>
        <v>0</v>
      </c>
      <c r="AI87" s="47">
        <f t="shared" si="63"/>
        <v>0</v>
      </c>
      <c r="AJ87" s="47">
        <f t="shared" si="63"/>
        <v>0</v>
      </c>
      <c r="AK87" s="47">
        <f t="shared" si="63"/>
        <v>0</v>
      </c>
      <c r="AL87" s="47">
        <v>0</v>
      </c>
      <c r="AM87" s="47">
        <v>0</v>
      </c>
      <c r="AN87" s="47">
        <v>0</v>
      </c>
      <c r="AO87" s="47">
        <v>0</v>
      </c>
      <c r="AP87" s="397"/>
      <c r="AQ87" s="96"/>
    </row>
    <row r="88" spans="1:43" s="266" customFormat="1" ht="19.5" hidden="1" customHeight="1" x14ac:dyDescent="0.25">
      <c r="A88" s="251"/>
      <c r="B88" s="102" t="s">
        <v>297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96"/>
      <c r="Q88" s="96">
        <f>S88+U88+Y88+W88</f>
        <v>1215.42</v>
      </c>
      <c r="R88" s="96"/>
      <c r="S88" s="96">
        <v>416.67</v>
      </c>
      <c r="T88" s="96">
        <f>U88</f>
        <v>490.41699999999997</v>
      </c>
      <c r="U88" s="96">
        <v>490.41699999999997</v>
      </c>
      <c r="V88" s="96">
        <v>278.41000000000003</v>
      </c>
      <c r="W88" s="96">
        <v>308.33300000000003</v>
      </c>
      <c r="X88" s="96"/>
      <c r="Y88" s="96"/>
      <c r="Z88" s="96"/>
      <c r="AA88" s="96">
        <f>AC88+AD88</f>
        <v>1215.4159999999999</v>
      </c>
      <c r="AB88" s="96"/>
      <c r="AC88" s="96">
        <v>907.08299999999997</v>
      </c>
      <c r="AD88" s="96">
        <v>308.33300000000003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405"/>
      <c r="AQ88" s="96"/>
    </row>
    <row r="89" spans="1:43" s="266" customFormat="1" ht="19.5" hidden="1" customHeight="1" x14ac:dyDescent="0.25">
      <c r="A89" s="251"/>
      <c r="B89" s="102" t="s">
        <v>315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U89+W89</f>
        <v>14.899999999999999</v>
      </c>
      <c r="R89" s="96"/>
      <c r="S89" s="96">
        <v>0</v>
      </c>
      <c r="T89" s="96">
        <f>U89</f>
        <v>4.9669999999999996</v>
      </c>
      <c r="U89" s="96">
        <v>4.9669999999999996</v>
      </c>
      <c r="V89" s="96"/>
      <c r="W89" s="96">
        <v>9.9329999999999998</v>
      </c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6.5" hidden="1" customHeight="1" x14ac:dyDescent="0.25">
      <c r="A90" s="251"/>
      <c r="B90" s="102" t="s">
        <v>255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47">
        <v>0</v>
      </c>
      <c r="Q90" s="96">
        <f>S90+U90+Y90</f>
        <v>0</v>
      </c>
      <c r="R90" s="96">
        <f>S90</f>
        <v>0</v>
      </c>
      <c r="S90" s="96"/>
      <c r="T90" s="96"/>
      <c r="U90" s="96"/>
      <c r="V90" s="96"/>
      <c r="W90" s="96"/>
      <c r="X90" s="96"/>
      <c r="Y90" s="96">
        <v>0</v>
      </c>
      <c r="Z90" s="96"/>
      <c r="AA90" s="96">
        <f>AB90</f>
        <v>0</v>
      </c>
      <c r="AB90" s="96"/>
      <c r="AC90" s="96">
        <v>0</v>
      </c>
      <c r="AD90" s="96"/>
      <c r="AE90" s="96"/>
      <c r="AF90" s="96">
        <f>SUM(AG90:AG90)</f>
        <v>0</v>
      </c>
      <c r="AG90" s="96"/>
      <c r="AH90" s="96"/>
      <c r="AI90" s="96"/>
      <c r="AJ90" s="96"/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405"/>
      <c r="AQ90" s="96"/>
    </row>
    <row r="91" spans="1:43" ht="15.75" customHeight="1" x14ac:dyDescent="0.25">
      <c r="A91" s="44"/>
      <c r="B91" s="1" t="s">
        <v>16</v>
      </c>
      <c r="C91" s="1328"/>
      <c r="D91" s="1328"/>
      <c r="E91" s="1328"/>
      <c r="F91" s="1328"/>
      <c r="G91" s="1122">
        <v>2020</v>
      </c>
      <c r="H91" s="1122">
        <v>2020</v>
      </c>
      <c r="I91" s="1328"/>
      <c r="J91" s="47">
        <f t="shared" si="61"/>
        <v>12865.24</v>
      </c>
      <c r="K91" s="47"/>
      <c r="L91" s="47">
        <v>12865.24</v>
      </c>
      <c r="M91" s="47">
        <v>0</v>
      </c>
      <c r="N91" s="47">
        <v>0</v>
      </c>
      <c r="O91" s="47">
        <v>4018.39</v>
      </c>
      <c r="P91" s="47">
        <v>4018.38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96"/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397"/>
      <c r="AQ91" s="96"/>
    </row>
    <row r="92" spans="1:43" ht="44.25" hidden="1" customHeight="1" x14ac:dyDescent="0.25">
      <c r="A92" s="44" t="s">
        <v>59</v>
      </c>
      <c r="B92" s="1" t="s">
        <v>55</v>
      </c>
      <c r="C92" s="1122"/>
      <c r="D92" s="1122"/>
      <c r="E92" s="1122"/>
      <c r="F92" s="1122"/>
      <c r="G92" s="1122">
        <v>2021</v>
      </c>
      <c r="H92" s="1122"/>
      <c r="I92" s="1105" t="s">
        <v>20</v>
      </c>
      <c r="J92" s="1139">
        <v>313558.92</v>
      </c>
      <c r="K92" s="47"/>
      <c r="L92" s="47">
        <f>M92+N92+O92</f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v>0</v>
      </c>
      <c r="AB92" s="47">
        <v>0</v>
      </c>
      <c r="AC92" s="47"/>
      <c r="AD92" s="47"/>
      <c r="AE92" s="47"/>
      <c r="AF92" s="47">
        <v>0</v>
      </c>
      <c r="AG92" s="47"/>
      <c r="AH92" s="47"/>
      <c r="AI92" s="47"/>
      <c r="AJ92" s="47"/>
      <c r="AK92" s="47">
        <f>P92-Q92</f>
        <v>0</v>
      </c>
      <c r="AL92" s="47">
        <f>AK92</f>
        <v>0</v>
      </c>
      <c r="AM92" s="4">
        <v>0</v>
      </c>
      <c r="AN92" s="47">
        <v>0</v>
      </c>
      <c r="AO92" s="47">
        <v>0</v>
      </c>
      <c r="AP92" s="397" t="s">
        <v>158</v>
      </c>
      <c r="AQ92" s="96"/>
    </row>
    <row r="93" spans="1:43" s="327" customFormat="1" ht="40.5" customHeight="1" x14ac:dyDescent="0.25">
      <c r="A93" s="1372" t="s">
        <v>278</v>
      </c>
      <c r="B93" s="772" t="s">
        <v>202</v>
      </c>
      <c r="C93" s="312"/>
      <c r="D93" s="312"/>
      <c r="E93" s="312"/>
      <c r="F93" s="312"/>
      <c r="G93" s="312"/>
      <c r="H93" s="1108"/>
      <c r="I93" s="1326" t="s">
        <v>20</v>
      </c>
      <c r="J93" s="1117"/>
      <c r="K93" s="3"/>
      <c r="L93" s="3">
        <f>L94</f>
        <v>4214.49</v>
      </c>
      <c r="M93" s="3">
        <f t="shared" ref="M93:AO94" si="64">M94</f>
        <v>0</v>
      </c>
      <c r="N93" s="3">
        <f t="shared" si="64"/>
        <v>3995.07</v>
      </c>
      <c r="O93" s="3">
        <f t="shared" si="64"/>
        <v>0</v>
      </c>
      <c r="P93" s="3">
        <v>0</v>
      </c>
      <c r="Q93" s="3">
        <v>0</v>
      </c>
      <c r="R93" s="3">
        <f t="shared" si="64"/>
        <v>0</v>
      </c>
      <c r="S93" s="3">
        <f t="shared" si="64"/>
        <v>0</v>
      </c>
      <c r="T93" s="3">
        <f t="shared" si="64"/>
        <v>219.42</v>
      </c>
      <c r="U93" s="3">
        <f t="shared" si="64"/>
        <v>537.85</v>
      </c>
      <c r="V93" s="3">
        <f t="shared" si="64"/>
        <v>0</v>
      </c>
      <c r="W93" s="3">
        <f t="shared" si="64"/>
        <v>0</v>
      </c>
      <c r="X93" s="3">
        <f t="shared" si="64"/>
        <v>0</v>
      </c>
      <c r="Y93" s="3">
        <f t="shared" si="64"/>
        <v>0</v>
      </c>
      <c r="Z93" s="95">
        <v>0</v>
      </c>
      <c r="AA93" s="3">
        <v>0</v>
      </c>
      <c r="AB93" s="3">
        <f t="shared" si="64"/>
        <v>0</v>
      </c>
      <c r="AC93" s="3">
        <f t="shared" si="64"/>
        <v>0</v>
      </c>
      <c r="AD93" s="3">
        <f t="shared" si="64"/>
        <v>537.85400000000004</v>
      </c>
      <c r="AE93" s="3">
        <f t="shared" si="64"/>
        <v>0</v>
      </c>
      <c r="AF93" s="3">
        <f t="shared" si="64"/>
        <v>0</v>
      </c>
      <c r="AG93" s="3">
        <f t="shared" si="64"/>
        <v>0</v>
      </c>
      <c r="AH93" s="3">
        <f t="shared" si="64"/>
        <v>0</v>
      </c>
      <c r="AI93" s="3">
        <f t="shared" si="64"/>
        <v>0</v>
      </c>
      <c r="AJ93" s="3">
        <f t="shared" si="64"/>
        <v>0</v>
      </c>
      <c r="AK93" s="3">
        <f t="shared" si="64"/>
        <v>0</v>
      </c>
      <c r="AL93" s="3">
        <f t="shared" si="64"/>
        <v>0</v>
      </c>
      <c r="AM93" s="3">
        <f t="shared" si="64"/>
        <v>0</v>
      </c>
      <c r="AN93" s="3">
        <f t="shared" si="64"/>
        <v>0</v>
      </c>
      <c r="AO93" s="3">
        <f t="shared" si="64"/>
        <v>0</v>
      </c>
      <c r="AP93" s="633" t="s">
        <v>244</v>
      </c>
      <c r="AQ93" s="95">
        <v>0</v>
      </c>
    </row>
    <row r="94" spans="1:43" ht="17.25" hidden="1" customHeight="1" x14ac:dyDescent="0.25">
      <c r="A94" s="1638"/>
      <c r="B94" s="42" t="s">
        <v>203</v>
      </c>
      <c r="C94" s="313"/>
      <c r="D94" s="313"/>
      <c r="E94" s="313"/>
      <c r="F94" s="313"/>
      <c r="G94" s="313"/>
      <c r="H94" s="1153"/>
      <c r="I94" s="1639"/>
      <c r="J94" s="1139"/>
      <c r="K94" s="47"/>
      <c r="L94" s="47">
        <v>4214.49</v>
      </c>
      <c r="M94" s="47">
        <v>0</v>
      </c>
      <c r="N94" s="47">
        <v>3995.07</v>
      </c>
      <c r="O94" s="47">
        <v>0</v>
      </c>
      <c r="P94" s="47">
        <v>219.42</v>
      </c>
      <c r="Q94" s="47">
        <f>Q95</f>
        <v>537.85</v>
      </c>
      <c r="R94" s="47">
        <f t="shared" si="64"/>
        <v>0</v>
      </c>
      <c r="S94" s="47">
        <f t="shared" si="64"/>
        <v>0</v>
      </c>
      <c r="T94" s="47">
        <f t="shared" si="64"/>
        <v>219.42</v>
      </c>
      <c r="U94" s="47">
        <f t="shared" si="64"/>
        <v>537.85</v>
      </c>
      <c r="V94" s="47">
        <f t="shared" si="64"/>
        <v>0</v>
      </c>
      <c r="W94" s="47">
        <f t="shared" si="64"/>
        <v>0</v>
      </c>
      <c r="X94" s="47">
        <f t="shared" si="64"/>
        <v>0</v>
      </c>
      <c r="Y94" s="47">
        <f t="shared" si="64"/>
        <v>0</v>
      </c>
      <c r="Z94" s="96"/>
      <c r="AA94" s="47">
        <f t="shared" si="64"/>
        <v>537.85400000000004</v>
      </c>
      <c r="AB94" s="47">
        <f t="shared" si="64"/>
        <v>0</v>
      </c>
      <c r="AC94" s="47">
        <f t="shared" si="64"/>
        <v>0</v>
      </c>
      <c r="AD94" s="47">
        <f t="shared" si="64"/>
        <v>537.85400000000004</v>
      </c>
      <c r="AE94" s="47">
        <f t="shared" si="64"/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397"/>
      <c r="AQ94" s="96"/>
    </row>
    <row r="95" spans="1:43" s="266" customFormat="1" ht="28.5" hidden="1" customHeight="1" x14ac:dyDescent="0.25">
      <c r="A95" s="1639"/>
      <c r="B95" s="252" t="s">
        <v>267</v>
      </c>
      <c r="C95" s="363"/>
      <c r="D95" s="363"/>
      <c r="E95" s="363"/>
      <c r="F95" s="363"/>
      <c r="G95" s="363"/>
      <c r="H95" s="364"/>
      <c r="I95" s="539"/>
      <c r="J95" s="258"/>
      <c r="K95" s="96"/>
      <c r="L95" s="96"/>
      <c r="M95" s="96"/>
      <c r="N95" s="96"/>
      <c r="O95" s="96"/>
      <c r="P95" s="96"/>
      <c r="Q95" s="96">
        <f>S95+U95</f>
        <v>537.85</v>
      </c>
      <c r="R95" s="96"/>
      <c r="S95" s="96"/>
      <c r="T95" s="96">
        <v>219.42</v>
      </c>
      <c r="U95" s="96">
        <f>ROUND((645.425/1.2),2)</f>
        <v>537.85</v>
      </c>
      <c r="V95" s="96"/>
      <c r="W95" s="96"/>
      <c r="X95" s="96"/>
      <c r="Y95" s="96"/>
      <c r="Z95" s="96"/>
      <c r="AA95" s="96">
        <f>AD95</f>
        <v>537.85400000000004</v>
      </c>
      <c r="AB95" s="96"/>
      <c r="AC95" s="96"/>
      <c r="AD95" s="96">
        <v>537.85400000000004</v>
      </c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405"/>
      <c r="AQ95" s="96"/>
    </row>
    <row r="96" spans="1:43" s="327" customFormat="1" ht="42.75" customHeight="1" x14ac:dyDescent="0.25">
      <c r="A96" s="1372" t="s">
        <v>279</v>
      </c>
      <c r="B96" s="772" t="s">
        <v>204</v>
      </c>
      <c r="C96" s="312"/>
      <c r="D96" s="312"/>
      <c r="E96" s="312"/>
      <c r="F96" s="312"/>
      <c r="G96" s="312"/>
      <c r="H96" s="1108"/>
      <c r="I96" s="1326" t="s">
        <v>20</v>
      </c>
      <c r="J96" s="1117"/>
      <c r="K96" s="3"/>
      <c r="L96" s="3">
        <f>L97</f>
        <v>3214.56</v>
      </c>
      <c r="M96" s="3">
        <f t="shared" ref="M96:AO97" si="65">M97</f>
        <v>0</v>
      </c>
      <c r="N96" s="3">
        <f t="shared" si="65"/>
        <v>2956.68</v>
      </c>
      <c r="O96" s="3">
        <f t="shared" si="65"/>
        <v>0</v>
      </c>
      <c r="P96" s="3">
        <v>0</v>
      </c>
      <c r="Q96" s="3">
        <v>0</v>
      </c>
      <c r="R96" s="3">
        <f t="shared" si="65"/>
        <v>0</v>
      </c>
      <c r="S96" s="3">
        <f t="shared" si="65"/>
        <v>0</v>
      </c>
      <c r="T96" s="3">
        <f t="shared" si="65"/>
        <v>0</v>
      </c>
      <c r="U96" s="3">
        <f t="shared" si="65"/>
        <v>409.15</v>
      </c>
      <c r="V96" s="3">
        <f t="shared" si="65"/>
        <v>0</v>
      </c>
      <c r="W96" s="3">
        <f t="shared" si="65"/>
        <v>0</v>
      </c>
      <c r="X96" s="3">
        <f t="shared" si="65"/>
        <v>0</v>
      </c>
      <c r="Y96" s="3">
        <f t="shared" si="65"/>
        <v>0</v>
      </c>
      <c r="Z96" s="95">
        <v>0</v>
      </c>
      <c r="AA96" s="3">
        <v>0</v>
      </c>
      <c r="AB96" s="3">
        <f t="shared" si="65"/>
        <v>0</v>
      </c>
      <c r="AC96" s="3">
        <f t="shared" si="65"/>
        <v>0</v>
      </c>
      <c r="AD96" s="3">
        <f t="shared" si="65"/>
        <v>409.14699999999999</v>
      </c>
      <c r="AE96" s="3">
        <f t="shared" si="65"/>
        <v>0</v>
      </c>
      <c r="AF96" s="3">
        <f>AF97</f>
        <v>0</v>
      </c>
      <c r="AG96" s="3">
        <f t="shared" si="65"/>
        <v>0</v>
      </c>
      <c r="AH96" s="3">
        <f t="shared" si="65"/>
        <v>0</v>
      </c>
      <c r="AI96" s="3">
        <f t="shared" si="65"/>
        <v>0</v>
      </c>
      <c r="AJ96" s="3">
        <f t="shared" si="65"/>
        <v>0</v>
      </c>
      <c r="AK96" s="3">
        <f t="shared" si="65"/>
        <v>0</v>
      </c>
      <c r="AL96" s="3">
        <f t="shared" si="65"/>
        <v>0</v>
      </c>
      <c r="AM96" s="3">
        <f t="shared" si="65"/>
        <v>0</v>
      </c>
      <c r="AN96" s="3">
        <f t="shared" si="65"/>
        <v>0</v>
      </c>
      <c r="AO96" s="3">
        <f t="shared" si="65"/>
        <v>0</v>
      </c>
      <c r="AP96" s="633" t="s">
        <v>244</v>
      </c>
      <c r="AQ96" s="95">
        <v>0</v>
      </c>
    </row>
    <row r="97" spans="1:43" ht="17.25" hidden="1" customHeight="1" x14ac:dyDescent="0.25">
      <c r="A97" s="1382"/>
      <c r="B97" s="42" t="s">
        <v>203</v>
      </c>
      <c r="C97" s="313"/>
      <c r="D97" s="313"/>
      <c r="E97" s="313"/>
      <c r="F97" s="313"/>
      <c r="G97" s="313"/>
      <c r="H97" s="1153"/>
      <c r="I97" s="1639"/>
      <c r="J97" s="1139"/>
      <c r="K97" s="47"/>
      <c r="L97" s="47">
        <v>3214.56</v>
      </c>
      <c r="M97" s="47">
        <v>0</v>
      </c>
      <c r="N97" s="47">
        <v>2956.68</v>
      </c>
      <c r="O97" s="47">
        <v>0</v>
      </c>
      <c r="P97" s="47">
        <v>257.88</v>
      </c>
      <c r="Q97" s="47">
        <f>Q98</f>
        <v>409.15</v>
      </c>
      <c r="R97" s="47">
        <f t="shared" si="65"/>
        <v>0</v>
      </c>
      <c r="S97" s="47">
        <f t="shared" si="65"/>
        <v>0</v>
      </c>
      <c r="T97" s="47">
        <f t="shared" si="65"/>
        <v>0</v>
      </c>
      <c r="U97" s="47">
        <f t="shared" si="65"/>
        <v>409.15</v>
      </c>
      <c r="V97" s="47">
        <f t="shared" si="65"/>
        <v>0</v>
      </c>
      <c r="W97" s="47">
        <f t="shared" si="65"/>
        <v>0</v>
      </c>
      <c r="X97" s="47">
        <f t="shared" si="65"/>
        <v>0</v>
      </c>
      <c r="Y97" s="47">
        <f t="shared" si="65"/>
        <v>0</v>
      </c>
      <c r="Z97" s="96"/>
      <c r="AA97" s="47">
        <f t="shared" si="65"/>
        <v>409.14699999999999</v>
      </c>
      <c r="AB97" s="47">
        <f t="shared" si="65"/>
        <v>0</v>
      </c>
      <c r="AC97" s="47">
        <f t="shared" si="65"/>
        <v>0</v>
      </c>
      <c r="AD97" s="47">
        <f t="shared" si="65"/>
        <v>409.14699999999999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397"/>
      <c r="AQ97" s="96"/>
    </row>
    <row r="98" spans="1:43" s="266" customFormat="1" ht="27.75" hidden="1" customHeight="1" x14ac:dyDescent="0.25">
      <c r="A98" s="1639"/>
      <c r="B98" s="252" t="s">
        <v>267</v>
      </c>
      <c r="C98" s="363"/>
      <c r="D98" s="363"/>
      <c r="E98" s="363"/>
      <c r="F98" s="363"/>
      <c r="G98" s="363"/>
      <c r="H98" s="364"/>
      <c r="I98" s="539"/>
      <c r="J98" s="258"/>
      <c r="K98" s="96"/>
      <c r="L98" s="96"/>
      <c r="M98" s="96"/>
      <c r="N98" s="96"/>
      <c r="O98" s="96"/>
      <c r="P98" s="96"/>
      <c r="Q98" s="96">
        <f>S98+U98</f>
        <v>409.15</v>
      </c>
      <c r="R98" s="96"/>
      <c r="S98" s="96"/>
      <c r="T98" s="96"/>
      <c r="U98" s="96">
        <f>ROUND((490.979/1.2),2)</f>
        <v>409.15</v>
      </c>
      <c r="V98" s="96"/>
      <c r="W98" s="96"/>
      <c r="X98" s="96"/>
      <c r="Y98" s="96"/>
      <c r="Z98" s="96"/>
      <c r="AA98" s="96">
        <f>AD98</f>
        <v>409.14699999999999</v>
      </c>
      <c r="AB98" s="96"/>
      <c r="AC98" s="96"/>
      <c r="AD98" s="96">
        <v>409.14699999999999</v>
      </c>
      <c r="AE98" s="96"/>
      <c r="AF98" s="96"/>
      <c r="AG98" s="96"/>
      <c r="AH98" s="96"/>
      <c r="AI98" s="96"/>
      <c r="AJ98" s="96"/>
      <c r="AK98" s="96"/>
      <c r="AL98" s="96"/>
      <c r="AM98" s="268"/>
      <c r="AN98" s="96"/>
      <c r="AO98" s="96"/>
      <c r="AP98" s="405"/>
      <c r="AQ98" s="96"/>
    </row>
    <row r="99" spans="1:43" s="327" customFormat="1" ht="41.25" customHeight="1" x14ac:dyDescent="0.25">
      <c r="A99" s="1372" t="s">
        <v>159</v>
      </c>
      <c r="B99" s="772" t="s">
        <v>326</v>
      </c>
      <c r="C99" s="312"/>
      <c r="D99" s="312"/>
      <c r="E99" s="312"/>
      <c r="F99" s="312"/>
      <c r="G99" s="312"/>
      <c r="H99" s="1108"/>
      <c r="I99" s="1326" t="s">
        <v>20</v>
      </c>
      <c r="J99" s="1117"/>
      <c r="K99" s="3"/>
      <c r="L99" s="3">
        <f>L100</f>
        <v>372.9</v>
      </c>
      <c r="M99" s="3">
        <f>M100</f>
        <v>0</v>
      </c>
      <c r="N99" s="3">
        <f t="shared" ref="N99:AO100" si="66">N100</f>
        <v>372.9</v>
      </c>
      <c r="O99" s="3">
        <f t="shared" si="66"/>
        <v>0</v>
      </c>
      <c r="P99" s="3">
        <f t="shared" si="66"/>
        <v>0</v>
      </c>
      <c r="Q99" s="3">
        <f t="shared" si="66"/>
        <v>0</v>
      </c>
      <c r="R99" s="3">
        <f t="shared" si="66"/>
        <v>0</v>
      </c>
      <c r="S99" s="3">
        <f t="shared" si="66"/>
        <v>0</v>
      </c>
      <c r="T99" s="3">
        <f t="shared" si="66"/>
        <v>0</v>
      </c>
      <c r="U99" s="3">
        <f t="shared" si="66"/>
        <v>0</v>
      </c>
      <c r="V99" s="3">
        <f t="shared" si="66"/>
        <v>0</v>
      </c>
      <c r="W99" s="3">
        <f t="shared" si="66"/>
        <v>0</v>
      </c>
      <c r="X99" s="3">
        <f t="shared" si="66"/>
        <v>0</v>
      </c>
      <c r="Y99" s="3">
        <f t="shared" si="66"/>
        <v>0</v>
      </c>
      <c r="Z99" s="95">
        <v>0</v>
      </c>
      <c r="AA99" s="3">
        <f t="shared" si="66"/>
        <v>0</v>
      </c>
      <c r="AB99" s="3">
        <f t="shared" si="66"/>
        <v>0</v>
      </c>
      <c r="AC99" s="3">
        <f t="shared" si="66"/>
        <v>0</v>
      </c>
      <c r="AD99" s="3">
        <f t="shared" si="66"/>
        <v>0</v>
      </c>
      <c r="AE99" s="3">
        <f t="shared" si="66"/>
        <v>0</v>
      </c>
      <c r="AF99" s="3">
        <f t="shared" si="66"/>
        <v>0</v>
      </c>
      <c r="AG99" s="3">
        <f t="shared" si="66"/>
        <v>0</v>
      </c>
      <c r="AH99" s="3">
        <f t="shared" si="66"/>
        <v>0</v>
      </c>
      <c r="AI99" s="3">
        <f t="shared" si="66"/>
        <v>0</v>
      </c>
      <c r="AJ99" s="3">
        <f t="shared" si="66"/>
        <v>0</v>
      </c>
      <c r="AK99" s="3">
        <f>P99-Q99</f>
        <v>0</v>
      </c>
      <c r="AL99" s="3">
        <f t="shared" si="66"/>
        <v>0</v>
      </c>
      <c r="AM99" s="318">
        <v>0</v>
      </c>
      <c r="AN99" s="3">
        <f t="shared" si="66"/>
        <v>0</v>
      </c>
      <c r="AO99" s="3">
        <f t="shared" si="66"/>
        <v>0</v>
      </c>
      <c r="AP99" s="633" t="s">
        <v>274</v>
      </c>
      <c r="AQ99" s="95">
        <v>0</v>
      </c>
    </row>
    <row r="100" spans="1:43" ht="17.25" hidden="1" customHeight="1" x14ac:dyDescent="0.25">
      <c r="A100" s="1383"/>
      <c r="B100" s="42" t="s">
        <v>203</v>
      </c>
      <c r="C100" s="313"/>
      <c r="D100" s="313"/>
      <c r="E100" s="313"/>
      <c r="F100" s="313"/>
      <c r="G100" s="313"/>
      <c r="H100" s="1153"/>
      <c r="I100" s="1639"/>
      <c r="J100" s="1139"/>
      <c r="K100" s="47"/>
      <c r="L100" s="47">
        <v>372.9</v>
      </c>
      <c r="M100" s="47">
        <v>0</v>
      </c>
      <c r="N100" s="47">
        <v>372.9</v>
      </c>
      <c r="O100" s="47">
        <v>0</v>
      </c>
      <c r="P100" s="47">
        <v>0</v>
      </c>
      <c r="Q100" s="47">
        <f>Q101</f>
        <v>0</v>
      </c>
      <c r="R100" s="47">
        <f t="shared" si="66"/>
        <v>0</v>
      </c>
      <c r="S100" s="47">
        <f t="shared" si="66"/>
        <v>0</v>
      </c>
      <c r="T100" s="47">
        <f t="shared" si="66"/>
        <v>0</v>
      </c>
      <c r="U100" s="47">
        <f t="shared" si="66"/>
        <v>0</v>
      </c>
      <c r="V100" s="47">
        <f t="shared" si="66"/>
        <v>0</v>
      </c>
      <c r="W100" s="47">
        <f t="shared" si="66"/>
        <v>0</v>
      </c>
      <c r="X100" s="47">
        <f t="shared" si="66"/>
        <v>0</v>
      </c>
      <c r="Y100" s="47">
        <f t="shared" si="66"/>
        <v>0</v>
      </c>
      <c r="Z100" s="96"/>
      <c r="AA100" s="47">
        <f t="shared" si="66"/>
        <v>0</v>
      </c>
      <c r="AB100" s="47">
        <f t="shared" si="66"/>
        <v>0</v>
      </c>
      <c r="AC100" s="47">
        <f t="shared" si="66"/>
        <v>0</v>
      </c>
      <c r="AD100" s="47">
        <f t="shared" si="66"/>
        <v>0</v>
      </c>
      <c r="AE100" s="47">
        <f t="shared" si="66"/>
        <v>0</v>
      </c>
      <c r="AF100" s="47">
        <f>AF101</f>
        <v>0</v>
      </c>
      <c r="AG100" s="47">
        <f t="shared" si="66"/>
        <v>0</v>
      </c>
      <c r="AH100" s="47">
        <f t="shared" si="66"/>
        <v>0</v>
      </c>
      <c r="AI100" s="47">
        <f t="shared" si="66"/>
        <v>0</v>
      </c>
      <c r="AJ100" s="47">
        <f t="shared" si="66"/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397"/>
      <c r="AQ100" s="96"/>
    </row>
    <row r="101" spans="1:43" s="266" customFormat="1" ht="17.25" hidden="1" customHeight="1" x14ac:dyDescent="0.25">
      <c r="A101" s="362"/>
      <c r="B101" s="252" t="s">
        <v>224</v>
      </c>
      <c r="C101" s="363"/>
      <c r="D101" s="363"/>
      <c r="E101" s="363"/>
      <c r="F101" s="363"/>
      <c r="G101" s="363"/>
      <c r="H101" s="364"/>
      <c r="I101" s="539"/>
      <c r="J101" s="258"/>
      <c r="K101" s="96"/>
      <c r="L101" s="96"/>
      <c r="M101" s="96"/>
      <c r="N101" s="96"/>
      <c r="O101" s="96"/>
      <c r="P101" s="47"/>
      <c r="Q101" s="96">
        <f>Y101</f>
        <v>0</v>
      </c>
      <c r="R101" s="96"/>
      <c r="S101" s="96"/>
      <c r="T101" s="96"/>
      <c r="U101" s="96"/>
      <c r="V101" s="96"/>
      <c r="W101" s="96"/>
      <c r="X101" s="96">
        <v>0</v>
      </c>
      <c r="Y101" s="96">
        <v>0</v>
      </c>
      <c r="Z101" s="96"/>
      <c r="AA101" s="96">
        <v>0</v>
      </c>
      <c r="AB101" s="96">
        <v>0</v>
      </c>
      <c r="AC101" s="96"/>
      <c r="AD101" s="96"/>
      <c r="AE101" s="96"/>
      <c r="AF101" s="96">
        <f>SUM(AG101:AG101)</f>
        <v>0</v>
      </c>
      <c r="AG101" s="96"/>
      <c r="AH101" s="96"/>
      <c r="AI101" s="96"/>
      <c r="AJ101" s="96"/>
      <c r="AK101" s="96"/>
      <c r="AL101" s="96"/>
      <c r="AM101" s="96"/>
      <c r="AN101" s="96"/>
      <c r="AO101" s="96"/>
      <c r="AP101" s="405"/>
      <c r="AQ101" s="96"/>
    </row>
    <row r="102" spans="1:43" s="327" customFormat="1" ht="41.25" customHeight="1" x14ac:dyDescent="0.25">
      <c r="A102" s="1372" t="s">
        <v>160</v>
      </c>
      <c r="B102" s="772" t="s">
        <v>163</v>
      </c>
      <c r="C102" s="312"/>
      <c r="D102" s="312"/>
      <c r="E102" s="312"/>
      <c r="F102" s="312"/>
      <c r="G102" s="312"/>
      <c r="H102" s="1108"/>
      <c r="I102" s="1326" t="s">
        <v>20</v>
      </c>
      <c r="J102" s="1117"/>
      <c r="K102" s="3"/>
      <c r="L102" s="3">
        <f>L103+L107</f>
        <v>5513.9</v>
      </c>
      <c r="M102" s="3">
        <f t="shared" ref="M102:AO102" si="67">M103+M107</f>
        <v>297.18</v>
      </c>
      <c r="N102" s="3">
        <f t="shared" si="67"/>
        <v>1639.84</v>
      </c>
      <c r="O102" s="3">
        <f t="shared" si="67"/>
        <v>0</v>
      </c>
      <c r="P102" s="3">
        <f t="shared" si="67"/>
        <v>0</v>
      </c>
      <c r="Q102" s="3">
        <f t="shared" si="67"/>
        <v>0</v>
      </c>
      <c r="R102" s="3">
        <f t="shared" si="67"/>
        <v>0</v>
      </c>
      <c r="S102" s="3">
        <f t="shared" si="67"/>
        <v>0</v>
      </c>
      <c r="T102" s="3">
        <f t="shared" si="67"/>
        <v>0</v>
      </c>
      <c r="U102" s="3">
        <f t="shared" si="67"/>
        <v>0</v>
      </c>
      <c r="V102" s="3">
        <f t="shared" si="67"/>
        <v>0</v>
      </c>
      <c r="W102" s="3">
        <f t="shared" si="67"/>
        <v>0</v>
      </c>
      <c r="X102" s="3">
        <f t="shared" si="67"/>
        <v>0</v>
      </c>
      <c r="Y102" s="3">
        <f t="shared" si="67"/>
        <v>0</v>
      </c>
      <c r="Z102" s="95">
        <v>0</v>
      </c>
      <c r="AA102" s="3">
        <f t="shared" si="67"/>
        <v>0</v>
      </c>
      <c r="AB102" s="3">
        <f t="shared" si="67"/>
        <v>0</v>
      </c>
      <c r="AC102" s="3">
        <f t="shared" si="67"/>
        <v>0</v>
      </c>
      <c r="AD102" s="3">
        <f t="shared" si="67"/>
        <v>0</v>
      </c>
      <c r="AE102" s="3">
        <f t="shared" si="67"/>
        <v>0</v>
      </c>
      <c r="AF102" s="3">
        <f t="shared" si="67"/>
        <v>0</v>
      </c>
      <c r="AG102" s="3">
        <f t="shared" si="67"/>
        <v>0</v>
      </c>
      <c r="AH102" s="3">
        <f>AH103+AH107</f>
        <v>0</v>
      </c>
      <c r="AI102" s="3">
        <f>AI103+AI107</f>
        <v>0</v>
      </c>
      <c r="AJ102" s="3">
        <f>AJ103+AJ107</f>
        <v>0</v>
      </c>
      <c r="AK102" s="3">
        <f>P102-Q102</f>
        <v>0</v>
      </c>
      <c r="AL102" s="3">
        <f t="shared" si="67"/>
        <v>0</v>
      </c>
      <c r="AM102" s="318">
        <v>0</v>
      </c>
      <c r="AN102" s="3">
        <f t="shared" si="67"/>
        <v>0</v>
      </c>
      <c r="AO102" s="3">
        <f t="shared" si="67"/>
        <v>0</v>
      </c>
      <c r="AP102" s="633" t="s">
        <v>256</v>
      </c>
      <c r="AQ102" s="95">
        <v>0</v>
      </c>
    </row>
    <row r="103" spans="1:43" ht="17.25" hidden="1" customHeight="1" x14ac:dyDescent="0.25">
      <c r="A103" s="1382"/>
      <c r="B103" s="42" t="s">
        <v>15</v>
      </c>
      <c r="C103" s="313"/>
      <c r="D103" s="313"/>
      <c r="E103" s="313"/>
      <c r="F103" s="313"/>
      <c r="G103" s="313"/>
      <c r="H103" s="1153"/>
      <c r="I103" s="1638"/>
      <c r="J103" s="1139"/>
      <c r="K103" s="47"/>
      <c r="L103" s="47">
        <v>594.36</v>
      </c>
      <c r="M103" s="47">
        <v>297.18</v>
      </c>
      <c r="N103" s="47">
        <v>0</v>
      </c>
      <c r="O103" s="47">
        <v>0</v>
      </c>
      <c r="P103" s="47">
        <f>N103</f>
        <v>0</v>
      </c>
      <c r="Q103" s="47">
        <f>SUM(Q104:Q106)</f>
        <v>0</v>
      </c>
      <c r="R103" s="47">
        <f t="shared" ref="R103:AJ103" si="68">SUM(R104:R106)</f>
        <v>0</v>
      </c>
      <c r="S103" s="47">
        <f>SUM(S104:S106)</f>
        <v>0</v>
      </c>
      <c r="T103" s="47">
        <f t="shared" si="68"/>
        <v>0</v>
      </c>
      <c r="U103" s="47">
        <f t="shared" si="68"/>
        <v>0</v>
      </c>
      <c r="V103" s="47">
        <f t="shared" si="68"/>
        <v>0</v>
      </c>
      <c r="W103" s="47">
        <f t="shared" si="68"/>
        <v>0</v>
      </c>
      <c r="X103" s="47">
        <v>0</v>
      </c>
      <c r="Y103" s="47">
        <f t="shared" si="68"/>
        <v>0</v>
      </c>
      <c r="Z103" s="96"/>
      <c r="AA103" s="47">
        <f t="shared" si="68"/>
        <v>0</v>
      </c>
      <c r="AB103" s="47">
        <f t="shared" si="68"/>
        <v>0</v>
      </c>
      <c r="AC103" s="47">
        <f t="shared" si="68"/>
        <v>0</v>
      </c>
      <c r="AD103" s="47">
        <f t="shared" si="68"/>
        <v>0</v>
      </c>
      <c r="AE103" s="47">
        <f t="shared" si="68"/>
        <v>0</v>
      </c>
      <c r="AF103" s="47">
        <f>SUM(AF104:AF106)</f>
        <v>0</v>
      </c>
      <c r="AG103" s="47">
        <f t="shared" si="68"/>
        <v>0</v>
      </c>
      <c r="AH103" s="47">
        <f t="shared" si="68"/>
        <v>0</v>
      </c>
      <c r="AI103" s="47">
        <f t="shared" si="68"/>
        <v>0</v>
      </c>
      <c r="AJ103" s="47">
        <f t="shared" si="68"/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397">
        <v>159.434</v>
      </c>
      <c r="AQ103" s="96"/>
    </row>
    <row r="104" spans="1:43" s="266" customFormat="1" ht="17.25" hidden="1" customHeight="1" x14ac:dyDescent="0.25">
      <c r="A104" s="1382"/>
      <c r="B104" s="252" t="s">
        <v>225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s="266" customFormat="1" ht="17.25" hidden="1" customHeight="1" x14ac:dyDescent="0.25">
      <c r="A105" s="1382"/>
      <c r="B105" s="252" t="s">
        <v>226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S105</f>
        <v>0</v>
      </c>
      <c r="R105" s="96">
        <f>S105</f>
        <v>0</v>
      </c>
      <c r="S105" s="96">
        <v>0</v>
      </c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f>AB105</f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227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Y106</f>
        <v>0</v>
      </c>
      <c r="R106" s="96"/>
      <c r="S106" s="96"/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ht="16.5" hidden="1" customHeight="1" x14ac:dyDescent="0.25">
      <c r="A107" s="1383"/>
      <c r="B107" s="42" t="s">
        <v>32</v>
      </c>
      <c r="C107" s="313"/>
      <c r="D107" s="313"/>
      <c r="E107" s="313"/>
      <c r="F107" s="313"/>
      <c r="G107" s="313"/>
      <c r="H107" s="1153"/>
      <c r="I107" s="1639"/>
      <c r="J107" s="1139"/>
      <c r="K107" s="47"/>
      <c r="L107" s="47">
        <v>4919.54</v>
      </c>
      <c r="M107" s="47">
        <v>0</v>
      </c>
      <c r="N107" s="47">
        <v>1639.84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96"/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>
        <v>1639.8466699999999</v>
      </c>
      <c r="AQ107" s="96"/>
    </row>
    <row r="108" spans="1:43" s="327" customFormat="1" ht="40.5" customHeight="1" x14ac:dyDescent="0.25">
      <c r="A108" s="1372" t="s">
        <v>162</v>
      </c>
      <c r="B108" s="772" t="s">
        <v>166</v>
      </c>
      <c r="C108" s="312"/>
      <c r="D108" s="312"/>
      <c r="E108" s="312"/>
      <c r="F108" s="312"/>
      <c r="G108" s="312"/>
      <c r="H108" s="1108"/>
      <c r="I108" s="1326" t="s">
        <v>20</v>
      </c>
      <c r="J108" s="1117"/>
      <c r="K108" s="3"/>
      <c r="L108" s="3">
        <f>L109+L112</f>
        <v>94875.549999999988</v>
      </c>
      <c r="M108" s="3">
        <f t="shared" ref="M108:AO108" si="69">M109+M112</f>
        <v>2761.44</v>
      </c>
      <c r="N108" s="3">
        <f t="shared" si="69"/>
        <v>9629.67</v>
      </c>
      <c r="O108" s="3">
        <f t="shared" si="69"/>
        <v>22469.279999999999</v>
      </c>
      <c r="P108" s="3">
        <f>P109+P111</f>
        <v>18622.57</v>
      </c>
      <c r="Q108" s="3">
        <f t="shared" si="69"/>
        <v>0</v>
      </c>
      <c r="R108" s="3">
        <f t="shared" si="69"/>
        <v>646.03</v>
      </c>
      <c r="S108" s="3">
        <f t="shared" si="69"/>
        <v>646.02599999999995</v>
      </c>
      <c r="T108" s="3">
        <f t="shared" si="69"/>
        <v>872.63599999999997</v>
      </c>
      <c r="U108" s="3">
        <f t="shared" si="69"/>
        <v>872.63599999999997</v>
      </c>
      <c r="V108" s="3">
        <f t="shared" si="69"/>
        <v>0</v>
      </c>
      <c r="W108" s="3">
        <f t="shared" si="69"/>
        <v>0</v>
      </c>
      <c r="X108" s="3">
        <f t="shared" si="69"/>
        <v>0</v>
      </c>
      <c r="Y108" s="3">
        <f t="shared" si="69"/>
        <v>0</v>
      </c>
      <c r="Z108" s="95">
        <v>0</v>
      </c>
      <c r="AA108" s="3">
        <f t="shared" si="69"/>
        <v>0</v>
      </c>
      <c r="AB108" s="3">
        <f t="shared" si="69"/>
        <v>0</v>
      </c>
      <c r="AC108" s="3">
        <f t="shared" si="69"/>
        <v>0</v>
      </c>
      <c r="AD108" s="3">
        <f t="shared" si="69"/>
        <v>0</v>
      </c>
      <c r="AE108" s="3">
        <f t="shared" si="69"/>
        <v>0</v>
      </c>
      <c r="AF108" s="3">
        <f t="shared" si="69"/>
        <v>0</v>
      </c>
      <c r="AG108" s="3">
        <f t="shared" si="69"/>
        <v>0</v>
      </c>
      <c r="AH108" s="3">
        <f t="shared" si="69"/>
        <v>0</v>
      </c>
      <c r="AI108" s="3">
        <f t="shared" si="69"/>
        <v>0</v>
      </c>
      <c r="AJ108" s="3">
        <f t="shared" si="69"/>
        <v>0</v>
      </c>
      <c r="AK108" s="3">
        <f>P108-Q108</f>
        <v>18622.57</v>
      </c>
      <c r="AL108" s="3">
        <f t="shared" si="69"/>
        <v>0</v>
      </c>
      <c r="AM108" s="318">
        <f>ROUND((Q108*100%/P108*100),2)</f>
        <v>0</v>
      </c>
      <c r="AN108" s="3">
        <f t="shared" si="69"/>
        <v>0</v>
      </c>
      <c r="AO108" s="3">
        <f t="shared" si="69"/>
        <v>0</v>
      </c>
      <c r="AP108" s="633" t="s">
        <v>256</v>
      </c>
      <c r="AQ108" s="95">
        <v>0</v>
      </c>
    </row>
    <row r="109" spans="1:43" ht="16.5" customHeight="1" x14ac:dyDescent="0.25">
      <c r="A109" s="1382"/>
      <c r="B109" s="42" t="s">
        <v>15</v>
      </c>
      <c r="C109" s="313"/>
      <c r="D109" s="313"/>
      <c r="E109" s="313"/>
      <c r="F109" s="313"/>
      <c r="G109" s="313"/>
      <c r="H109" s="1153"/>
      <c r="I109" s="1638"/>
      <c r="J109" s="1139"/>
      <c r="K109" s="47"/>
      <c r="L109" s="47">
        <v>5734.87</v>
      </c>
      <c r="M109" s="47">
        <v>2761.44</v>
      </c>
      <c r="N109" s="47">
        <v>105.99</v>
      </c>
      <c r="O109" s="47">
        <v>0</v>
      </c>
      <c r="P109" s="47">
        <v>0</v>
      </c>
      <c r="Q109" s="47">
        <v>0</v>
      </c>
      <c r="R109" s="47">
        <v>646.03</v>
      </c>
      <c r="S109" s="47">
        <f t="shared" ref="S109:AJ109" si="70">SUM(S110:S111)</f>
        <v>646.02599999999995</v>
      </c>
      <c r="T109" s="47">
        <f t="shared" si="70"/>
        <v>872.63599999999997</v>
      </c>
      <c r="U109" s="47">
        <f t="shared" si="70"/>
        <v>872.63599999999997</v>
      </c>
      <c r="V109" s="47">
        <f t="shared" si="70"/>
        <v>0</v>
      </c>
      <c r="W109" s="47">
        <f t="shared" si="70"/>
        <v>0</v>
      </c>
      <c r="X109" s="47">
        <v>0</v>
      </c>
      <c r="Y109" s="47">
        <f t="shared" si="70"/>
        <v>0</v>
      </c>
      <c r="Z109" s="96"/>
      <c r="AA109" s="47">
        <f t="shared" si="70"/>
        <v>0</v>
      </c>
      <c r="AB109" s="47">
        <f t="shared" si="70"/>
        <v>0</v>
      </c>
      <c r="AC109" s="47">
        <f t="shared" si="70"/>
        <v>0</v>
      </c>
      <c r="AD109" s="47">
        <f t="shared" si="70"/>
        <v>0</v>
      </c>
      <c r="AE109" s="47">
        <f t="shared" si="70"/>
        <v>0</v>
      </c>
      <c r="AF109" s="47">
        <f t="shared" si="70"/>
        <v>0</v>
      </c>
      <c r="AG109" s="47">
        <f t="shared" si="70"/>
        <v>0</v>
      </c>
      <c r="AH109" s="47">
        <f t="shared" si="70"/>
        <v>0</v>
      </c>
      <c r="AI109" s="47">
        <f t="shared" si="70"/>
        <v>0</v>
      </c>
      <c r="AJ109" s="47">
        <f t="shared" si="70"/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397"/>
      <c r="AQ109" s="96"/>
    </row>
    <row r="110" spans="1:43" s="266" customFormat="1" ht="16.5" hidden="1" customHeight="1" x14ac:dyDescent="0.25">
      <c r="A110" s="1382"/>
      <c r="B110" s="252" t="s">
        <v>268</v>
      </c>
      <c r="C110" s="363"/>
      <c r="D110" s="363"/>
      <c r="E110" s="363"/>
      <c r="F110" s="363"/>
      <c r="G110" s="363"/>
      <c r="H110" s="364"/>
      <c r="I110" s="1638"/>
      <c r="J110" s="258"/>
      <c r="K110" s="96"/>
      <c r="L110" s="47">
        <f>SUM(M110:O110)</f>
        <v>0</v>
      </c>
      <c r="M110" s="96"/>
      <c r="N110" s="96"/>
      <c r="O110" s="96"/>
      <c r="P110" s="47"/>
      <c r="Q110" s="96">
        <f>S110+U110</f>
        <v>1518.6619999999998</v>
      </c>
      <c r="R110" s="96">
        <v>0</v>
      </c>
      <c r="S110" s="96">
        <v>646.02599999999995</v>
      </c>
      <c r="T110" s="96">
        <f>U110</f>
        <v>872.63599999999997</v>
      </c>
      <c r="U110" s="96">
        <v>872.63599999999997</v>
      </c>
      <c r="V110" s="96"/>
      <c r="W110" s="96"/>
      <c r="X110" s="96">
        <v>0</v>
      </c>
      <c r="Y110" s="96">
        <v>0</v>
      </c>
      <c r="Z110" s="96"/>
      <c r="AA110" s="96">
        <v>0</v>
      </c>
      <c r="AB110" s="96">
        <v>0</v>
      </c>
      <c r="AC110" s="96"/>
      <c r="AD110" s="96"/>
      <c r="AE110" s="96">
        <v>0</v>
      </c>
      <c r="AF110" s="96">
        <f>SUM(AG110:AG110)</f>
        <v>0</v>
      </c>
      <c r="AG110" s="96"/>
      <c r="AH110" s="96"/>
      <c r="AI110" s="96"/>
      <c r="AJ110" s="96"/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405"/>
      <c r="AQ110" s="96"/>
    </row>
    <row r="111" spans="1:43" ht="16.5" customHeight="1" x14ac:dyDescent="0.25">
      <c r="A111" s="1382"/>
      <c r="B111" s="42" t="s">
        <v>32</v>
      </c>
      <c r="C111" s="313"/>
      <c r="D111" s="313"/>
      <c r="E111" s="313"/>
      <c r="F111" s="313"/>
      <c r="G111" s="313"/>
      <c r="H111" s="1153"/>
      <c r="I111" s="1638"/>
      <c r="J111" s="1139"/>
      <c r="K111" s="47"/>
      <c r="L111" s="47">
        <f>SUM(M111:O111)</f>
        <v>0</v>
      </c>
      <c r="M111" s="47"/>
      <c r="N111" s="47"/>
      <c r="O111" s="47"/>
      <c r="P111" s="47">
        <v>18622.57</v>
      </c>
      <c r="Q111" s="47">
        <v>0</v>
      </c>
      <c r="R111" s="47"/>
      <c r="S111" s="47"/>
      <c r="T111" s="47">
        <f>U111</f>
        <v>0</v>
      </c>
      <c r="U111" s="47">
        <v>0</v>
      </c>
      <c r="V111" s="47"/>
      <c r="W111" s="47"/>
      <c r="X111" s="47"/>
      <c r="Y111" s="47"/>
      <c r="Z111" s="47"/>
      <c r="AA111" s="47">
        <f>SUM(AB111:AD111)</f>
        <v>0</v>
      </c>
      <c r="AB111" s="47"/>
      <c r="AC111" s="47">
        <v>0</v>
      </c>
      <c r="AD111" s="47">
        <v>0</v>
      </c>
      <c r="AE111" s="47"/>
      <c r="AF111" s="47">
        <f>SUM(AG111:AG111)</f>
        <v>0</v>
      </c>
      <c r="AG111" s="47"/>
      <c r="AH111" s="47"/>
      <c r="AI111" s="47"/>
      <c r="AJ111" s="47"/>
      <c r="AK111" s="47"/>
      <c r="AL111" s="47"/>
      <c r="AM111" s="47"/>
      <c r="AN111" s="47"/>
      <c r="AO111" s="47"/>
      <c r="AP111" s="397"/>
      <c r="AQ111" s="47"/>
    </row>
    <row r="112" spans="1:43" ht="0.75" customHeight="1" x14ac:dyDescent="0.25">
      <c r="A112" s="1383"/>
      <c r="B112" s="42" t="s">
        <v>32</v>
      </c>
      <c r="C112" s="313"/>
      <c r="D112" s="313"/>
      <c r="E112" s="313"/>
      <c r="F112" s="313"/>
      <c r="G112" s="313"/>
      <c r="H112" s="1153"/>
      <c r="I112" s="1639"/>
      <c r="J112" s="1139"/>
      <c r="K112" s="47"/>
      <c r="L112" s="47">
        <v>89140.68</v>
      </c>
      <c r="M112" s="47">
        <v>0</v>
      </c>
      <c r="N112" s="47">
        <v>9523.68</v>
      </c>
      <c r="O112" s="47">
        <v>22469.279999999999</v>
      </c>
      <c r="P112" s="47">
        <v>2605.9899999999998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96"/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327" customFormat="1" ht="52.5" customHeight="1" x14ac:dyDescent="0.25">
      <c r="A113" s="1372" t="s">
        <v>165</v>
      </c>
      <c r="B113" s="780" t="s">
        <v>280</v>
      </c>
      <c r="C113" s="312"/>
      <c r="D113" s="312"/>
      <c r="E113" s="312"/>
      <c r="F113" s="312"/>
      <c r="G113" s="312"/>
      <c r="H113" s="1108"/>
      <c r="I113" s="1326" t="s">
        <v>20</v>
      </c>
      <c r="J113" s="1117"/>
      <c r="K113" s="3"/>
      <c r="L113" s="3">
        <f>L114</f>
        <v>10177.64</v>
      </c>
      <c r="M113" s="3">
        <f>M114</f>
        <v>0</v>
      </c>
      <c r="N113" s="3">
        <f t="shared" ref="N113:AO117" si="71">N114</f>
        <v>0</v>
      </c>
      <c r="O113" s="3">
        <f t="shared" si="71"/>
        <v>0</v>
      </c>
      <c r="P113" s="3">
        <v>7317.14</v>
      </c>
      <c r="Q113" s="3">
        <v>0</v>
      </c>
      <c r="R113" s="3">
        <f t="shared" si="71"/>
        <v>40.5</v>
      </c>
      <c r="S113" s="3">
        <f t="shared" si="71"/>
        <v>40.5</v>
      </c>
      <c r="T113" s="3">
        <f t="shared" si="71"/>
        <v>0</v>
      </c>
      <c r="U113" s="3">
        <f t="shared" si="71"/>
        <v>0</v>
      </c>
      <c r="V113" s="3">
        <f t="shared" si="71"/>
        <v>0</v>
      </c>
      <c r="W113" s="3">
        <f t="shared" si="71"/>
        <v>0</v>
      </c>
      <c r="X113" s="3">
        <f t="shared" si="71"/>
        <v>0</v>
      </c>
      <c r="Y113" s="3">
        <f t="shared" si="71"/>
        <v>0</v>
      </c>
      <c r="Z113" s="95">
        <v>0</v>
      </c>
      <c r="AA113" s="3">
        <v>0</v>
      </c>
      <c r="AB113" s="3">
        <f t="shared" si="71"/>
        <v>40.5</v>
      </c>
      <c r="AC113" s="3">
        <f t="shared" si="71"/>
        <v>0</v>
      </c>
      <c r="AD113" s="3">
        <f t="shared" si="71"/>
        <v>0</v>
      </c>
      <c r="AE113" s="3">
        <f t="shared" si="71"/>
        <v>0</v>
      </c>
      <c r="AF113" s="3">
        <f t="shared" si="71"/>
        <v>0</v>
      </c>
      <c r="AG113" s="3">
        <f t="shared" si="71"/>
        <v>0</v>
      </c>
      <c r="AH113" s="3">
        <f t="shared" si="71"/>
        <v>0</v>
      </c>
      <c r="AI113" s="3">
        <f t="shared" si="71"/>
        <v>0</v>
      </c>
      <c r="AJ113" s="3">
        <f t="shared" si="71"/>
        <v>0</v>
      </c>
      <c r="AK113" s="3">
        <f>P113-Q113</f>
        <v>7317.14</v>
      </c>
      <c r="AL113" s="3">
        <f t="shared" si="71"/>
        <v>0</v>
      </c>
      <c r="AM113" s="3">
        <f t="shared" si="71"/>
        <v>0</v>
      </c>
      <c r="AN113" s="3">
        <f t="shared" si="71"/>
        <v>0</v>
      </c>
      <c r="AO113" s="3">
        <f t="shared" si="71"/>
        <v>0</v>
      </c>
      <c r="AP113" s="633"/>
      <c r="AQ113" s="95">
        <v>0</v>
      </c>
    </row>
    <row r="114" spans="1:45" ht="17.25" hidden="1" customHeight="1" x14ac:dyDescent="0.25">
      <c r="A114" s="1639"/>
      <c r="B114" s="42" t="s">
        <v>203</v>
      </c>
      <c r="C114" s="313"/>
      <c r="D114" s="313"/>
      <c r="E114" s="313"/>
      <c r="F114" s="313"/>
      <c r="G114" s="313"/>
      <c r="H114" s="1153"/>
      <c r="I114" s="1639"/>
      <c r="J114" s="1139"/>
      <c r="K114" s="47"/>
      <c r="L114" s="47">
        <v>10177.64</v>
      </c>
      <c r="M114" s="47">
        <v>0</v>
      </c>
      <c r="N114" s="47">
        <v>0</v>
      </c>
      <c r="O114" s="47">
        <v>0</v>
      </c>
      <c r="P114" s="47">
        <v>2591.96</v>
      </c>
      <c r="Q114" s="47">
        <f>Q115</f>
        <v>40.5</v>
      </c>
      <c r="R114" s="47">
        <f t="shared" si="71"/>
        <v>40.5</v>
      </c>
      <c r="S114" s="47">
        <f t="shared" si="71"/>
        <v>40.5</v>
      </c>
      <c r="T114" s="47">
        <f t="shared" si="71"/>
        <v>0</v>
      </c>
      <c r="U114" s="47">
        <f t="shared" si="71"/>
        <v>0</v>
      </c>
      <c r="V114" s="47">
        <f t="shared" si="71"/>
        <v>0</v>
      </c>
      <c r="W114" s="47">
        <f t="shared" si="71"/>
        <v>0</v>
      </c>
      <c r="X114" s="47">
        <f t="shared" si="71"/>
        <v>0</v>
      </c>
      <c r="Y114" s="47">
        <f t="shared" si="71"/>
        <v>0</v>
      </c>
      <c r="Z114" s="96"/>
      <c r="AA114" s="47">
        <f t="shared" si="71"/>
        <v>40.5</v>
      </c>
      <c r="AB114" s="47">
        <f t="shared" si="71"/>
        <v>40.5</v>
      </c>
      <c r="AC114" s="47">
        <f t="shared" si="71"/>
        <v>0</v>
      </c>
      <c r="AD114" s="47">
        <f t="shared" si="71"/>
        <v>0</v>
      </c>
      <c r="AE114" s="47">
        <f t="shared" si="71"/>
        <v>0</v>
      </c>
      <c r="AF114" s="47">
        <f t="shared" si="71"/>
        <v>0</v>
      </c>
      <c r="AG114" s="47">
        <f t="shared" si="71"/>
        <v>0</v>
      </c>
      <c r="AH114" s="47">
        <f t="shared" si="71"/>
        <v>0</v>
      </c>
      <c r="AI114" s="47">
        <f t="shared" si="71"/>
        <v>0</v>
      </c>
      <c r="AJ114" s="47">
        <f t="shared" si="71"/>
        <v>0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397"/>
      <c r="AQ114" s="96"/>
    </row>
    <row r="115" spans="1:45" s="266" customFormat="1" ht="17.25" hidden="1" customHeight="1" x14ac:dyDescent="0.25">
      <c r="A115" s="539"/>
      <c r="B115" s="252" t="s">
        <v>298</v>
      </c>
      <c r="C115" s="363"/>
      <c r="D115" s="363"/>
      <c r="E115" s="363"/>
      <c r="F115" s="363"/>
      <c r="G115" s="363"/>
      <c r="H115" s="364"/>
      <c r="I115" s="539"/>
      <c r="J115" s="258"/>
      <c r="K115" s="96"/>
      <c r="L115" s="96"/>
      <c r="M115" s="96"/>
      <c r="N115" s="96"/>
      <c r="O115" s="96"/>
      <c r="P115" s="96"/>
      <c r="Q115" s="96">
        <f>S115</f>
        <v>40.5</v>
      </c>
      <c r="R115" s="96">
        <f>S115</f>
        <v>40.5</v>
      </c>
      <c r="S115" s="96">
        <v>40.5</v>
      </c>
      <c r="T115" s="96"/>
      <c r="U115" s="96"/>
      <c r="V115" s="96"/>
      <c r="W115" s="96"/>
      <c r="X115" s="96"/>
      <c r="Y115" s="96"/>
      <c r="Z115" s="96"/>
      <c r="AA115" s="96">
        <f>AB115</f>
        <v>40.5</v>
      </c>
      <c r="AB115" s="96">
        <v>40.5</v>
      </c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268"/>
      <c r="AN115" s="96"/>
      <c r="AO115" s="96"/>
      <c r="AP115" s="405"/>
      <c r="AQ115" s="96"/>
    </row>
    <row r="116" spans="1:45" s="327" customFormat="1" ht="27.75" customHeight="1" x14ac:dyDescent="0.25">
      <c r="A116" s="1372" t="s">
        <v>281</v>
      </c>
      <c r="B116" s="772" t="s">
        <v>284</v>
      </c>
      <c r="C116" s="312"/>
      <c r="D116" s="312"/>
      <c r="E116" s="312"/>
      <c r="F116" s="312"/>
      <c r="G116" s="312"/>
      <c r="H116" s="1108"/>
      <c r="I116" s="1326" t="s">
        <v>20</v>
      </c>
      <c r="J116" s="1117"/>
      <c r="K116" s="3"/>
      <c r="L116" s="3">
        <f>SUM(L117:L119)</f>
        <v>12294.88</v>
      </c>
      <c r="M116" s="3">
        <f>SUM(M117:M119)</f>
        <v>0</v>
      </c>
      <c r="N116" s="3">
        <f>SUM(N117:N119)</f>
        <v>0</v>
      </c>
      <c r="O116" s="3">
        <f>SUM(O117:O119)</f>
        <v>0</v>
      </c>
      <c r="P116" s="3">
        <f>SUM(P117:P119)</f>
        <v>11314.88</v>
      </c>
      <c r="Q116" s="3">
        <f t="shared" si="71"/>
        <v>0</v>
      </c>
      <c r="R116" s="3">
        <f t="shared" si="71"/>
        <v>686</v>
      </c>
      <c r="S116" s="3">
        <f t="shared" si="71"/>
        <v>686</v>
      </c>
      <c r="T116" s="3">
        <f t="shared" si="71"/>
        <v>294</v>
      </c>
      <c r="U116" s="3">
        <f t="shared" si="71"/>
        <v>294</v>
      </c>
      <c r="V116" s="3">
        <f t="shared" si="71"/>
        <v>0</v>
      </c>
      <c r="W116" s="3">
        <f t="shared" si="71"/>
        <v>0</v>
      </c>
      <c r="X116" s="3">
        <f t="shared" si="71"/>
        <v>0</v>
      </c>
      <c r="Y116" s="3">
        <f t="shared" si="71"/>
        <v>0</v>
      </c>
      <c r="Z116" s="95">
        <v>0</v>
      </c>
      <c r="AA116" s="3">
        <f t="shared" si="71"/>
        <v>0</v>
      </c>
      <c r="AB116" s="3">
        <f t="shared" si="71"/>
        <v>0</v>
      </c>
      <c r="AC116" s="3">
        <f t="shared" si="71"/>
        <v>0</v>
      </c>
      <c r="AD116" s="3">
        <f t="shared" si="71"/>
        <v>0</v>
      </c>
      <c r="AE116" s="3">
        <f t="shared" si="71"/>
        <v>0</v>
      </c>
      <c r="AF116" s="3">
        <f t="shared" si="71"/>
        <v>0</v>
      </c>
      <c r="AG116" s="3">
        <f t="shared" si="71"/>
        <v>0</v>
      </c>
      <c r="AH116" s="3">
        <f t="shared" si="71"/>
        <v>0</v>
      </c>
      <c r="AI116" s="3">
        <f t="shared" si="71"/>
        <v>0</v>
      </c>
      <c r="AJ116" s="3">
        <f t="shared" si="71"/>
        <v>0</v>
      </c>
      <c r="AK116" s="3">
        <f>P116-Q116</f>
        <v>11314.88</v>
      </c>
      <c r="AL116" s="3">
        <f>AL119</f>
        <v>0</v>
      </c>
      <c r="AM116" s="318">
        <v>0</v>
      </c>
      <c r="AN116" s="3">
        <f>AN119</f>
        <v>0</v>
      </c>
      <c r="AO116" s="3">
        <f>AO119</f>
        <v>0</v>
      </c>
      <c r="AP116" s="633" t="s">
        <v>256</v>
      </c>
      <c r="AQ116" s="95">
        <v>0</v>
      </c>
    </row>
    <row r="117" spans="1:45" ht="20.25" customHeight="1" x14ac:dyDescent="0.25">
      <c r="A117" s="1382"/>
      <c r="B117" s="42" t="s">
        <v>285</v>
      </c>
      <c r="C117" s="313"/>
      <c r="D117" s="313"/>
      <c r="E117" s="313"/>
      <c r="F117" s="313"/>
      <c r="G117" s="313"/>
      <c r="H117" s="1153"/>
      <c r="I117" s="1327"/>
      <c r="J117" s="1139"/>
      <c r="K117" s="47"/>
      <c r="L117" s="47">
        <v>980</v>
      </c>
      <c r="M117" s="47"/>
      <c r="N117" s="47">
        <v>0</v>
      </c>
      <c r="O117" s="47"/>
      <c r="P117" s="47">
        <v>0</v>
      </c>
      <c r="Q117" s="47">
        <v>0</v>
      </c>
      <c r="R117" s="47">
        <f t="shared" si="71"/>
        <v>686</v>
      </c>
      <c r="S117" s="47">
        <f t="shared" si="71"/>
        <v>686</v>
      </c>
      <c r="T117" s="47">
        <f t="shared" si="71"/>
        <v>294</v>
      </c>
      <c r="U117" s="47">
        <f t="shared" si="71"/>
        <v>294</v>
      </c>
      <c r="V117" s="47">
        <f t="shared" si="71"/>
        <v>0</v>
      </c>
      <c r="W117" s="47">
        <f t="shared" si="71"/>
        <v>0</v>
      </c>
      <c r="X117" s="47">
        <f t="shared" si="71"/>
        <v>0</v>
      </c>
      <c r="Y117" s="47">
        <f t="shared" si="71"/>
        <v>0</v>
      </c>
      <c r="Z117" s="96"/>
      <c r="AA117" s="47">
        <f t="shared" si="71"/>
        <v>0</v>
      </c>
      <c r="AB117" s="47">
        <f t="shared" si="71"/>
        <v>0</v>
      </c>
      <c r="AC117" s="47">
        <f t="shared" si="71"/>
        <v>0</v>
      </c>
      <c r="AD117" s="47">
        <f t="shared" si="71"/>
        <v>0</v>
      </c>
      <c r="AE117" s="47">
        <f t="shared" si="71"/>
        <v>0</v>
      </c>
      <c r="AF117" s="47">
        <f t="shared" si="71"/>
        <v>0</v>
      </c>
      <c r="AG117" s="47">
        <f t="shared" si="71"/>
        <v>0</v>
      </c>
      <c r="AH117" s="47">
        <f t="shared" si="71"/>
        <v>0</v>
      </c>
      <c r="AI117" s="47">
        <f t="shared" si="71"/>
        <v>0</v>
      </c>
      <c r="AJ117" s="47">
        <f t="shared" si="71"/>
        <v>0</v>
      </c>
      <c r="AK117" s="47">
        <v>0</v>
      </c>
      <c r="AL117" s="47"/>
      <c r="AM117" s="47"/>
      <c r="AN117" s="47"/>
      <c r="AO117" s="47"/>
      <c r="AP117" s="397"/>
      <c r="AQ117" s="96"/>
    </row>
    <row r="118" spans="1:45" s="266" customFormat="1" ht="20.25" hidden="1" customHeight="1" x14ac:dyDescent="0.25">
      <c r="A118" s="1382"/>
      <c r="B118" s="252" t="s">
        <v>299</v>
      </c>
      <c r="C118" s="363"/>
      <c r="D118" s="363"/>
      <c r="E118" s="363"/>
      <c r="F118" s="363"/>
      <c r="G118" s="363"/>
      <c r="H118" s="364"/>
      <c r="I118" s="1327"/>
      <c r="J118" s="258"/>
      <c r="K118" s="96"/>
      <c r="L118" s="96"/>
      <c r="M118" s="96"/>
      <c r="N118" s="96"/>
      <c r="O118" s="96"/>
      <c r="P118" s="96"/>
      <c r="Q118" s="96">
        <f>S118+U118</f>
        <v>980</v>
      </c>
      <c r="R118" s="96">
        <f>S118</f>
        <v>686</v>
      </c>
      <c r="S118" s="96">
        <v>686</v>
      </c>
      <c r="T118" s="96">
        <v>294</v>
      </c>
      <c r="U118" s="96">
        <v>294</v>
      </c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405"/>
      <c r="AQ118" s="96"/>
    </row>
    <row r="119" spans="1:45" ht="17.25" customHeight="1" x14ac:dyDescent="0.25">
      <c r="A119" s="1639"/>
      <c r="B119" s="42" t="s">
        <v>287</v>
      </c>
      <c r="C119" s="313"/>
      <c r="D119" s="313"/>
      <c r="E119" s="313"/>
      <c r="F119" s="313"/>
      <c r="G119" s="313"/>
      <c r="H119" s="1153"/>
      <c r="I119" s="1639"/>
      <c r="J119" s="1139"/>
      <c r="K119" s="47"/>
      <c r="L119" s="47">
        <v>11314.88</v>
      </c>
      <c r="M119" s="47">
        <v>0</v>
      </c>
      <c r="N119" s="47">
        <v>0</v>
      </c>
      <c r="O119" s="47">
        <v>0</v>
      </c>
      <c r="P119" s="47">
        <v>11314.88</v>
      </c>
      <c r="Q119" s="47">
        <v>0</v>
      </c>
      <c r="R119" s="47">
        <v>0</v>
      </c>
      <c r="S119" s="47">
        <v>0</v>
      </c>
      <c r="T119" s="47">
        <f t="shared" ref="T119:Y119" si="72">T129</f>
        <v>980</v>
      </c>
      <c r="U119" s="47">
        <v>0</v>
      </c>
      <c r="V119" s="47">
        <f t="shared" si="72"/>
        <v>0</v>
      </c>
      <c r="W119" s="47">
        <f t="shared" si="72"/>
        <v>0</v>
      </c>
      <c r="X119" s="47">
        <f t="shared" si="72"/>
        <v>0</v>
      </c>
      <c r="Y119" s="47">
        <f t="shared" si="72"/>
        <v>0</v>
      </c>
      <c r="Z119" s="96"/>
      <c r="AA119" s="47">
        <v>0</v>
      </c>
      <c r="AB119" s="47">
        <v>0</v>
      </c>
      <c r="AC119" s="47">
        <f t="shared" ref="AC119:AJ119" si="73">AC129</f>
        <v>0</v>
      </c>
      <c r="AD119" s="47">
        <f t="shared" si="73"/>
        <v>0</v>
      </c>
      <c r="AE119" s="47">
        <f t="shared" si="73"/>
        <v>0</v>
      </c>
      <c r="AF119" s="47">
        <f t="shared" si="73"/>
        <v>0</v>
      </c>
      <c r="AG119" s="47">
        <f t="shared" si="73"/>
        <v>0</v>
      </c>
      <c r="AH119" s="47">
        <f t="shared" si="73"/>
        <v>0</v>
      </c>
      <c r="AI119" s="47">
        <f t="shared" si="73"/>
        <v>0</v>
      </c>
      <c r="AJ119" s="47">
        <f t="shared" si="73"/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397"/>
      <c r="AQ119" s="96"/>
    </row>
    <row r="120" spans="1:45" s="327" customFormat="1" ht="24.75" customHeight="1" x14ac:dyDescent="0.25">
      <c r="A120" s="1372" t="s">
        <v>282</v>
      </c>
      <c r="B120" s="772" t="s">
        <v>286</v>
      </c>
      <c r="C120" s="312"/>
      <c r="D120" s="312"/>
      <c r="E120" s="312"/>
      <c r="F120" s="312"/>
      <c r="G120" s="312"/>
      <c r="H120" s="1108"/>
      <c r="I120" s="1326" t="s">
        <v>20</v>
      </c>
      <c r="J120" s="1117"/>
      <c r="K120" s="3"/>
      <c r="L120" s="3">
        <f>SUM(L121:L124)</f>
        <v>2085.84</v>
      </c>
      <c r="M120" s="3">
        <f>SUM(M121:M124)</f>
        <v>0</v>
      </c>
      <c r="N120" s="3">
        <f>SUM(N121:N124)</f>
        <v>0</v>
      </c>
      <c r="O120" s="3">
        <f>SUM(O121:O124)</f>
        <v>0</v>
      </c>
      <c r="P120" s="3">
        <f>SUM(P121:P124)</f>
        <v>86.18</v>
      </c>
      <c r="Q120" s="3">
        <f>Q121+Q124</f>
        <v>0</v>
      </c>
      <c r="R120" s="3">
        <f t="shared" ref="R120:AD120" si="74">R121+R124</f>
        <v>0</v>
      </c>
      <c r="S120" s="3">
        <f t="shared" si="74"/>
        <v>0</v>
      </c>
      <c r="T120" s="3">
        <f t="shared" si="74"/>
        <v>1066.18</v>
      </c>
      <c r="U120" s="3">
        <f t="shared" si="74"/>
        <v>86.18</v>
      </c>
      <c r="V120" s="3">
        <f t="shared" si="74"/>
        <v>1597.7769999999998</v>
      </c>
      <c r="W120" s="3">
        <f t="shared" si="74"/>
        <v>1597.7769999999998</v>
      </c>
      <c r="X120" s="3">
        <f t="shared" si="74"/>
        <v>0</v>
      </c>
      <c r="Y120" s="3">
        <f t="shared" si="74"/>
        <v>0</v>
      </c>
      <c r="Z120" s="95">
        <v>0</v>
      </c>
      <c r="AA120" s="3">
        <v>0</v>
      </c>
      <c r="AB120" s="3">
        <f t="shared" si="74"/>
        <v>0</v>
      </c>
      <c r="AC120" s="3">
        <f t="shared" si="74"/>
        <v>0</v>
      </c>
      <c r="AD120" s="3">
        <f t="shared" si="74"/>
        <v>1550</v>
      </c>
      <c r="AE120" s="3">
        <f t="shared" ref="AE120:AJ120" si="75">AE124</f>
        <v>0</v>
      </c>
      <c r="AF120" s="3">
        <f t="shared" si="75"/>
        <v>0</v>
      </c>
      <c r="AG120" s="3">
        <f t="shared" si="75"/>
        <v>0</v>
      </c>
      <c r="AH120" s="3">
        <f t="shared" si="75"/>
        <v>0</v>
      </c>
      <c r="AI120" s="3">
        <f t="shared" si="75"/>
        <v>0</v>
      </c>
      <c r="AJ120" s="3">
        <f t="shared" si="75"/>
        <v>0</v>
      </c>
      <c r="AK120" s="3">
        <f>P120-Q120</f>
        <v>86.18</v>
      </c>
      <c r="AL120" s="3">
        <f>AL124</f>
        <v>0</v>
      </c>
      <c r="AM120" s="3">
        <f>AM124</f>
        <v>0</v>
      </c>
      <c r="AN120" s="3">
        <f>AN124</f>
        <v>0</v>
      </c>
      <c r="AO120" s="3">
        <f>AO124</f>
        <v>0</v>
      </c>
      <c r="AP120" s="633" t="s">
        <v>244</v>
      </c>
      <c r="AQ120" s="95">
        <v>0</v>
      </c>
      <c r="AS120" s="3"/>
    </row>
    <row r="121" spans="1:45" ht="20.25" customHeight="1" x14ac:dyDescent="0.25">
      <c r="A121" s="1382"/>
      <c r="B121" s="42" t="s">
        <v>285</v>
      </c>
      <c r="C121" s="313"/>
      <c r="D121" s="313"/>
      <c r="E121" s="313"/>
      <c r="F121" s="313"/>
      <c r="G121" s="313"/>
      <c r="H121" s="1153"/>
      <c r="I121" s="1327"/>
      <c r="J121" s="1139"/>
      <c r="K121" s="47"/>
      <c r="L121" s="47">
        <v>2085.84</v>
      </c>
      <c r="M121" s="47"/>
      <c r="N121" s="47">
        <v>0</v>
      </c>
      <c r="O121" s="47"/>
      <c r="P121" s="47">
        <v>86.18</v>
      </c>
      <c r="Q121" s="47">
        <v>0</v>
      </c>
      <c r="R121" s="47">
        <f t="shared" ref="R121:AD121" si="76">R123+R122</f>
        <v>0</v>
      </c>
      <c r="S121" s="47">
        <f t="shared" si="76"/>
        <v>0</v>
      </c>
      <c r="T121" s="47">
        <f t="shared" si="76"/>
        <v>86.18</v>
      </c>
      <c r="U121" s="47">
        <f t="shared" si="76"/>
        <v>86.18</v>
      </c>
      <c r="V121" s="47">
        <f t="shared" si="76"/>
        <v>1597.7769999999998</v>
      </c>
      <c r="W121" s="47">
        <f t="shared" si="76"/>
        <v>1597.7769999999998</v>
      </c>
      <c r="X121" s="47">
        <f t="shared" si="76"/>
        <v>0</v>
      </c>
      <c r="Y121" s="47">
        <f t="shared" si="76"/>
        <v>0</v>
      </c>
      <c r="Z121" s="96"/>
      <c r="AA121" s="47">
        <v>0</v>
      </c>
      <c r="AB121" s="47">
        <f t="shared" si="76"/>
        <v>0</v>
      </c>
      <c r="AC121" s="47">
        <f t="shared" si="76"/>
        <v>0</v>
      </c>
      <c r="AD121" s="47">
        <f t="shared" si="76"/>
        <v>1550</v>
      </c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397"/>
      <c r="AQ121" s="96"/>
    </row>
    <row r="122" spans="1:45" s="266" customFormat="1" ht="38.25" hidden="1" customHeight="1" x14ac:dyDescent="0.25">
      <c r="A122" s="1382"/>
      <c r="B122" s="252" t="s">
        <v>321</v>
      </c>
      <c r="C122" s="363"/>
      <c r="D122" s="363"/>
      <c r="E122" s="363"/>
      <c r="F122" s="363"/>
      <c r="G122" s="363"/>
      <c r="H122" s="364"/>
      <c r="I122" s="1327"/>
      <c r="J122" s="258"/>
      <c r="K122" s="96"/>
      <c r="L122" s="96"/>
      <c r="M122" s="96"/>
      <c r="N122" s="96"/>
      <c r="O122" s="96"/>
      <c r="P122" s="96"/>
      <c r="Q122" s="96">
        <f>W122</f>
        <v>1511.6</v>
      </c>
      <c r="R122" s="96"/>
      <c r="S122" s="96"/>
      <c r="T122" s="96"/>
      <c r="U122" s="96"/>
      <c r="V122" s="96">
        <f>W122</f>
        <v>1511.6</v>
      </c>
      <c r="W122" s="96">
        <v>1511.6</v>
      </c>
      <c r="X122" s="96"/>
      <c r="Y122" s="96"/>
      <c r="Z122" s="96"/>
      <c r="AA122" s="96">
        <f>AD122</f>
        <v>1550</v>
      </c>
      <c r="AB122" s="96"/>
      <c r="AC122" s="96"/>
      <c r="AD122" s="96">
        <v>1550</v>
      </c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405"/>
      <c r="AQ122" s="96"/>
    </row>
    <row r="123" spans="1:45" s="266" customFormat="1" ht="27" hidden="1" customHeight="1" x14ac:dyDescent="0.25">
      <c r="A123" s="1382"/>
      <c r="B123" s="252" t="s">
        <v>313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S123+U123</f>
        <v>86.18</v>
      </c>
      <c r="R123" s="96"/>
      <c r="S123" s="96"/>
      <c r="T123" s="96">
        <f>U123</f>
        <v>86.18</v>
      </c>
      <c r="U123" s="96">
        <f>ROUND((103.412/1.2),2)</f>
        <v>86.18</v>
      </c>
      <c r="V123" s="96">
        <f>W123</f>
        <v>86.177000000000007</v>
      </c>
      <c r="W123" s="96">
        <v>86.177000000000007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ht="17.25" customHeight="1" x14ac:dyDescent="0.25">
      <c r="A124" s="1639"/>
      <c r="B124" s="42" t="s">
        <v>287</v>
      </c>
      <c r="C124" s="313"/>
      <c r="D124" s="313"/>
      <c r="E124" s="313"/>
      <c r="F124" s="313"/>
      <c r="G124" s="313"/>
      <c r="H124" s="1153"/>
      <c r="I124" s="1639"/>
      <c r="J124" s="1139"/>
      <c r="K124" s="47"/>
      <c r="L124" s="47">
        <v>0</v>
      </c>
      <c r="M124" s="47">
        <v>0</v>
      </c>
      <c r="N124" s="47">
        <v>0</v>
      </c>
      <c r="O124" s="47">
        <v>0</v>
      </c>
      <c r="P124" s="47">
        <f>N124</f>
        <v>0</v>
      </c>
      <c r="Q124" s="47">
        <v>0</v>
      </c>
      <c r="R124" s="47">
        <v>0</v>
      </c>
      <c r="S124" s="47">
        <v>0</v>
      </c>
      <c r="T124" s="47">
        <f t="shared" ref="T124:Y124" si="77">T138</f>
        <v>980</v>
      </c>
      <c r="U124" s="47">
        <v>0</v>
      </c>
      <c r="V124" s="47">
        <f t="shared" si="77"/>
        <v>0</v>
      </c>
      <c r="W124" s="47">
        <f t="shared" si="77"/>
        <v>0</v>
      </c>
      <c r="X124" s="47">
        <f t="shared" si="77"/>
        <v>0</v>
      </c>
      <c r="Y124" s="47">
        <f t="shared" si="77"/>
        <v>0</v>
      </c>
      <c r="Z124" s="96"/>
      <c r="AA124" s="47">
        <v>0</v>
      </c>
      <c r="AB124" s="47">
        <v>0</v>
      </c>
      <c r="AC124" s="47">
        <f t="shared" ref="AC124:AJ124" si="78">AC138</f>
        <v>0</v>
      </c>
      <c r="AD124" s="47">
        <f t="shared" si="78"/>
        <v>0</v>
      </c>
      <c r="AE124" s="47">
        <f t="shared" si="78"/>
        <v>0</v>
      </c>
      <c r="AF124" s="47">
        <f t="shared" si="78"/>
        <v>0</v>
      </c>
      <c r="AG124" s="47">
        <f t="shared" si="78"/>
        <v>0</v>
      </c>
      <c r="AH124" s="47">
        <f t="shared" si="78"/>
        <v>0</v>
      </c>
      <c r="AI124" s="47">
        <f t="shared" si="78"/>
        <v>0</v>
      </c>
      <c r="AJ124" s="47">
        <f t="shared" si="78"/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327" customFormat="1" ht="31.5" customHeight="1" x14ac:dyDescent="0.25">
      <c r="A125" s="1372" t="s">
        <v>283</v>
      </c>
      <c r="B125" s="772" t="s">
        <v>288</v>
      </c>
      <c r="C125" s="312"/>
      <c r="D125" s="312"/>
      <c r="E125" s="312"/>
      <c r="F125" s="312"/>
      <c r="G125" s="312"/>
      <c r="H125" s="1108"/>
      <c r="I125" s="1326" t="s">
        <v>20</v>
      </c>
      <c r="J125" s="1117"/>
      <c r="K125" s="3"/>
      <c r="L125" s="3">
        <f t="shared" ref="L125:AJ126" si="79">L126</f>
        <v>28990</v>
      </c>
      <c r="M125" s="3">
        <f t="shared" si="79"/>
        <v>0</v>
      </c>
      <c r="N125" s="3">
        <f t="shared" si="79"/>
        <v>10150</v>
      </c>
      <c r="O125" s="3">
        <f t="shared" si="79"/>
        <v>0</v>
      </c>
      <c r="P125" s="3">
        <v>0</v>
      </c>
      <c r="Q125" s="3">
        <v>0</v>
      </c>
      <c r="R125" s="3">
        <f t="shared" si="79"/>
        <v>10000</v>
      </c>
      <c r="S125" s="3">
        <f t="shared" si="79"/>
        <v>10000</v>
      </c>
      <c r="T125" s="3">
        <f t="shared" si="79"/>
        <v>14158.333000000001</v>
      </c>
      <c r="U125" s="3">
        <f t="shared" si="79"/>
        <v>14158.333000000001</v>
      </c>
      <c r="V125" s="3">
        <f t="shared" si="79"/>
        <v>0</v>
      </c>
      <c r="W125" s="3">
        <f t="shared" si="79"/>
        <v>0</v>
      </c>
      <c r="X125" s="3">
        <f t="shared" si="79"/>
        <v>0</v>
      </c>
      <c r="Y125" s="3">
        <f t="shared" si="79"/>
        <v>0</v>
      </c>
      <c r="Z125" s="95">
        <v>0</v>
      </c>
      <c r="AA125" s="3">
        <f t="shared" si="79"/>
        <v>0</v>
      </c>
      <c r="AB125" s="3">
        <f t="shared" si="79"/>
        <v>0</v>
      </c>
      <c r="AC125" s="3">
        <f t="shared" si="79"/>
        <v>0</v>
      </c>
      <c r="AD125" s="3">
        <f t="shared" si="79"/>
        <v>0</v>
      </c>
      <c r="AE125" s="3">
        <f t="shared" si="79"/>
        <v>0</v>
      </c>
      <c r="AF125" s="3">
        <f t="shared" si="79"/>
        <v>0</v>
      </c>
      <c r="AG125" s="3">
        <f t="shared" si="79"/>
        <v>0</v>
      </c>
      <c r="AH125" s="3">
        <f t="shared" si="79"/>
        <v>0</v>
      </c>
      <c r="AI125" s="3">
        <f t="shared" si="79"/>
        <v>0</v>
      </c>
      <c r="AJ125" s="3">
        <f t="shared" si="79"/>
        <v>0</v>
      </c>
      <c r="AK125" s="3">
        <f>P125-Q125</f>
        <v>0</v>
      </c>
      <c r="AL125" s="3">
        <f>AL126</f>
        <v>0</v>
      </c>
      <c r="AM125" s="318" t="e">
        <f>ROUND((Q125*100%/P125*100),2)</f>
        <v>#DIV/0!</v>
      </c>
      <c r="AN125" s="3">
        <f>AN126</f>
        <v>0</v>
      </c>
      <c r="AO125" s="3">
        <f>AO126</f>
        <v>0</v>
      </c>
      <c r="AP125" s="633" t="s">
        <v>295</v>
      </c>
      <c r="AQ125" s="95">
        <v>0</v>
      </c>
    </row>
    <row r="126" spans="1:45" ht="17.25" hidden="1" customHeight="1" x14ac:dyDescent="0.25">
      <c r="A126" s="1639"/>
      <c r="B126" s="42" t="s">
        <v>201</v>
      </c>
      <c r="C126" s="313"/>
      <c r="D126" s="313"/>
      <c r="E126" s="313"/>
      <c r="F126" s="313"/>
      <c r="G126" s="313"/>
      <c r="H126" s="1153"/>
      <c r="I126" s="1639"/>
      <c r="J126" s="1139"/>
      <c r="K126" s="47"/>
      <c r="L126" s="47">
        <v>28990</v>
      </c>
      <c r="M126" s="47">
        <v>0</v>
      </c>
      <c r="N126" s="47">
        <v>10150</v>
      </c>
      <c r="O126" s="47">
        <v>0</v>
      </c>
      <c r="P126" s="47">
        <v>18840</v>
      </c>
      <c r="Q126" s="47">
        <f>Q127</f>
        <v>24158.332999999999</v>
      </c>
      <c r="R126" s="47">
        <f t="shared" si="79"/>
        <v>10000</v>
      </c>
      <c r="S126" s="47">
        <f t="shared" si="79"/>
        <v>10000</v>
      </c>
      <c r="T126" s="47">
        <f t="shared" si="79"/>
        <v>14158.333000000001</v>
      </c>
      <c r="U126" s="47">
        <f t="shared" si="79"/>
        <v>14158.333000000001</v>
      </c>
      <c r="V126" s="47">
        <f t="shared" si="79"/>
        <v>0</v>
      </c>
      <c r="W126" s="47">
        <f t="shared" si="79"/>
        <v>0</v>
      </c>
      <c r="X126" s="47">
        <f t="shared" si="79"/>
        <v>0</v>
      </c>
      <c r="Y126" s="47">
        <f t="shared" si="79"/>
        <v>0</v>
      </c>
      <c r="Z126" s="96"/>
      <c r="AA126" s="47">
        <f t="shared" si="79"/>
        <v>0</v>
      </c>
      <c r="AB126" s="47">
        <f t="shared" si="79"/>
        <v>0</v>
      </c>
      <c r="AC126" s="47">
        <f t="shared" si="79"/>
        <v>0</v>
      </c>
      <c r="AD126" s="47">
        <f t="shared" si="79"/>
        <v>0</v>
      </c>
      <c r="AE126" s="47">
        <f>AE127</f>
        <v>0</v>
      </c>
      <c r="AF126" s="47">
        <f>AF141+AJ126</f>
        <v>0</v>
      </c>
      <c r="AG126" s="47">
        <f>AG141</f>
        <v>0</v>
      </c>
      <c r="AH126" s="47">
        <f>AH141</f>
        <v>0</v>
      </c>
      <c r="AI126" s="47">
        <f>AI141</f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s="266" customFormat="1" ht="24.75" hidden="1" customHeight="1" x14ac:dyDescent="0.25">
      <c r="A127" s="539"/>
      <c r="B127" s="252" t="s">
        <v>290</v>
      </c>
      <c r="C127" s="363"/>
      <c r="D127" s="363"/>
      <c r="E127" s="363"/>
      <c r="F127" s="363"/>
      <c r="G127" s="363"/>
      <c r="H127" s="364"/>
      <c r="I127" s="614"/>
      <c r="J127" s="258"/>
      <c r="K127" s="96"/>
      <c r="L127" s="96"/>
      <c r="M127" s="96"/>
      <c r="N127" s="96"/>
      <c r="O127" s="96"/>
      <c r="P127" s="96"/>
      <c r="Q127" s="96">
        <f>S127+U127</f>
        <v>24158.332999999999</v>
      </c>
      <c r="R127" s="96">
        <f>S127</f>
        <v>10000</v>
      </c>
      <c r="S127" s="96">
        <v>10000</v>
      </c>
      <c r="T127" s="96">
        <f>U127</f>
        <v>14158.333000000001</v>
      </c>
      <c r="U127" s="96">
        <v>14158.333000000001</v>
      </c>
      <c r="V127" s="96"/>
      <c r="W127" s="96"/>
      <c r="X127" s="96"/>
      <c r="Y127" s="96"/>
      <c r="Z127" s="96"/>
      <c r="AA127" s="96">
        <f>SUM(AB127:AE127)</f>
        <v>0</v>
      </c>
      <c r="AB127" s="96"/>
      <c r="AC127" s="96"/>
      <c r="AD127" s="96"/>
      <c r="AE127" s="96">
        <v>0</v>
      </c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405"/>
      <c r="AQ127" s="96"/>
    </row>
    <row r="128" spans="1:45" ht="54" hidden="1" customHeight="1" x14ac:dyDescent="0.25">
      <c r="A128" s="1332" t="s">
        <v>60</v>
      </c>
      <c r="B128" s="1613" t="s">
        <v>45</v>
      </c>
      <c r="C128" s="1614"/>
      <c r="D128" s="1614"/>
      <c r="E128" s="1614"/>
      <c r="F128" s="1614"/>
      <c r="G128" s="1614"/>
      <c r="H128" s="1615"/>
      <c r="I128" s="23" t="s">
        <v>19</v>
      </c>
      <c r="J128" s="47">
        <v>0</v>
      </c>
      <c r="K128" s="47">
        <f>K131</f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42.75" hidden="1" customHeight="1" x14ac:dyDescent="0.25">
      <c r="A129" s="1333"/>
      <c r="B129" s="1616"/>
      <c r="C129" s="1617"/>
      <c r="D129" s="1617"/>
      <c r="E129" s="1617"/>
      <c r="F129" s="1617"/>
      <c r="G129" s="1617"/>
      <c r="H129" s="1618"/>
      <c r="I129" s="23" t="s">
        <v>20</v>
      </c>
      <c r="J129" s="47">
        <f>J138</f>
        <v>4106.3500000000004</v>
      </c>
      <c r="K129" s="47">
        <v>0</v>
      </c>
      <c r="L129" s="47">
        <f>L138</f>
        <v>6022.96</v>
      </c>
      <c r="M129" s="47">
        <f>M138</f>
        <v>0</v>
      </c>
      <c r="N129" s="47">
        <f t="shared" ref="N129:AO129" si="80">N138</f>
        <v>980</v>
      </c>
      <c r="O129" s="47">
        <f t="shared" si="80"/>
        <v>0</v>
      </c>
      <c r="P129" s="47">
        <f t="shared" si="80"/>
        <v>420.48</v>
      </c>
      <c r="Q129" s="47">
        <f t="shared" si="80"/>
        <v>0</v>
      </c>
      <c r="R129" s="47">
        <f t="shared" si="80"/>
        <v>0</v>
      </c>
      <c r="S129" s="47">
        <f t="shared" si="80"/>
        <v>0</v>
      </c>
      <c r="T129" s="47">
        <f t="shared" si="80"/>
        <v>980</v>
      </c>
      <c r="U129" s="47">
        <f t="shared" si="80"/>
        <v>980</v>
      </c>
      <c r="V129" s="47">
        <f t="shared" si="80"/>
        <v>0</v>
      </c>
      <c r="W129" s="47">
        <f t="shared" si="80"/>
        <v>0</v>
      </c>
      <c r="X129" s="47">
        <f t="shared" si="80"/>
        <v>0</v>
      </c>
      <c r="Y129" s="47">
        <f t="shared" si="80"/>
        <v>0</v>
      </c>
      <c r="Z129" s="96"/>
      <c r="AA129" s="47">
        <f t="shared" si="80"/>
        <v>0</v>
      </c>
      <c r="AB129" s="47">
        <f t="shared" si="80"/>
        <v>0</v>
      </c>
      <c r="AC129" s="47">
        <f t="shared" si="80"/>
        <v>0</v>
      </c>
      <c r="AD129" s="47">
        <f t="shared" si="80"/>
        <v>0</v>
      </c>
      <c r="AE129" s="47">
        <f t="shared" si="80"/>
        <v>0</v>
      </c>
      <c r="AF129" s="47">
        <f t="shared" si="80"/>
        <v>0</v>
      </c>
      <c r="AG129" s="47">
        <f t="shared" si="80"/>
        <v>0</v>
      </c>
      <c r="AH129" s="47">
        <f t="shared" si="80"/>
        <v>0</v>
      </c>
      <c r="AI129" s="47">
        <f t="shared" si="80"/>
        <v>0</v>
      </c>
      <c r="AJ129" s="47">
        <f t="shared" si="80"/>
        <v>0</v>
      </c>
      <c r="AK129" s="47">
        <f t="shared" si="80"/>
        <v>420.48</v>
      </c>
      <c r="AL129" s="47">
        <f t="shared" si="80"/>
        <v>420.48</v>
      </c>
      <c r="AM129" s="47">
        <f t="shared" si="80"/>
        <v>0</v>
      </c>
      <c r="AN129" s="47">
        <f t="shared" si="80"/>
        <v>0</v>
      </c>
      <c r="AO129" s="47">
        <f t="shared" si="80"/>
        <v>0</v>
      </c>
      <c r="AP129" s="397"/>
      <c r="AQ129" s="96"/>
    </row>
    <row r="130" spans="1:43" ht="25.5" hidden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10</v>
      </c>
      <c r="J130" s="47">
        <v>0</v>
      </c>
      <c r="K130" s="47">
        <v>0</v>
      </c>
      <c r="L130" s="47">
        <f>M130+N130+O130</f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96"/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397"/>
      <c r="AQ130" s="96"/>
    </row>
    <row r="131" spans="1:43" ht="129" hidden="1" customHeight="1" x14ac:dyDescent="0.25">
      <c r="A131" s="1334"/>
      <c r="B131" s="1619"/>
      <c r="C131" s="1620"/>
      <c r="D131" s="1620"/>
      <c r="E131" s="1620"/>
      <c r="F131" s="1620"/>
      <c r="G131" s="1620"/>
      <c r="H131" s="1621"/>
      <c r="I131" s="23" t="s">
        <v>9</v>
      </c>
      <c r="J131" s="47">
        <v>0</v>
      </c>
      <c r="K131" s="47"/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s="327" customFormat="1" ht="31.5" customHeight="1" x14ac:dyDescent="0.25">
      <c r="A132" s="789"/>
      <c r="B132" s="772" t="s">
        <v>405</v>
      </c>
      <c r="C132" s="312"/>
      <c r="D132" s="312"/>
      <c r="E132" s="312"/>
      <c r="F132" s="312"/>
      <c r="G132" s="312"/>
      <c r="H132" s="1108"/>
      <c r="I132" s="1150"/>
      <c r="J132" s="1117"/>
      <c r="K132" s="3"/>
      <c r="L132" s="3"/>
      <c r="M132" s="3"/>
      <c r="N132" s="3"/>
      <c r="O132" s="3"/>
      <c r="P132" s="3">
        <f>SUM(P133:P134)</f>
        <v>2820.43</v>
      </c>
      <c r="Q132" s="3">
        <f t="shared" ref="Q132:AA132" si="81">SUM(Q133:Q134)</f>
        <v>0</v>
      </c>
      <c r="R132" s="3">
        <f t="shared" si="81"/>
        <v>0</v>
      </c>
      <c r="S132" s="3">
        <f t="shared" si="81"/>
        <v>0</v>
      </c>
      <c r="T132" s="3">
        <f t="shared" si="81"/>
        <v>0</v>
      </c>
      <c r="U132" s="3">
        <f t="shared" si="81"/>
        <v>0</v>
      </c>
      <c r="V132" s="3">
        <f t="shared" si="81"/>
        <v>0</v>
      </c>
      <c r="W132" s="3">
        <f t="shared" si="81"/>
        <v>0</v>
      </c>
      <c r="X132" s="3">
        <f t="shared" si="81"/>
        <v>0</v>
      </c>
      <c r="Y132" s="3">
        <f t="shared" si="81"/>
        <v>0</v>
      </c>
      <c r="Z132" s="3">
        <f t="shared" si="81"/>
        <v>0</v>
      </c>
      <c r="AA132" s="3">
        <f t="shared" si="81"/>
        <v>0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18"/>
      <c r="AN132" s="3"/>
      <c r="AO132" s="3"/>
      <c r="AP132" s="633"/>
      <c r="AQ132" s="95"/>
    </row>
    <row r="133" spans="1:43" ht="15.75" x14ac:dyDescent="0.25">
      <c r="A133" s="1106"/>
      <c r="B133" s="42" t="s">
        <v>285</v>
      </c>
      <c r="C133" s="1135"/>
      <c r="D133" s="1135"/>
      <c r="E133" s="1135"/>
      <c r="F133" s="1135"/>
      <c r="G133" s="1135"/>
      <c r="H133" s="1136"/>
      <c r="I133" s="1120"/>
      <c r="J133" s="4"/>
      <c r="K133" s="47"/>
      <c r="L133" s="47"/>
      <c r="M133" s="47"/>
      <c r="N133" s="47"/>
      <c r="O133" s="47"/>
      <c r="P133" s="47">
        <v>508</v>
      </c>
      <c r="Q133" s="47">
        <v>0</v>
      </c>
      <c r="R133" s="47"/>
      <c r="S133" s="47"/>
      <c r="T133" s="47"/>
      <c r="U133" s="47"/>
      <c r="V133" s="47"/>
      <c r="W133" s="47"/>
      <c r="X133" s="47"/>
      <c r="Y133" s="47"/>
      <c r="Z133" s="96"/>
      <c r="AA133" s="47">
        <v>0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"/>
      <c r="AN133" s="47"/>
      <c r="AO133" s="47"/>
      <c r="AP133" s="397"/>
      <c r="AQ133" s="96"/>
    </row>
    <row r="134" spans="1:43" ht="17.25" customHeight="1" x14ac:dyDescent="0.25">
      <c r="A134" s="1106"/>
      <c r="B134" s="42" t="s">
        <v>213</v>
      </c>
      <c r="C134" s="313"/>
      <c r="D134" s="313"/>
      <c r="E134" s="313"/>
      <c r="F134" s="313"/>
      <c r="G134" s="313"/>
      <c r="H134" s="1153"/>
      <c r="I134" s="1120"/>
      <c r="J134" s="1139"/>
      <c r="K134" s="47"/>
      <c r="L134" s="47"/>
      <c r="M134" s="47"/>
      <c r="N134" s="47"/>
      <c r="O134" s="47"/>
      <c r="P134" s="47">
        <v>2312.4299999999998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397"/>
      <c r="AQ134" s="96"/>
    </row>
    <row r="135" spans="1:43" s="327" customFormat="1" ht="31.5" customHeight="1" x14ac:dyDescent="0.25">
      <c r="A135" s="789"/>
      <c r="B135" s="772" t="s">
        <v>406</v>
      </c>
      <c r="C135" s="312"/>
      <c r="D135" s="312"/>
      <c r="E135" s="312"/>
      <c r="F135" s="312"/>
      <c r="G135" s="312"/>
      <c r="H135" s="1108"/>
      <c r="I135" s="1150"/>
      <c r="J135" s="1117"/>
      <c r="K135" s="3"/>
      <c r="L135" s="3"/>
      <c r="M135" s="3"/>
      <c r="N135" s="3"/>
      <c r="O135" s="3"/>
      <c r="P135" s="3">
        <f>SUM(P136:P137)</f>
        <v>3423.47</v>
      </c>
      <c r="Q135" s="3">
        <f t="shared" ref="Q135:AA135" si="82">SUM(Q136:Q137)</f>
        <v>0</v>
      </c>
      <c r="R135" s="3">
        <f t="shared" si="82"/>
        <v>0</v>
      </c>
      <c r="S135" s="3">
        <f t="shared" si="82"/>
        <v>0</v>
      </c>
      <c r="T135" s="3">
        <f t="shared" si="82"/>
        <v>0</v>
      </c>
      <c r="U135" s="3">
        <f t="shared" si="82"/>
        <v>0</v>
      </c>
      <c r="V135" s="3">
        <f t="shared" si="82"/>
        <v>0</v>
      </c>
      <c r="W135" s="3">
        <f t="shared" si="82"/>
        <v>0</v>
      </c>
      <c r="X135" s="3">
        <f t="shared" si="82"/>
        <v>0</v>
      </c>
      <c r="Y135" s="3">
        <f t="shared" si="82"/>
        <v>0</v>
      </c>
      <c r="Z135" s="3">
        <f t="shared" si="82"/>
        <v>0</v>
      </c>
      <c r="AA135" s="3">
        <f t="shared" si="82"/>
        <v>0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18"/>
      <c r="AN135" s="3"/>
      <c r="AO135" s="3"/>
      <c r="AP135" s="633"/>
      <c r="AQ135" s="95"/>
    </row>
    <row r="136" spans="1:43" ht="15.75" x14ac:dyDescent="0.25">
      <c r="A136" s="1106"/>
      <c r="B136" s="42" t="s">
        <v>285</v>
      </c>
      <c r="C136" s="1135"/>
      <c r="D136" s="1135"/>
      <c r="E136" s="1135"/>
      <c r="F136" s="1135"/>
      <c r="G136" s="1135"/>
      <c r="H136" s="1136"/>
      <c r="I136" s="1120"/>
      <c r="J136" s="4"/>
      <c r="K136" s="47"/>
      <c r="L136" s="47"/>
      <c r="M136" s="47"/>
      <c r="N136" s="47"/>
      <c r="O136" s="47"/>
      <c r="P136" s="47">
        <v>489</v>
      </c>
      <c r="Q136" s="47">
        <v>0</v>
      </c>
      <c r="R136" s="47"/>
      <c r="S136" s="47"/>
      <c r="T136" s="47"/>
      <c r="U136" s="47"/>
      <c r="V136" s="47"/>
      <c r="W136" s="47"/>
      <c r="X136" s="47"/>
      <c r="Y136" s="47"/>
      <c r="Z136" s="96"/>
      <c r="AA136" s="47">
        <v>0</v>
      </c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"/>
      <c r="AN136" s="47"/>
      <c r="AO136" s="47"/>
      <c r="AP136" s="397"/>
      <c r="AQ136" s="96"/>
    </row>
    <row r="137" spans="1:43" ht="17.25" customHeight="1" x14ac:dyDescent="0.25">
      <c r="A137" s="1106"/>
      <c r="B137" s="42" t="s">
        <v>213</v>
      </c>
      <c r="C137" s="313"/>
      <c r="D137" s="313"/>
      <c r="E137" s="313"/>
      <c r="F137" s="313"/>
      <c r="G137" s="313"/>
      <c r="H137" s="1153"/>
      <c r="I137" s="1120"/>
      <c r="J137" s="1139"/>
      <c r="K137" s="47"/>
      <c r="L137" s="47"/>
      <c r="M137" s="47"/>
      <c r="N137" s="47"/>
      <c r="O137" s="47"/>
      <c r="P137" s="47">
        <v>2934.47</v>
      </c>
      <c r="Q137" s="47">
        <v>0</v>
      </c>
      <c r="R137" s="47"/>
      <c r="S137" s="47"/>
      <c r="T137" s="47"/>
      <c r="U137" s="47"/>
      <c r="V137" s="47"/>
      <c r="W137" s="47"/>
      <c r="X137" s="47"/>
      <c r="Y137" s="47"/>
      <c r="Z137" s="96"/>
      <c r="AA137" s="47">
        <v>0</v>
      </c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397"/>
      <c r="AQ137" s="96"/>
    </row>
    <row r="138" spans="1:43" s="327" customFormat="1" ht="30" customHeight="1" x14ac:dyDescent="0.25">
      <c r="A138" s="1372" t="s">
        <v>61</v>
      </c>
      <c r="B138" s="609" t="s">
        <v>88</v>
      </c>
      <c r="C138" s="790"/>
      <c r="D138" s="790"/>
      <c r="E138" s="790"/>
      <c r="F138" s="790"/>
      <c r="G138" s="790"/>
      <c r="H138" s="790"/>
      <c r="I138" s="1463" t="s">
        <v>20</v>
      </c>
      <c r="J138" s="1622">
        <v>4106.3500000000004</v>
      </c>
      <c r="K138" s="3">
        <v>0</v>
      </c>
      <c r="L138" s="3">
        <f>L139+L142</f>
        <v>6022.96</v>
      </c>
      <c r="M138" s="3">
        <f>M139+M142</f>
        <v>0</v>
      </c>
      <c r="N138" s="3">
        <f>N139+N142</f>
        <v>980</v>
      </c>
      <c r="O138" s="3">
        <f>O139+O142</f>
        <v>0</v>
      </c>
      <c r="P138" s="3">
        <f>P139+P142</f>
        <v>420.48</v>
      </c>
      <c r="Q138" s="3">
        <f t="shared" ref="Q138:AO138" si="83">Q139+Q142</f>
        <v>0</v>
      </c>
      <c r="R138" s="3">
        <f t="shared" si="83"/>
        <v>0</v>
      </c>
      <c r="S138" s="3">
        <f t="shared" si="83"/>
        <v>0</v>
      </c>
      <c r="T138" s="3">
        <f t="shared" si="83"/>
        <v>980</v>
      </c>
      <c r="U138" s="3">
        <f t="shared" si="83"/>
        <v>980</v>
      </c>
      <c r="V138" s="3">
        <f t="shared" si="83"/>
        <v>0</v>
      </c>
      <c r="W138" s="3">
        <f t="shared" si="83"/>
        <v>0</v>
      </c>
      <c r="X138" s="3">
        <f t="shared" si="83"/>
        <v>0</v>
      </c>
      <c r="Y138" s="3">
        <f t="shared" si="83"/>
        <v>0</v>
      </c>
      <c r="Z138" s="95">
        <v>0</v>
      </c>
      <c r="AA138" s="3">
        <f t="shared" si="83"/>
        <v>0</v>
      </c>
      <c r="AB138" s="3">
        <f>AB139+AB142</f>
        <v>0</v>
      </c>
      <c r="AC138" s="3">
        <f>AC139+AC142</f>
        <v>0</v>
      </c>
      <c r="AD138" s="3">
        <f>AD139+AD142</f>
        <v>0</v>
      </c>
      <c r="AE138" s="3">
        <f>AE139+AE142</f>
        <v>0</v>
      </c>
      <c r="AF138" s="3">
        <f t="shared" si="83"/>
        <v>0</v>
      </c>
      <c r="AG138" s="3">
        <f t="shared" si="83"/>
        <v>0</v>
      </c>
      <c r="AH138" s="3">
        <f t="shared" si="83"/>
        <v>0</v>
      </c>
      <c r="AI138" s="3">
        <f t="shared" si="83"/>
        <v>0</v>
      </c>
      <c r="AJ138" s="3">
        <f t="shared" si="83"/>
        <v>0</v>
      </c>
      <c r="AK138" s="3">
        <f>P138-Q138</f>
        <v>420.48</v>
      </c>
      <c r="AL138" s="3">
        <f>AK138</f>
        <v>420.48</v>
      </c>
      <c r="AM138" s="318">
        <f>ROUND((Q138*100%/P138*100),2)</f>
        <v>0</v>
      </c>
      <c r="AN138" s="3">
        <f t="shared" si="83"/>
        <v>0</v>
      </c>
      <c r="AO138" s="3">
        <f t="shared" si="83"/>
        <v>0</v>
      </c>
      <c r="AP138" s="633" t="s">
        <v>256</v>
      </c>
      <c r="AQ138" s="95">
        <v>0</v>
      </c>
    </row>
    <row r="139" spans="1:43" x14ac:dyDescent="0.25">
      <c r="A139" s="1382"/>
      <c r="B139" s="23" t="s">
        <v>15</v>
      </c>
      <c r="C139" s="46"/>
      <c r="D139" s="46"/>
      <c r="E139" s="46"/>
      <c r="F139" s="46"/>
      <c r="G139" s="1103">
        <v>2019</v>
      </c>
      <c r="H139" s="1103">
        <v>2019</v>
      </c>
      <c r="I139" s="1464"/>
      <c r="J139" s="1623"/>
      <c r="K139" s="47"/>
      <c r="L139" s="47">
        <v>1000</v>
      </c>
      <c r="M139" s="47">
        <v>0</v>
      </c>
      <c r="N139" s="47">
        <v>980</v>
      </c>
      <c r="O139" s="47">
        <v>0</v>
      </c>
      <c r="P139" s="47">
        <v>0</v>
      </c>
      <c r="Q139" s="47">
        <v>0</v>
      </c>
      <c r="R139" s="47">
        <f t="shared" ref="R139:AA139" si="84">R140+R141</f>
        <v>0</v>
      </c>
      <c r="S139" s="47">
        <f t="shared" si="84"/>
        <v>0</v>
      </c>
      <c r="T139" s="47">
        <f t="shared" si="84"/>
        <v>980</v>
      </c>
      <c r="U139" s="47">
        <f t="shared" si="84"/>
        <v>980</v>
      </c>
      <c r="V139" s="47">
        <f t="shared" si="84"/>
        <v>0</v>
      </c>
      <c r="W139" s="47">
        <f t="shared" si="84"/>
        <v>0</v>
      </c>
      <c r="X139" s="47">
        <f t="shared" si="84"/>
        <v>0</v>
      </c>
      <c r="Y139" s="47">
        <f t="shared" si="84"/>
        <v>0</v>
      </c>
      <c r="Z139" s="96"/>
      <c r="AA139" s="47">
        <f t="shared" si="84"/>
        <v>0</v>
      </c>
      <c r="AB139" s="47">
        <f>AB140+AB141</f>
        <v>0</v>
      </c>
      <c r="AC139" s="47">
        <f>AC140+AC141</f>
        <v>0</v>
      </c>
      <c r="AD139" s="47">
        <f>AD140+AD141</f>
        <v>0</v>
      </c>
      <c r="AE139" s="47">
        <f>AE140+AE141</f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397"/>
      <c r="AQ139" s="96"/>
    </row>
    <row r="140" spans="1:43" s="266" customFormat="1" hidden="1" x14ac:dyDescent="0.25">
      <c r="A140" s="1382"/>
      <c r="B140" s="443" t="s">
        <v>251</v>
      </c>
      <c r="C140" s="444"/>
      <c r="D140" s="444"/>
      <c r="E140" s="444"/>
      <c r="F140" s="444"/>
      <c r="G140" s="262"/>
      <c r="H140" s="262"/>
      <c r="I140" s="1464"/>
      <c r="J140" s="1623"/>
      <c r="K140" s="96"/>
      <c r="L140" s="96"/>
      <c r="M140" s="96"/>
      <c r="N140" s="96"/>
      <c r="O140" s="96"/>
      <c r="P140" s="96">
        <v>0</v>
      </c>
      <c r="Q140" s="96">
        <f>S140+U140</f>
        <v>980</v>
      </c>
      <c r="R140" s="96">
        <v>0</v>
      </c>
      <c r="S140" s="96">
        <v>0</v>
      </c>
      <c r="T140" s="96">
        <f>U140</f>
        <v>980</v>
      </c>
      <c r="U140" s="96">
        <v>980</v>
      </c>
      <c r="V140" s="96"/>
      <c r="W140" s="96"/>
      <c r="X140" s="96"/>
      <c r="Y140" s="96"/>
      <c r="Z140" s="96"/>
      <c r="AA140" s="96">
        <f>AB140</f>
        <v>0</v>
      </c>
      <c r="AB140" s="96">
        <v>0</v>
      </c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405"/>
      <c r="AQ140" s="96"/>
    </row>
    <row r="141" spans="1:43" s="266" customFormat="1" hidden="1" x14ac:dyDescent="0.25">
      <c r="A141" s="1382"/>
      <c r="B141" s="443" t="s">
        <v>252</v>
      </c>
      <c r="C141" s="444"/>
      <c r="D141" s="444"/>
      <c r="E141" s="444"/>
      <c r="F141" s="444"/>
      <c r="G141" s="262"/>
      <c r="H141" s="262"/>
      <c r="I141" s="1464"/>
      <c r="J141" s="1623"/>
      <c r="K141" s="96"/>
      <c r="L141" s="96"/>
      <c r="M141" s="96"/>
      <c r="N141" s="96"/>
      <c r="O141" s="96"/>
      <c r="P141" s="96"/>
      <c r="Q141" s="96">
        <f>S141</f>
        <v>0</v>
      </c>
      <c r="R141" s="96">
        <f>S141</f>
        <v>0</v>
      </c>
      <c r="S141" s="96">
        <v>0</v>
      </c>
      <c r="T141" s="96"/>
      <c r="U141" s="96"/>
      <c r="V141" s="96"/>
      <c r="W141" s="96"/>
      <c r="X141" s="96"/>
      <c r="Y141" s="96"/>
      <c r="Z141" s="96"/>
      <c r="AA141" s="96">
        <f>AB141</f>
        <v>0</v>
      </c>
      <c r="AB141" s="96">
        <v>0</v>
      </c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405"/>
      <c r="AQ141" s="96"/>
    </row>
    <row r="142" spans="1:43" x14ac:dyDescent="0.25">
      <c r="A142" s="1383"/>
      <c r="B142" s="23" t="s">
        <v>16</v>
      </c>
      <c r="C142" s="46"/>
      <c r="D142" s="46"/>
      <c r="E142" s="46"/>
      <c r="F142" s="46"/>
      <c r="G142" s="1103">
        <v>2020</v>
      </c>
      <c r="H142" s="1103">
        <v>2021</v>
      </c>
      <c r="I142" s="1465"/>
      <c r="J142" s="1624"/>
      <c r="K142" s="47"/>
      <c r="L142" s="47">
        <v>5022.96</v>
      </c>
      <c r="M142" s="47">
        <v>0</v>
      </c>
      <c r="N142" s="47">
        <v>0</v>
      </c>
      <c r="O142" s="47">
        <v>0</v>
      </c>
      <c r="P142" s="47">
        <v>420.48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96">
        <v>0</v>
      </c>
      <c r="Y142" s="96">
        <v>0</v>
      </c>
      <c r="Z142" s="96"/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327" customFormat="1" ht="30" customHeight="1" x14ac:dyDescent="0.25">
      <c r="A143" s="1372" t="s">
        <v>61</v>
      </c>
      <c r="B143" s="609" t="s">
        <v>407</v>
      </c>
      <c r="C143" s="790"/>
      <c r="D143" s="790"/>
      <c r="E143" s="790"/>
      <c r="F143" s="790"/>
      <c r="G143" s="790"/>
      <c r="H143" s="790"/>
      <c r="I143" s="1463" t="s">
        <v>20</v>
      </c>
      <c r="J143" s="1622">
        <v>4106.3500000000004</v>
      </c>
      <c r="K143" s="3">
        <v>0</v>
      </c>
      <c r="L143" s="3">
        <f>L144+L147</f>
        <v>6022.96</v>
      </c>
      <c r="M143" s="3">
        <f>M144+M147</f>
        <v>0</v>
      </c>
      <c r="N143" s="3">
        <f>N144+N147</f>
        <v>980</v>
      </c>
      <c r="O143" s="3">
        <f>O144+O147</f>
        <v>0</v>
      </c>
      <c r="P143" s="3">
        <f>P144+P147</f>
        <v>1281.25</v>
      </c>
      <c r="Q143" s="3">
        <f t="shared" ref="Q143:Y143" si="85">Q144+Q147</f>
        <v>0</v>
      </c>
      <c r="R143" s="3">
        <f t="shared" si="85"/>
        <v>0</v>
      </c>
      <c r="S143" s="3">
        <f t="shared" si="85"/>
        <v>0</v>
      </c>
      <c r="T143" s="3">
        <f t="shared" si="85"/>
        <v>980</v>
      </c>
      <c r="U143" s="3">
        <f t="shared" si="85"/>
        <v>980</v>
      </c>
      <c r="V143" s="3">
        <f t="shared" si="85"/>
        <v>0</v>
      </c>
      <c r="W143" s="3">
        <f t="shared" si="85"/>
        <v>0</v>
      </c>
      <c r="X143" s="3">
        <f t="shared" si="85"/>
        <v>0</v>
      </c>
      <c r="Y143" s="3">
        <f t="shared" si="85"/>
        <v>0</v>
      </c>
      <c r="Z143" s="95">
        <v>0</v>
      </c>
      <c r="AA143" s="3">
        <f t="shared" ref="AA143" si="86">AA144+AA147</f>
        <v>0</v>
      </c>
      <c r="AB143" s="3">
        <f>AB144+AB147</f>
        <v>0</v>
      </c>
      <c r="AC143" s="3">
        <f>AC144+AC147</f>
        <v>0</v>
      </c>
      <c r="AD143" s="3">
        <f>AD144+AD147</f>
        <v>0</v>
      </c>
      <c r="AE143" s="3">
        <f>AE144+AE147</f>
        <v>0</v>
      </c>
      <c r="AF143" s="3">
        <f t="shared" ref="AF143:AJ143" si="87">AF144+AF147</f>
        <v>0</v>
      </c>
      <c r="AG143" s="3">
        <f t="shared" si="87"/>
        <v>0</v>
      </c>
      <c r="AH143" s="3">
        <f t="shared" si="87"/>
        <v>0</v>
      </c>
      <c r="AI143" s="3">
        <f t="shared" si="87"/>
        <v>0</v>
      </c>
      <c r="AJ143" s="3">
        <f t="shared" si="87"/>
        <v>0</v>
      </c>
      <c r="AK143" s="3">
        <f>P143-Q143</f>
        <v>1281.25</v>
      </c>
      <c r="AL143" s="3">
        <f>AK143</f>
        <v>1281.25</v>
      </c>
      <c r="AM143" s="318">
        <f>ROUND((Q143*100%/P143*100),2)</f>
        <v>0</v>
      </c>
      <c r="AN143" s="3">
        <f t="shared" ref="AN143:AO143" si="88">AN144+AN147</f>
        <v>0</v>
      </c>
      <c r="AO143" s="3">
        <f t="shared" si="88"/>
        <v>0</v>
      </c>
      <c r="AP143" s="633" t="s">
        <v>256</v>
      </c>
      <c r="AQ143" s="95">
        <v>0</v>
      </c>
    </row>
    <row r="144" spans="1:43" x14ac:dyDescent="0.25">
      <c r="A144" s="1382"/>
      <c r="B144" s="23" t="s">
        <v>15</v>
      </c>
      <c r="C144" s="46"/>
      <c r="D144" s="46"/>
      <c r="E144" s="46"/>
      <c r="F144" s="46"/>
      <c r="G144" s="1103">
        <v>2019</v>
      </c>
      <c r="H144" s="1103">
        <v>2019</v>
      </c>
      <c r="I144" s="1464"/>
      <c r="J144" s="1623"/>
      <c r="K144" s="47"/>
      <c r="L144" s="47">
        <v>1000</v>
      </c>
      <c r="M144" s="47">
        <v>0</v>
      </c>
      <c r="N144" s="47">
        <v>980</v>
      </c>
      <c r="O144" s="47">
        <v>0</v>
      </c>
      <c r="P144" s="47">
        <v>377.91</v>
      </c>
      <c r="Q144" s="47">
        <v>0</v>
      </c>
      <c r="R144" s="47">
        <f t="shared" ref="R144:Y144" si="89">R145+R146</f>
        <v>0</v>
      </c>
      <c r="S144" s="47">
        <f t="shared" si="89"/>
        <v>0</v>
      </c>
      <c r="T144" s="47">
        <f t="shared" si="89"/>
        <v>980</v>
      </c>
      <c r="U144" s="47">
        <f t="shared" si="89"/>
        <v>980</v>
      </c>
      <c r="V144" s="47">
        <f t="shared" si="89"/>
        <v>0</v>
      </c>
      <c r="W144" s="47">
        <f t="shared" si="89"/>
        <v>0</v>
      </c>
      <c r="X144" s="47">
        <f t="shared" si="89"/>
        <v>0</v>
      </c>
      <c r="Y144" s="47">
        <f t="shared" si="89"/>
        <v>0</v>
      </c>
      <c r="Z144" s="96"/>
      <c r="AA144" s="47">
        <f t="shared" ref="AA144" si="90">AA145+AA146</f>
        <v>0</v>
      </c>
      <c r="AB144" s="47">
        <f>AB145+AB146</f>
        <v>0</v>
      </c>
      <c r="AC144" s="47">
        <f>AC145+AC146</f>
        <v>0</v>
      </c>
      <c r="AD144" s="47">
        <f>AD145+AD146</f>
        <v>0</v>
      </c>
      <c r="AE144" s="47">
        <f>AE145+AE146</f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397"/>
      <c r="AQ144" s="96"/>
    </row>
    <row r="145" spans="1:43" s="266" customFormat="1" hidden="1" x14ac:dyDescent="0.25">
      <c r="A145" s="1382"/>
      <c r="B145" s="443" t="s">
        <v>251</v>
      </c>
      <c r="C145" s="444"/>
      <c r="D145" s="444"/>
      <c r="E145" s="444"/>
      <c r="F145" s="444"/>
      <c r="G145" s="262"/>
      <c r="H145" s="262"/>
      <c r="I145" s="1464"/>
      <c r="J145" s="1623"/>
      <c r="K145" s="96"/>
      <c r="L145" s="96"/>
      <c r="M145" s="96"/>
      <c r="N145" s="96"/>
      <c r="O145" s="96"/>
      <c r="P145" s="96">
        <v>0</v>
      </c>
      <c r="Q145" s="96">
        <f>S145+U145</f>
        <v>980</v>
      </c>
      <c r="R145" s="96">
        <v>0</v>
      </c>
      <c r="S145" s="96">
        <v>0</v>
      </c>
      <c r="T145" s="96">
        <f>U145</f>
        <v>980</v>
      </c>
      <c r="U145" s="96">
        <v>980</v>
      </c>
      <c r="V145" s="96"/>
      <c r="W145" s="96"/>
      <c r="X145" s="96"/>
      <c r="Y145" s="96"/>
      <c r="Z145" s="96"/>
      <c r="AA145" s="96">
        <f>AB145</f>
        <v>0</v>
      </c>
      <c r="AB145" s="96">
        <v>0</v>
      </c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405"/>
      <c r="AQ145" s="96"/>
    </row>
    <row r="146" spans="1:43" s="266" customFormat="1" hidden="1" x14ac:dyDescent="0.25">
      <c r="A146" s="1382"/>
      <c r="B146" s="443" t="s">
        <v>252</v>
      </c>
      <c r="C146" s="444"/>
      <c r="D146" s="444"/>
      <c r="E146" s="444"/>
      <c r="F146" s="444"/>
      <c r="G146" s="262"/>
      <c r="H146" s="262"/>
      <c r="I146" s="1464"/>
      <c r="J146" s="1623"/>
      <c r="K146" s="96"/>
      <c r="L146" s="96"/>
      <c r="M146" s="96"/>
      <c r="N146" s="96"/>
      <c r="O146" s="96"/>
      <c r="P146" s="96"/>
      <c r="Q146" s="96">
        <f>S146</f>
        <v>0</v>
      </c>
      <c r="R146" s="96">
        <f>S146</f>
        <v>0</v>
      </c>
      <c r="S146" s="96">
        <v>0</v>
      </c>
      <c r="T146" s="96"/>
      <c r="U146" s="96"/>
      <c r="V146" s="96"/>
      <c r="W146" s="96"/>
      <c r="X146" s="96"/>
      <c r="Y146" s="96"/>
      <c r="Z146" s="96"/>
      <c r="AA146" s="96">
        <f>AB146</f>
        <v>0</v>
      </c>
      <c r="AB146" s="96">
        <v>0</v>
      </c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405"/>
      <c r="AQ146" s="96"/>
    </row>
    <row r="147" spans="1:43" x14ac:dyDescent="0.25">
      <c r="A147" s="1383"/>
      <c r="B147" s="23" t="s">
        <v>16</v>
      </c>
      <c r="C147" s="46"/>
      <c r="D147" s="46"/>
      <c r="E147" s="46"/>
      <c r="F147" s="46"/>
      <c r="G147" s="1103">
        <v>2020</v>
      </c>
      <c r="H147" s="1103">
        <v>2021</v>
      </c>
      <c r="I147" s="1465"/>
      <c r="J147" s="1624"/>
      <c r="K147" s="47"/>
      <c r="L147" s="47">
        <v>5022.96</v>
      </c>
      <c r="M147" s="47">
        <v>0</v>
      </c>
      <c r="N147" s="47">
        <v>0</v>
      </c>
      <c r="O147" s="47">
        <v>0</v>
      </c>
      <c r="P147" s="47">
        <v>903.34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96">
        <v>0</v>
      </c>
      <c r="Y147" s="96">
        <v>0</v>
      </c>
      <c r="Z147" s="96"/>
      <c r="AA147" s="47">
        <v>0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327" customFormat="1" ht="30" customHeight="1" x14ac:dyDescent="0.25">
      <c r="A148" s="1372" t="s">
        <v>61</v>
      </c>
      <c r="B148" s="609" t="s">
        <v>408</v>
      </c>
      <c r="C148" s="790"/>
      <c r="D148" s="790"/>
      <c r="E148" s="790"/>
      <c r="F148" s="790"/>
      <c r="G148" s="790"/>
      <c r="H148" s="790"/>
      <c r="I148" s="1463" t="s">
        <v>20</v>
      </c>
      <c r="J148" s="1622">
        <v>4106.3500000000004</v>
      </c>
      <c r="K148" s="3">
        <v>0</v>
      </c>
      <c r="L148" s="3">
        <f>L149+L152</f>
        <v>6022.96</v>
      </c>
      <c r="M148" s="3">
        <f>M149+M152</f>
        <v>0</v>
      </c>
      <c r="N148" s="3">
        <f>N149+N152</f>
        <v>980</v>
      </c>
      <c r="O148" s="3">
        <f>O149+O152</f>
        <v>0</v>
      </c>
      <c r="P148" s="3">
        <f>P149+P152</f>
        <v>1281.2539999999999</v>
      </c>
      <c r="Q148" s="3">
        <f t="shared" ref="Q148:Y148" si="91">Q149+Q152</f>
        <v>0</v>
      </c>
      <c r="R148" s="3">
        <f t="shared" si="91"/>
        <v>0</v>
      </c>
      <c r="S148" s="3">
        <f t="shared" si="91"/>
        <v>0</v>
      </c>
      <c r="T148" s="3">
        <f t="shared" si="91"/>
        <v>980</v>
      </c>
      <c r="U148" s="3">
        <f t="shared" si="91"/>
        <v>980</v>
      </c>
      <c r="V148" s="3">
        <f t="shared" si="91"/>
        <v>0</v>
      </c>
      <c r="W148" s="3">
        <f t="shared" si="91"/>
        <v>0</v>
      </c>
      <c r="X148" s="3">
        <f t="shared" si="91"/>
        <v>0</v>
      </c>
      <c r="Y148" s="3">
        <f t="shared" si="91"/>
        <v>0</v>
      </c>
      <c r="Z148" s="95">
        <v>0</v>
      </c>
      <c r="AA148" s="3">
        <f t="shared" ref="AA148" si="92">AA149+AA152</f>
        <v>0</v>
      </c>
      <c r="AB148" s="3">
        <f>AB149+AB152</f>
        <v>0</v>
      </c>
      <c r="AC148" s="3">
        <f>AC149+AC152</f>
        <v>0</v>
      </c>
      <c r="AD148" s="3">
        <f>AD149+AD152</f>
        <v>0</v>
      </c>
      <c r="AE148" s="3">
        <f>AE149+AE152</f>
        <v>0</v>
      </c>
      <c r="AF148" s="3">
        <f t="shared" ref="AF148:AJ148" si="93">AF149+AF152</f>
        <v>0</v>
      </c>
      <c r="AG148" s="3">
        <f t="shared" si="93"/>
        <v>0</v>
      </c>
      <c r="AH148" s="3">
        <f t="shared" si="93"/>
        <v>0</v>
      </c>
      <c r="AI148" s="3">
        <f t="shared" si="93"/>
        <v>0</v>
      </c>
      <c r="AJ148" s="3">
        <f t="shared" si="93"/>
        <v>0</v>
      </c>
      <c r="AK148" s="3">
        <f>P148-Q148</f>
        <v>1281.2539999999999</v>
      </c>
      <c r="AL148" s="3">
        <f>AK148</f>
        <v>1281.2539999999999</v>
      </c>
      <c r="AM148" s="318">
        <f>ROUND((Q148*100%/P148*100),2)</f>
        <v>0</v>
      </c>
      <c r="AN148" s="3">
        <f t="shared" ref="AN148:AO148" si="94">AN149+AN152</f>
        <v>0</v>
      </c>
      <c r="AO148" s="3">
        <f t="shared" si="94"/>
        <v>0</v>
      </c>
      <c r="AP148" s="633" t="s">
        <v>256</v>
      </c>
      <c r="AQ148" s="95">
        <v>0</v>
      </c>
    </row>
    <row r="149" spans="1:43" x14ac:dyDescent="0.25">
      <c r="A149" s="1382"/>
      <c r="B149" s="23" t="s">
        <v>15</v>
      </c>
      <c r="C149" s="46"/>
      <c r="D149" s="46"/>
      <c r="E149" s="46"/>
      <c r="F149" s="46"/>
      <c r="G149" s="1103">
        <v>2019</v>
      </c>
      <c r="H149" s="1103">
        <v>2019</v>
      </c>
      <c r="I149" s="1464"/>
      <c r="J149" s="1623"/>
      <c r="K149" s="47"/>
      <c r="L149" s="47">
        <v>1000</v>
      </c>
      <c r="M149" s="47">
        <v>0</v>
      </c>
      <c r="N149" s="47">
        <v>980</v>
      </c>
      <c r="O149" s="47">
        <v>0</v>
      </c>
      <c r="P149" s="47">
        <v>377.91399999999999</v>
      </c>
      <c r="Q149" s="47">
        <v>0</v>
      </c>
      <c r="R149" s="47">
        <f t="shared" ref="R149:Y149" si="95">R150+R151</f>
        <v>0</v>
      </c>
      <c r="S149" s="47">
        <f t="shared" si="95"/>
        <v>0</v>
      </c>
      <c r="T149" s="47">
        <f t="shared" si="95"/>
        <v>980</v>
      </c>
      <c r="U149" s="47">
        <f t="shared" si="95"/>
        <v>980</v>
      </c>
      <c r="V149" s="47">
        <f t="shared" si="95"/>
        <v>0</v>
      </c>
      <c r="W149" s="47">
        <f t="shared" si="95"/>
        <v>0</v>
      </c>
      <c r="X149" s="47">
        <f t="shared" si="95"/>
        <v>0</v>
      </c>
      <c r="Y149" s="47">
        <f t="shared" si="95"/>
        <v>0</v>
      </c>
      <c r="Z149" s="96"/>
      <c r="AA149" s="47">
        <f t="shared" ref="AA149" si="96">AA150+AA151</f>
        <v>0</v>
      </c>
      <c r="AB149" s="47">
        <f>AB150+AB151</f>
        <v>0</v>
      </c>
      <c r="AC149" s="47">
        <f>AC150+AC151</f>
        <v>0</v>
      </c>
      <c r="AD149" s="47">
        <f>AD150+AD151</f>
        <v>0</v>
      </c>
      <c r="AE149" s="47">
        <f>AE150+AE151</f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397"/>
      <c r="AQ149" s="96"/>
    </row>
    <row r="150" spans="1:43" s="266" customFormat="1" hidden="1" x14ac:dyDescent="0.25">
      <c r="A150" s="1382"/>
      <c r="B150" s="443" t="s">
        <v>251</v>
      </c>
      <c r="C150" s="444"/>
      <c r="D150" s="444"/>
      <c r="E150" s="444"/>
      <c r="F150" s="444"/>
      <c r="G150" s="262"/>
      <c r="H150" s="262"/>
      <c r="I150" s="1464"/>
      <c r="J150" s="1623"/>
      <c r="K150" s="96"/>
      <c r="L150" s="96"/>
      <c r="M150" s="96"/>
      <c r="N150" s="96"/>
      <c r="O150" s="96"/>
      <c r="P150" s="96">
        <v>0</v>
      </c>
      <c r="Q150" s="96">
        <f>S150+U150</f>
        <v>980</v>
      </c>
      <c r="R150" s="96">
        <v>0</v>
      </c>
      <c r="S150" s="96">
        <v>0</v>
      </c>
      <c r="T150" s="96">
        <f>U150</f>
        <v>980</v>
      </c>
      <c r="U150" s="96">
        <v>980</v>
      </c>
      <c r="V150" s="96"/>
      <c r="W150" s="96"/>
      <c r="X150" s="96"/>
      <c r="Y150" s="96"/>
      <c r="Z150" s="96"/>
      <c r="AA150" s="96">
        <f>AB150</f>
        <v>0</v>
      </c>
      <c r="AB150" s="96">
        <v>0</v>
      </c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405"/>
      <c r="AQ150" s="96"/>
    </row>
    <row r="151" spans="1:43" s="266" customFormat="1" hidden="1" x14ac:dyDescent="0.25">
      <c r="A151" s="1382"/>
      <c r="B151" s="443" t="s">
        <v>252</v>
      </c>
      <c r="C151" s="444"/>
      <c r="D151" s="444"/>
      <c r="E151" s="444"/>
      <c r="F151" s="444"/>
      <c r="G151" s="262"/>
      <c r="H151" s="262"/>
      <c r="I151" s="1464"/>
      <c r="J151" s="1623"/>
      <c r="K151" s="96"/>
      <c r="L151" s="96"/>
      <c r="M151" s="96"/>
      <c r="N151" s="96"/>
      <c r="O151" s="96"/>
      <c r="P151" s="96"/>
      <c r="Q151" s="96">
        <f>S151</f>
        <v>0</v>
      </c>
      <c r="R151" s="96">
        <f>S151</f>
        <v>0</v>
      </c>
      <c r="S151" s="96">
        <v>0</v>
      </c>
      <c r="T151" s="96"/>
      <c r="U151" s="96"/>
      <c r="V151" s="96"/>
      <c r="W151" s="96"/>
      <c r="X151" s="96"/>
      <c r="Y151" s="96"/>
      <c r="Z151" s="96"/>
      <c r="AA151" s="96">
        <f>AB151</f>
        <v>0</v>
      </c>
      <c r="AB151" s="96">
        <v>0</v>
      </c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405"/>
      <c r="AQ151" s="96"/>
    </row>
    <row r="152" spans="1:43" x14ac:dyDescent="0.25">
      <c r="A152" s="1383"/>
      <c r="B152" s="23" t="s">
        <v>16</v>
      </c>
      <c r="C152" s="46"/>
      <c r="D152" s="46"/>
      <c r="E152" s="46"/>
      <c r="F152" s="46"/>
      <c r="G152" s="1103">
        <v>2020</v>
      </c>
      <c r="H152" s="1103">
        <v>2021</v>
      </c>
      <c r="I152" s="1465"/>
      <c r="J152" s="1624"/>
      <c r="K152" s="47"/>
      <c r="L152" s="47">
        <v>5022.96</v>
      </c>
      <c r="M152" s="47">
        <v>0</v>
      </c>
      <c r="N152" s="47">
        <v>0</v>
      </c>
      <c r="O152" s="47">
        <v>0</v>
      </c>
      <c r="P152" s="47">
        <v>903.34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96">
        <v>0</v>
      </c>
      <c r="Y152" s="96">
        <v>0</v>
      </c>
      <c r="Z152" s="96"/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ht="15.75" x14ac:dyDescent="0.25">
      <c r="A153" s="1116"/>
      <c r="B153" s="791"/>
      <c r="C153" s="792"/>
      <c r="D153" s="792"/>
      <c r="E153" s="792"/>
      <c r="F153" s="792"/>
      <c r="G153" s="313"/>
      <c r="H153" s="313"/>
      <c r="I153" s="793"/>
      <c r="J153" s="794"/>
      <c r="K153" s="795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7"/>
      <c r="Y153" s="797"/>
      <c r="Z153" s="797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8"/>
      <c r="AQ153" s="797"/>
    </row>
    <row r="154" spans="1:43" s="925" customFormat="1" ht="15.75" x14ac:dyDescent="0.25">
      <c r="A154" s="929" t="s">
        <v>13</v>
      </c>
      <c r="B154" s="926"/>
      <c r="C154" s="927"/>
      <c r="D154" s="927"/>
      <c r="E154" s="927"/>
      <c r="F154" s="927"/>
      <c r="G154" s="927"/>
      <c r="H154" s="927"/>
      <c r="I154" s="927"/>
      <c r="J154" s="927"/>
      <c r="K154" s="927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30"/>
      <c r="AQ154" s="928"/>
    </row>
    <row r="155" spans="1:43" s="934" customFormat="1" ht="12.75" x14ac:dyDescent="0.2">
      <c r="A155" s="1604" t="s">
        <v>443</v>
      </c>
      <c r="B155" s="1605"/>
      <c r="C155" s="1605"/>
      <c r="D155" s="1605"/>
      <c r="E155" s="1605"/>
      <c r="F155" s="1605"/>
      <c r="G155" s="1605"/>
      <c r="H155" s="1606"/>
      <c r="I155" s="931" t="s">
        <v>21</v>
      </c>
      <c r="J155" s="932">
        <f t="shared" ref="J155:AO155" si="97">J156+J157+J158+J159</f>
        <v>165965.11999999997</v>
      </c>
      <c r="K155" s="932">
        <f t="shared" si="97"/>
        <v>25354.1</v>
      </c>
      <c r="L155" s="932">
        <f t="shared" si="97"/>
        <v>1042119.19</v>
      </c>
      <c r="M155" s="932">
        <f t="shared" si="97"/>
        <v>571026.48</v>
      </c>
      <c r="N155" s="932">
        <f t="shared" si="97"/>
        <v>616839.18000000005</v>
      </c>
      <c r="O155" s="932">
        <f t="shared" si="97"/>
        <v>381271.67000000004</v>
      </c>
      <c r="P155" s="932">
        <f>P164+P167+P171+P180+P184+P187+P208+P213+P219+P225+P227+P238+P249+P252+P257+P260+P267+P269+P273+P278+P285+P288+P195+P198+P201+P229+P235+P242+P298+P308+P311</f>
        <v>292742.20000000007</v>
      </c>
      <c r="Q155" s="932">
        <f>Q164+Q167+Q171+Q180+Q184+Q187+Q208+Q213+Q219+Q225+Q227+Q238+Q249+Q252+Q257+Q260+Q267+Q269+Q273+Q278+Q285+Q288+Q195+Q198+Q201+Q229+Q235+Q242+Q298+Q308+Q311</f>
        <v>99370.310580000005</v>
      </c>
      <c r="R155" s="932">
        <f t="shared" ref="R155:Z155" si="98">R164+R167+R171+R180+R184+R187+R208+R213+R219+R225+R227+R238+R249+R252+R257+R260+R267+R269+R273+R278+R285+R288+R195+R198+R201+R229+R235+R242+R298+R308+R311</f>
        <v>23233.600000000002</v>
      </c>
      <c r="S155" s="932">
        <f t="shared" si="98"/>
        <v>26233.599999999999</v>
      </c>
      <c r="T155" s="932">
        <f t="shared" si="98"/>
        <v>25740.546000000002</v>
      </c>
      <c r="U155" s="932">
        <f t="shared" si="98"/>
        <v>27949.284000000003</v>
      </c>
      <c r="V155" s="932">
        <f t="shared" si="98"/>
        <v>54714.664999999994</v>
      </c>
      <c r="W155" s="932">
        <f t="shared" si="98"/>
        <v>55653.578999999998</v>
      </c>
      <c r="X155" s="932">
        <f t="shared" si="98"/>
        <v>21705.95</v>
      </c>
      <c r="Y155" s="932">
        <f t="shared" si="98"/>
        <v>21705.95</v>
      </c>
      <c r="Z155" s="932">
        <f t="shared" si="98"/>
        <v>21705.95</v>
      </c>
      <c r="AA155" s="932">
        <f>AA164+AA167+AA171+AA180+AA184+AA187+AA208+AA213+AA219+AA225+AA227+AA238+AA249+AA252+AA257+AA260+AA267+AA269+AA273+AA278+AA285+AA288+AA195+AA198+AA201+AA229+AA235+AA242+AA298+AA308+AA311</f>
        <v>107196.00305</v>
      </c>
      <c r="AB155" s="932">
        <f t="shared" si="97"/>
        <v>20471.075000000001</v>
      </c>
      <c r="AC155" s="932">
        <f t="shared" si="97"/>
        <v>35341.406000000003</v>
      </c>
      <c r="AD155" s="932">
        <f t="shared" si="97"/>
        <v>69790.480890000006</v>
      </c>
      <c r="AE155" s="932">
        <f t="shared" si="97"/>
        <v>0</v>
      </c>
      <c r="AF155" s="932">
        <f t="shared" si="97"/>
        <v>0</v>
      </c>
      <c r="AG155" s="932">
        <f t="shared" si="97"/>
        <v>0</v>
      </c>
      <c r="AH155" s="932">
        <f t="shared" si="97"/>
        <v>0</v>
      </c>
      <c r="AI155" s="932">
        <f t="shared" si="97"/>
        <v>0</v>
      </c>
      <c r="AJ155" s="932">
        <f t="shared" si="97"/>
        <v>0</v>
      </c>
      <c r="AK155" s="932">
        <f t="shared" si="97"/>
        <v>147253.24</v>
      </c>
      <c r="AL155" s="932">
        <f t="shared" si="97"/>
        <v>147253.24</v>
      </c>
      <c r="AM155" s="932" t="e">
        <f t="shared" si="97"/>
        <v>#DIV/0!</v>
      </c>
      <c r="AN155" s="932">
        <f t="shared" si="97"/>
        <v>0</v>
      </c>
      <c r="AO155" s="932">
        <f t="shared" si="97"/>
        <v>0</v>
      </c>
      <c r="AP155" s="933"/>
      <c r="AQ155" s="932">
        <f>AQ164+AQ167+AQ171+AQ180+AQ184+AQ187+AQ208+AQ213+AQ219+AQ225+AQ227+AQ238+AQ249+AQ252+AQ257+AQ260+AQ267+AQ269+AQ273+AQ278+AQ285+AQ288</f>
        <v>4894.7240000000002</v>
      </c>
    </row>
    <row r="156" spans="1:43" s="615" customFormat="1" ht="5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19</v>
      </c>
      <c r="J156" s="71">
        <f t="shared" ref="J156:AO159" si="99">J160+J204+J231</f>
        <v>152888.53999999998</v>
      </c>
      <c r="K156" s="71">
        <f t="shared" si="99"/>
        <v>25354.1</v>
      </c>
      <c r="L156" s="47">
        <f t="shared" si="99"/>
        <v>193023.18</v>
      </c>
      <c r="M156" s="47">
        <f t="shared" si="99"/>
        <v>42443.12</v>
      </c>
      <c r="N156" s="47">
        <f t="shared" si="99"/>
        <v>35331.160000000003</v>
      </c>
      <c r="O156" s="47">
        <f t="shared" si="99"/>
        <v>29531.94</v>
      </c>
      <c r="P156" s="47">
        <f t="shared" si="99"/>
        <v>100162.01</v>
      </c>
      <c r="Q156" s="47">
        <f t="shared" si="99"/>
        <v>0</v>
      </c>
      <c r="R156" s="47">
        <f t="shared" si="99"/>
        <v>743.47199999999998</v>
      </c>
      <c r="S156" s="47">
        <f t="shared" si="99"/>
        <v>3743.4719999999998</v>
      </c>
      <c r="T156" s="47">
        <f t="shared" si="99"/>
        <v>31.5</v>
      </c>
      <c r="U156" s="47">
        <f t="shared" si="99"/>
        <v>2236.8380000000002</v>
      </c>
      <c r="V156" s="47">
        <f t="shared" si="99"/>
        <v>0</v>
      </c>
      <c r="W156" s="47">
        <f t="shared" si="99"/>
        <v>0</v>
      </c>
      <c r="X156" s="47">
        <f t="shared" si="99"/>
        <v>0</v>
      </c>
      <c r="Y156" s="47">
        <f t="shared" si="99"/>
        <v>0</v>
      </c>
      <c r="Z156" s="96"/>
      <c r="AA156" s="47">
        <f t="shared" si="99"/>
        <v>0</v>
      </c>
      <c r="AB156" s="47">
        <f t="shared" si="99"/>
        <v>2948.8069999999998</v>
      </c>
      <c r="AC156" s="47">
        <f t="shared" si="99"/>
        <v>0</v>
      </c>
      <c r="AD156" s="47">
        <f t="shared" si="99"/>
        <v>31.5</v>
      </c>
      <c r="AE156" s="47">
        <f t="shared" si="99"/>
        <v>0</v>
      </c>
      <c r="AF156" s="47">
        <f t="shared" si="99"/>
        <v>0</v>
      </c>
      <c r="AG156" s="47">
        <f t="shared" si="99"/>
        <v>0</v>
      </c>
      <c r="AH156" s="47">
        <f t="shared" si="99"/>
        <v>0</v>
      </c>
      <c r="AI156" s="47">
        <f t="shared" si="99"/>
        <v>0</v>
      </c>
      <c r="AJ156" s="47">
        <f t="shared" si="99"/>
        <v>0</v>
      </c>
      <c r="AK156" s="47">
        <f t="shared" si="99"/>
        <v>28946.75</v>
      </c>
      <c r="AL156" s="47">
        <f t="shared" si="99"/>
        <v>28946.75</v>
      </c>
      <c r="AM156" s="47" t="e">
        <f t="shared" si="99"/>
        <v>#DIV/0!</v>
      </c>
      <c r="AN156" s="47">
        <f t="shared" si="99"/>
        <v>0</v>
      </c>
      <c r="AO156" s="47">
        <f t="shared" si="99"/>
        <v>0</v>
      </c>
      <c r="AP156" s="397"/>
      <c r="AQ156" s="96"/>
    </row>
    <row r="157" spans="1:43" s="615" customFormat="1" ht="45.75" hidden="1" customHeight="1" x14ac:dyDescent="0.2">
      <c r="A157" s="1607"/>
      <c r="B157" s="1608"/>
      <c r="C157" s="1608"/>
      <c r="D157" s="1608"/>
      <c r="E157" s="1608"/>
      <c r="F157" s="1608"/>
      <c r="G157" s="1608"/>
      <c r="H157" s="1609"/>
      <c r="I157" s="23" t="s">
        <v>20</v>
      </c>
      <c r="J157" s="71">
        <f t="shared" si="99"/>
        <v>13076.579999999998</v>
      </c>
      <c r="K157" s="71">
        <f t="shared" si="99"/>
        <v>0</v>
      </c>
      <c r="L157" s="47">
        <f t="shared" ref="L157:Y158" si="100">L161+L205+L232+L246</f>
        <v>353562.91999999993</v>
      </c>
      <c r="M157" s="47">
        <f t="shared" si="100"/>
        <v>36205.620000000003</v>
      </c>
      <c r="N157" s="47">
        <f t="shared" si="100"/>
        <v>88280.380000000019</v>
      </c>
      <c r="O157" s="47">
        <f t="shared" si="100"/>
        <v>53996.09</v>
      </c>
      <c r="P157" s="47">
        <f t="shared" si="100"/>
        <v>132010.46000000002</v>
      </c>
      <c r="Q157" s="47">
        <f t="shared" si="100"/>
        <v>2361.4518600000001</v>
      </c>
      <c r="R157" s="47">
        <f t="shared" si="100"/>
        <v>784.17799999999988</v>
      </c>
      <c r="S157" s="47">
        <f t="shared" si="100"/>
        <v>784.17799999999988</v>
      </c>
      <c r="T157" s="47">
        <f t="shared" si="100"/>
        <v>4003.096</v>
      </c>
      <c r="U157" s="47">
        <f t="shared" si="100"/>
        <v>4006.4960000000001</v>
      </c>
      <c r="V157" s="47">
        <f t="shared" si="100"/>
        <v>4331.41</v>
      </c>
      <c r="W157" s="47">
        <f t="shared" si="100"/>
        <v>5270.3239999999996</v>
      </c>
      <c r="X157" s="47">
        <f t="shared" si="100"/>
        <v>0</v>
      </c>
      <c r="Y157" s="47">
        <f t="shared" si="100"/>
        <v>0</v>
      </c>
      <c r="Z157" s="96"/>
      <c r="AA157" s="47">
        <f>AA161+AA205+AA232+AA246</f>
        <v>2402.80186</v>
      </c>
      <c r="AB157" s="47">
        <f>AB161+AB205+AB232+AB246</f>
        <v>0</v>
      </c>
      <c r="AC157" s="47">
        <f>AC161+AC205+AC232+AC246</f>
        <v>3241.61</v>
      </c>
      <c r="AD157" s="47">
        <f>AD161+AD205+AD232+AD246</f>
        <v>69758.980890000006</v>
      </c>
      <c r="AE157" s="47">
        <f>AE161+AE205+AE232+AE246</f>
        <v>0</v>
      </c>
      <c r="AF157" s="47">
        <f t="shared" si="99"/>
        <v>0</v>
      </c>
      <c r="AG157" s="47">
        <f t="shared" si="99"/>
        <v>0</v>
      </c>
      <c r="AH157" s="47">
        <f t="shared" si="99"/>
        <v>0</v>
      </c>
      <c r="AI157" s="47">
        <f t="shared" si="99"/>
        <v>0</v>
      </c>
      <c r="AJ157" s="47">
        <f t="shared" si="99"/>
        <v>0</v>
      </c>
      <c r="AK157" s="47">
        <f t="shared" si="99"/>
        <v>118306.49</v>
      </c>
      <c r="AL157" s="47">
        <f t="shared" si="99"/>
        <v>118306.49</v>
      </c>
      <c r="AM157" s="47" t="e">
        <f t="shared" si="99"/>
        <v>#DIV/0!</v>
      </c>
      <c r="AN157" s="47">
        <f t="shared" si="99"/>
        <v>0</v>
      </c>
      <c r="AO157" s="47">
        <f t="shared" si="99"/>
        <v>0</v>
      </c>
      <c r="AP157" s="397"/>
      <c r="AQ157" s="96"/>
    </row>
    <row r="158" spans="1:43" s="615" customFormat="1" ht="28.5" hidden="1" customHeight="1" x14ac:dyDescent="0.2">
      <c r="A158" s="1607"/>
      <c r="B158" s="1608"/>
      <c r="C158" s="1608"/>
      <c r="D158" s="1608"/>
      <c r="E158" s="1608"/>
      <c r="F158" s="1608"/>
      <c r="G158" s="1608"/>
      <c r="H158" s="1609"/>
      <c r="I158" s="23" t="s">
        <v>10</v>
      </c>
      <c r="J158" s="71">
        <f t="shared" si="99"/>
        <v>0</v>
      </c>
      <c r="K158" s="71">
        <f t="shared" si="99"/>
        <v>0</v>
      </c>
      <c r="L158" s="47">
        <f t="shared" si="100"/>
        <v>495533.09</v>
      </c>
      <c r="M158" s="47">
        <f t="shared" si="100"/>
        <v>492377.74</v>
      </c>
      <c r="N158" s="47">
        <f t="shared" si="100"/>
        <v>493227.64</v>
      </c>
      <c r="O158" s="47">
        <f t="shared" si="100"/>
        <v>297742.64</v>
      </c>
      <c r="P158" s="47">
        <f t="shared" si="100"/>
        <v>0</v>
      </c>
      <c r="Q158" s="47">
        <f t="shared" si="100"/>
        <v>97008.858719999989</v>
      </c>
      <c r="R158" s="47">
        <f t="shared" si="100"/>
        <v>21705.95</v>
      </c>
      <c r="S158" s="47">
        <f t="shared" si="100"/>
        <v>21705.95</v>
      </c>
      <c r="T158" s="47">
        <f t="shared" si="100"/>
        <v>21705.95</v>
      </c>
      <c r="U158" s="47">
        <f t="shared" si="100"/>
        <v>21705.95</v>
      </c>
      <c r="V158" s="47">
        <f t="shared" si="100"/>
        <v>50383.255000000005</v>
      </c>
      <c r="W158" s="47">
        <f t="shared" si="100"/>
        <v>50383.255000000005</v>
      </c>
      <c r="X158" s="47">
        <f t="shared" si="100"/>
        <v>21705.95</v>
      </c>
      <c r="Y158" s="47">
        <f t="shared" si="100"/>
        <v>21705.95</v>
      </c>
      <c r="Z158" s="96"/>
      <c r="AA158" s="47">
        <f>AA162+AA206+AA233+AA247</f>
        <v>104395.20118999999</v>
      </c>
      <c r="AB158" s="47">
        <f>AB162+AB206+AB233+AB247</f>
        <v>17522.268</v>
      </c>
      <c r="AC158" s="47">
        <f>AC162+AC206+AC233+AC247</f>
        <v>32099.796000000002</v>
      </c>
      <c r="AD158" s="47">
        <f>AD162+AD206+AD233</f>
        <v>0</v>
      </c>
      <c r="AE158" s="47">
        <f>AE162+AE206+AE233</f>
        <v>0</v>
      </c>
      <c r="AF158" s="47">
        <f t="shared" si="99"/>
        <v>0</v>
      </c>
      <c r="AG158" s="47">
        <f t="shared" si="99"/>
        <v>0</v>
      </c>
      <c r="AH158" s="47">
        <f t="shared" si="99"/>
        <v>0</v>
      </c>
      <c r="AI158" s="47">
        <f t="shared" si="99"/>
        <v>0</v>
      </c>
      <c r="AJ158" s="47">
        <f t="shared" si="99"/>
        <v>0</v>
      </c>
      <c r="AK158" s="47">
        <f t="shared" si="99"/>
        <v>0</v>
      </c>
      <c r="AL158" s="47">
        <f t="shared" si="99"/>
        <v>0</v>
      </c>
      <c r="AM158" s="47">
        <f t="shared" si="99"/>
        <v>0</v>
      </c>
      <c r="AN158" s="47">
        <f t="shared" si="99"/>
        <v>0</v>
      </c>
      <c r="AO158" s="47">
        <f t="shared" si="99"/>
        <v>0</v>
      </c>
      <c r="AP158" s="397"/>
      <c r="AQ158" s="96"/>
    </row>
    <row r="159" spans="1:43" s="615" customFormat="1" ht="25.5" hidden="1" customHeight="1" x14ac:dyDescent="0.2">
      <c r="A159" s="1610"/>
      <c r="B159" s="1611"/>
      <c r="C159" s="1611"/>
      <c r="D159" s="1611"/>
      <c r="E159" s="1611"/>
      <c r="F159" s="1611"/>
      <c r="G159" s="1611"/>
      <c r="H159" s="1612"/>
      <c r="I159" s="23" t="s">
        <v>9</v>
      </c>
      <c r="J159" s="71">
        <f t="shared" si="99"/>
        <v>0</v>
      </c>
      <c r="K159" s="71">
        <f t="shared" si="99"/>
        <v>0</v>
      </c>
      <c r="L159" s="47">
        <v>0</v>
      </c>
      <c r="M159" s="47">
        <f>M163+M207+M234</f>
        <v>0</v>
      </c>
      <c r="N159" s="47">
        <f>N163+N207+N234</f>
        <v>0</v>
      </c>
      <c r="O159" s="47">
        <f>O163+O207+O234</f>
        <v>1</v>
      </c>
      <c r="P159" s="47">
        <f>P163+P207+P234</f>
        <v>0</v>
      </c>
      <c r="Q159" s="47">
        <f t="shared" ref="Q159:AO159" si="101">Q163+Q207+Q234</f>
        <v>0</v>
      </c>
      <c r="R159" s="47">
        <f t="shared" si="101"/>
        <v>0</v>
      </c>
      <c r="S159" s="47">
        <f t="shared" si="101"/>
        <v>0</v>
      </c>
      <c r="T159" s="47">
        <f t="shared" si="101"/>
        <v>0</v>
      </c>
      <c r="U159" s="47">
        <f t="shared" si="101"/>
        <v>0</v>
      </c>
      <c r="V159" s="47">
        <f t="shared" si="101"/>
        <v>0</v>
      </c>
      <c r="W159" s="47">
        <f t="shared" si="101"/>
        <v>0</v>
      </c>
      <c r="X159" s="47">
        <f t="shared" si="101"/>
        <v>0</v>
      </c>
      <c r="Y159" s="47">
        <f t="shared" si="101"/>
        <v>0</v>
      </c>
      <c r="Z159" s="96"/>
      <c r="AA159" s="47">
        <f t="shared" si="101"/>
        <v>0</v>
      </c>
      <c r="AB159" s="47">
        <f t="shared" si="101"/>
        <v>0</v>
      </c>
      <c r="AC159" s="47">
        <f t="shared" si="101"/>
        <v>0</v>
      </c>
      <c r="AD159" s="47">
        <f t="shared" si="101"/>
        <v>0</v>
      </c>
      <c r="AE159" s="47">
        <f t="shared" si="101"/>
        <v>0</v>
      </c>
      <c r="AF159" s="47">
        <f t="shared" si="101"/>
        <v>0</v>
      </c>
      <c r="AG159" s="47">
        <f>AG163+AG207+AG234</f>
        <v>0</v>
      </c>
      <c r="AH159" s="47">
        <f>AH163+AH207+AH234</f>
        <v>0</v>
      </c>
      <c r="AI159" s="47">
        <f>AI163+AI207+AI234</f>
        <v>0</v>
      </c>
      <c r="AJ159" s="47">
        <f>AJ163+AJ207+AJ234</f>
        <v>0</v>
      </c>
      <c r="AK159" s="47">
        <f t="shared" si="101"/>
        <v>0</v>
      </c>
      <c r="AL159" s="47">
        <f t="shared" si="101"/>
        <v>0</v>
      </c>
      <c r="AM159" s="47">
        <f t="shared" si="101"/>
        <v>0</v>
      </c>
      <c r="AN159" s="47">
        <f t="shared" si="101"/>
        <v>0</v>
      </c>
      <c r="AO159" s="47">
        <f t="shared" si="101"/>
        <v>0</v>
      </c>
      <c r="AP159" s="397"/>
      <c r="AQ159" s="96"/>
    </row>
    <row r="160" spans="1:43" ht="51.75" hidden="1" customHeight="1" x14ac:dyDescent="0.25">
      <c r="A160" s="1332" t="s">
        <v>27</v>
      </c>
      <c r="B160" s="1613" t="s">
        <v>214</v>
      </c>
      <c r="C160" s="1614"/>
      <c r="D160" s="1614"/>
      <c r="E160" s="1614"/>
      <c r="F160" s="1614"/>
      <c r="G160" s="1614"/>
      <c r="H160" s="1615"/>
      <c r="I160" s="23" t="s">
        <v>19</v>
      </c>
      <c r="J160" s="47">
        <f>J164+J167+J171</f>
        <v>152888.53999999998</v>
      </c>
      <c r="K160" s="47">
        <f>K164+K167+K171</f>
        <v>25354.1</v>
      </c>
      <c r="L160" s="47">
        <f>L164+L167+L171+L180+L184+L188</f>
        <v>193023.18</v>
      </c>
      <c r="M160" s="47">
        <f>M164+M167+M171+M180+M184+M188</f>
        <v>42443.12</v>
      </c>
      <c r="N160" s="47">
        <f>N164+N167+N171+N180+N184+N188</f>
        <v>35331.160000000003</v>
      </c>
      <c r="O160" s="47">
        <f>O164+O167+O171+O180+O184+O187</f>
        <v>29530.94</v>
      </c>
      <c r="P160" s="47">
        <f>P164+P167+P171+P180+P184+P188</f>
        <v>100162.01</v>
      </c>
      <c r="Q160" s="47">
        <f>Q164+Q167+Q171+Q180+Q184+Q187</f>
        <v>0</v>
      </c>
      <c r="R160" s="47">
        <f t="shared" ref="R160:AA160" si="102">R164+R167+R171+R180+R184+R187</f>
        <v>743.47199999999998</v>
      </c>
      <c r="S160" s="47">
        <f t="shared" si="102"/>
        <v>3743.4719999999998</v>
      </c>
      <c r="T160" s="47">
        <f t="shared" si="102"/>
        <v>31.5</v>
      </c>
      <c r="U160" s="47">
        <f t="shared" si="102"/>
        <v>2236.8380000000002</v>
      </c>
      <c r="V160" s="47">
        <f t="shared" si="102"/>
        <v>0</v>
      </c>
      <c r="W160" s="47">
        <f t="shared" si="102"/>
        <v>0</v>
      </c>
      <c r="X160" s="47">
        <f t="shared" si="102"/>
        <v>0</v>
      </c>
      <c r="Y160" s="47">
        <f t="shared" si="102"/>
        <v>0</v>
      </c>
      <c r="Z160" s="96"/>
      <c r="AA160" s="47">
        <f t="shared" si="102"/>
        <v>0</v>
      </c>
      <c r="AB160" s="47">
        <f>AB164+AB167+AB171+AB180+AB184+AB187</f>
        <v>2948.8069999999998</v>
      </c>
      <c r="AC160" s="47">
        <f>AC164+AC167+AC171+AC180+AC184+AC187</f>
        <v>0</v>
      </c>
      <c r="AD160" s="47">
        <f>AD164+AD167+AD171+AD180+AD184+AD187</f>
        <v>31.5</v>
      </c>
      <c r="AE160" s="47">
        <f>AE164+AE167+AE171+AE180+AE184+AE187</f>
        <v>0</v>
      </c>
      <c r="AF160" s="47">
        <f t="shared" ref="AF160:AO160" si="103">AF164+AF167+AF171</f>
        <v>0</v>
      </c>
      <c r="AG160" s="47">
        <f t="shared" si="103"/>
        <v>0</v>
      </c>
      <c r="AH160" s="47">
        <f t="shared" si="103"/>
        <v>0</v>
      </c>
      <c r="AI160" s="47">
        <f t="shared" si="103"/>
        <v>0</v>
      </c>
      <c r="AJ160" s="47">
        <f t="shared" si="103"/>
        <v>0</v>
      </c>
      <c r="AK160" s="47">
        <f t="shared" si="103"/>
        <v>28946.75</v>
      </c>
      <c r="AL160" s="47">
        <f t="shared" si="103"/>
        <v>28946.75</v>
      </c>
      <c r="AM160" s="47" t="e">
        <f t="shared" si="103"/>
        <v>#DIV/0!</v>
      </c>
      <c r="AN160" s="47">
        <f t="shared" si="103"/>
        <v>0</v>
      </c>
      <c r="AO160" s="47">
        <f t="shared" si="103"/>
        <v>0</v>
      </c>
      <c r="AP160" s="397"/>
      <c r="AQ160" s="96"/>
    </row>
    <row r="161" spans="1:43" ht="47.25" hidden="1" customHeight="1" x14ac:dyDescent="0.25">
      <c r="A161" s="1333"/>
      <c r="B161" s="1616"/>
      <c r="C161" s="1617"/>
      <c r="D161" s="1617"/>
      <c r="E161" s="1617"/>
      <c r="F161" s="1617"/>
      <c r="G161" s="1617"/>
      <c r="H161" s="1618"/>
      <c r="I161" s="23" t="s">
        <v>20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ht="28.5" hidden="1" customHeight="1" x14ac:dyDescent="0.25">
      <c r="A162" s="1333"/>
      <c r="B162" s="1616"/>
      <c r="C162" s="1617"/>
      <c r="D162" s="1617"/>
      <c r="E162" s="1617"/>
      <c r="F162" s="1617"/>
      <c r="G162" s="1617"/>
      <c r="H162" s="1618"/>
      <c r="I162" s="23" t="s">
        <v>10</v>
      </c>
      <c r="J162" s="47">
        <v>0</v>
      </c>
      <c r="K162" s="47">
        <v>0</v>
      </c>
      <c r="L162" s="47">
        <f>L194</f>
        <v>195485</v>
      </c>
      <c r="M162" s="47">
        <f>M194</f>
        <v>195485</v>
      </c>
      <c r="N162" s="47">
        <f>N194</f>
        <v>195485</v>
      </c>
      <c r="O162" s="47">
        <v>0</v>
      </c>
      <c r="P162" s="47">
        <f>P194</f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96"/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397"/>
      <c r="AQ162" s="96"/>
    </row>
    <row r="163" spans="1:43" ht="25.5" hidden="1" customHeight="1" x14ac:dyDescent="0.25">
      <c r="A163" s="1334"/>
      <c r="B163" s="1619"/>
      <c r="C163" s="1620"/>
      <c r="D163" s="1620"/>
      <c r="E163" s="1620"/>
      <c r="F163" s="1620"/>
      <c r="G163" s="1620"/>
      <c r="H163" s="1621"/>
      <c r="I163" s="23" t="s">
        <v>9</v>
      </c>
      <c r="J163" s="47">
        <v>0</v>
      </c>
      <c r="K163" s="47">
        <v>0</v>
      </c>
      <c r="L163" s="47">
        <f>M163+N163+O163</f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96"/>
      <c r="AA163" s="47">
        <v>0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397"/>
      <c r="AQ163" s="96"/>
    </row>
    <row r="164" spans="1:43" s="327" customFormat="1" ht="27.75" customHeight="1" x14ac:dyDescent="0.25">
      <c r="A164" s="1473" t="s">
        <v>34</v>
      </c>
      <c r="B164" s="780" t="s">
        <v>441</v>
      </c>
      <c r="C164" s="1332"/>
      <c r="D164" s="1332"/>
      <c r="E164" s="1332"/>
      <c r="F164" s="1644">
        <v>220000</v>
      </c>
      <c r="G164" s="1473">
        <v>2018</v>
      </c>
      <c r="H164" s="1473">
        <v>2021</v>
      </c>
      <c r="I164" s="1463" t="s">
        <v>19</v>
      </c>
      <c r="J164" s="1627">
        <v>66036</v>
      </c>
      <c r="K164" s="1627">
        <v>16509</v>
      </c>
      <c r="L164" s="804">
        <f t="shared" ref="L164:O164" si="104">L165</f>
        <v>67541.3</v>
      </c>
      <c r="M164" s="804">
        <f t="shared" si="104"/>
        <v>16509</v>
      </c>
      <c r="N164" s="804">
        <f t="shared" si="104"/>
        <v>800</v>
      </c>
      <c r="O164" s="804">
        <f t="shared" si="104"/>
        <v>6409</v>
      </c>
      <c r="P164" s="804">
        <v>27314.3</v>
      </c>
      <c r="Q164" s="804">
        <v>0</v>
      </c>
      <c r="R164" s="804">
        <f t="shared" ref="R164:AO165" si="105">R165</f>
        <v>36</v>
      </c>
      <c r="S164" s="804">
        <f t="shared" si="105"/>
        <v>36</v>
      </c>
      <c r="T164" s="804">
        <f t="shared" si="105"/>
        <v>31.5</v>
      </c>
      <c r="U164" s="804">
        <f t="shared" si="105"/>
        <v>31.5</v>
      </c>
      <c r="V164" s="804">
        <f t="shared" si="105"/>
        <v>0</v>
      </c>
      <c r="W164" s="804">
        <f t="shared" si="105"/>
        <v>0</v>
      </c>
      <c r="X164" s="804">
        <f t="shared" si="105"/>
        <v>0</v>
      </c>
      <c r="Y164" s="804">
        <f t="shared" si="105"/>
        <v>0</v>
      </c>
      <c r="Z164" s="805">
        <v>0</v>
      </c>
      <c r="AA164" s="804">
        <v>0</v>
      </c>
      <c r="AB164" s="804">
        <f t="shared" si="105"/>
        <v>36</v>
      </c>
      <c r="AC164" s="804">
        <f t="shared" si="105"/>
        <v>0</v>
      </c>
      <c r="AD164" s="804">
        <f t="shared" si="105"/>
        <v>31.5</v>
      </c>
      <c r="AE164" s="804">
        <f t="shared" si="105"/>
        <v>0</v>
      </c>
      <c r="AF164" s="804">
        <f t="shared" si="105"/>
        <v>0</v>
      </c>
      <c r="AG164" s="804">
        <f t="shared" si="105"/>
        <v>0</v>
      </c>
      <c r="AH164" s="804">
        <f t="shared" si="105"/>
        <v>0</v>
      </c>
      <c r="AI164" s="804">
        <f t="shared" si="105"/>
        <v>0</v>
      </c>
      <c r="AJ164" s="804">
        <f t="shared" si="105"/>
        <v>0</v>
      </c>
      <c r="AK164" s="3">
        <f>P164-Q164</f>
        <v>27314.3</v>
      </c>
      <c r="AL164" s="3">
        <f>AK164</f>
        <v>27314.3</v>
      </c>
      <c r="AM164" s="318">
        <f>ROUND((Q164*100%/P164*100),2)</f>
        <v>0</v>
      </c>
      <c r="AN164" s="804">
        <f t="shared" si="105"/>
        <v>0</v>
      </c>
      <c r="AO164" s="804">
        <f t="shared" si="105"/>
        <v>0</v>
      </c>
      <c r="AP164" s="806"/>
      <c r="AQ164" s="805">
        <v>0</v>
      </c>
    </row>
    <row r="165" spans="1:43" ht="18" hidden="1" customHeight="1" x14ac:dyDescent="0.25">
      <c r="A165" s="1474"/>
      <c r="B165" s="1129" t="s">
        <v>39</v>
      </c>
      <c r="C165" s="1334"/>
      <c r="D165" s="1334"/>
      <c r="E165" s="1334"/>
      <c r="F165" s="1472"/>
      <c r="G165" s="1474"/>
      <c r="H165" s="1474"/>
      <c r="I165" s="1465"/>
      <c r="J165" s="1629"/>
      <c r="K165" s="1629"/>
      <c r="L165" s="1139">
        <v>67541.3</v>
      </c>
      <c r="M165" s="83">
        <v>16509</v>
      </c>
      <c r="N165" s="83">
        <v>800</v>
      </c>
      <c r="O165" s="83">
        <v>6409</v>
      </c>
      <c r="P165" s="83">
        <v>6409</v>
      </c>
      <c r="Q165" s="83">
        <f>Q166</f>
        <v>67.5</v>
      </c>
      <c r="R165" s="83">
        <f t="shared" si="105"/>
        <v>36</v>
      </c>
      <c r="S165" s="83">
        <f t="shared" si="105"/>
        <v>36</v>
      </c>
      <c r="T165" s="83">
        <f t="shared" si="105"/>
        <v>31.5</v>
      </c>
      <c r="U165" s="83">
        <f t="shared" si="105"/>
        <v>31.5</v>
      </c>
      <c r="V165" s="83">
        <f t="shared" si="105"/>
        <v>0</v>
      </c>
      <c r="W165" s="83">
        <f t="shared" si="105"/>
        <v>0</v>
      </c>
      <c r="X165" s="83">
        <f t="shared" si="105"/>
        <v>0</v>
      </c>
      <c r="Y165" s="83">
        <f t="shared" si="105"/>
        <v>0</v>
      </c>
      <c r="Z165" s="259"/>
      <c r="AA165" s="83">
        <f t="shared" si="105"/>
        <v>67.5</v>
      </c>
      <c r="AB165" s="83">
        <f t="shared" si="105"/>
        <v>36</v>
      </c>
      <c r="AC165" s="83">
        <f t="shared" si="105"/>
        <v>0</v>
      </c>
      <c r="AD165" s="83">
        <f t="shared" si="105"/>
        <v>31.5</v>
      </c>
      <c r="AE165" s="83">
        <f t="shared" si="105"/>
        <v>0</v>
      </c>
      <c r="AF165" s="83">
        <f t="shared" si="105"/>
        <v>0</v>
      </c>
      <c r="AG165" s="83">
        <f t="shared" si="105"/>
        <v>0</v>
      </c>
      <c r="AH165" s="83">
        <f t="shared" si="105"/>
        <v>0</v>
      </c>
      <c r="AI165" s="83">
        <f t="shared" si="105"/>
        <v>0</v>
      </c>
      <c r="AJ165" s="83">
        <f t="shared" si="105"/>
        <v>0</v>
      </c>
      <c r="AK165" s="83">
        <f t="shared" si="105"/>
        <v>0</v>
      </c>
      <c r="AL165" s="83">
        <v>0</v>
      </c>
      <c r="AM165" s="83">
        <v>0</v>
      </c>
      <c r="AN165" s="83">
        <v>0</v>
      </c>
      <c r="AO165" s="83">
        <v>0</v>
      </c>
      <c r="AP165" s="409"/>
      <c r="AQ165" s="259"/>
    </row>
    <row r="166" spans="1:43" s="266" customFormat="1" ht="26.25" hidden="1" customHeight="1" x14ac:dyDescent="0.25">
      <c r="A166" s="616"/>
      <c r="B166" s="537" t="s">
        <v>300</v>
      </c>
      <c r="C166" s="647"/>
      <c r="D166" s="647"/>
      <c r="E166" s="647"/>
      <c r="F166" s="539"/>
      <c r="G166" s="540"/>
      <c r="H166" s="540"/>
      <c r="I166" s="370"/>
      <c r="J166" s="648"/>
      <c r="K166" s="648"/>
      <c r="L166" s="258"/>
      <c r="M166" s="259"/>
      <c r="N166" s="259"/>
      <c r="O166" s="259"/>
      <c r="P166" s="259"/>
      <c r="Q166" s="259">
        <f>S166+U166</f>
        <v>67.5</v>
      </c>
      <c r="R166" s="259">
        <f>S166</f>
        <v>36</v>
      </c>
      <c r="S166" s="259">
        <v>36</v>
      </c>
      <c r="T166" s="259">
        <f>U166</f>
        <v>31.5</v>
      </c>
      <c r="U166" s="259">
        <v>31.5</v>
      </c>
      <c r="V166" s="259"/>
      <c r="W166" s="259"/>
      <c r="X166" s="259"/>
      <c r="Y166" s="259"/>
      <c r="Z166" s="259"/>
      <c r="AA166" s="259">
        <f>AB166+AD166</f>
        <v>67.5</v>
      </c>
      <c r="AB166" s="259">
        <v>36</v>
      </c>
      <c r="AC166" s="259"/>
      <c r="AD166" s="259">
        <v>31.5</v>
      </c>
      <c r="AE166" s="259"/>
      <c r="AF166" s="259"/>
      <c r="AG166" s="259"/>
      <c r="AH166" s="259"/>
      <c r="AI166" s="259"/>
      <c r="AJ166" s="259"/>
      <c r="AK166" s="259"/>
      <c r="AL166" s="259"/>
      <c r="AM166" s="543"/>
      <c r="AN166" s="259"/>
      <c r="AO166" s="259"/>
      <c r="AP166" s="411"/>
      <c r="AQ166" s="259"/>
    </row>
    <row r="167" spans="1:43" s="327" customFormat="1" ht="24" customHeight="1" x14ac:dyDescent="0.25">
      <c r="A167" s="1473" t="s">
        <v>42</v>
      </c>
      <c r="B167" s="780" t="s">
        <v>205</v>
      </c>
      <c r="C167" s="807"/>
      <c r="D167" s="807"/>
      <c r="E167" s="807"/>
      <c r="F167" s="1644">
        <v>2400</v>
      </c>
      <c r="G167" s="807"/>
      <c r="H167" s="807"/>
      <c r="I167" s="1463" t="s">
        <v>19</v>
      </c>
      <c r="J167" s="25">
        <v>12351.86</v>
      </c>
      <c r="K167" s="25">
        <f t="shared" ref="K167:P167" si="106">K168+K170</f>
        <v>8845.1</v>
      </c>
      <c r="L167" s="3">
        <f t="shared" si="106"/>
        <v>25182.28</v>
      </c>
      <c r="M167" s="3">
        <f t="shared" si="106"/>
        <v>1753.38</v>
      </c>
      <c r="N167" s="3">
        <f t="shared" si="106"/>
        <v>1168.92</v>
      </c>
      <c r="O167" s="3">
        <f t="shared" si="106"/>
        <v>997.45</v>
      </c>
      <c r="P167" s="3">
        <f t="shared" si="106"/>
        <v>1632.45</v>
      </c>
      <c r="Q167" s="3">
        <f t="shared" ref="Q167:AO167" si="107">Q170+Q168</f>
        <v>0</v>
      </c>
      <c r="R167" s="3">
        <f t="shared" si="107"/>
        <v>707.47199999999998</v>
      </c>
      <c r="S167" s="3">
        <f t="shared" si="107"/>
        <v>707.47199999999998</v>
      </c>
      <c r="T167" s="3">
        <f t="shared" si="107"/>
        <v>0</v>
      </c>
      <c r="U167" s="3">
        <f t="shared" si="107"/>
        <v>0</v>
      </c>
      <c r="V167" s="3">
        <f t="shared" si="107"/>
        <v>0</v>
      </c>
      <c r="W167" s="3">
        <f t="shared" si="107"/>
        <v>0</v>
      </c>
      <c r="X167" s="3">
        <f t="shared" si="107"/>
        <v>0</v>
      </c>
      <c r="Y167" s="3">
        <f t="shared" si="107"/>
        <v>0</v>
      </c>
      <c r="Z167" s="95">
        <v>0</v>
      </c>
      <c r="AA167" s="3">
        <f t="shared" si="107"/>
        <v>0</v>
      </c>
      <c r="AB167" s="3">
        <f t="shared" si="107"/>
        <v>707.47</v>
      </c>
      <c r="AC167" s="3">
        <f t="shared" si="107"/>
        <v>0</v>
      </c>
      <c r="AD167" s="3">
        <f t="shared" si="107"/>
        <v>0</v>
      </c>
      <c r="AE167" s="3">
        <f t="shared" si="107"/>
        <v>0</v>
      </c>
      <c r="AF167" s="3">
        <f t="shared" si="107"/>
        <v>0</v>
      </c>
      <c r="AG167" s="3">
        <f t="shared" si="107"/>
        <v>0</v>
      </c>
      <c r="AH167" s="3">
        <f t="shared" si="107"/>
        <v>0</v>
      </c>
      <c r="AI167" s="3">
        <f t="shared" si="107"/>
        <v>0</v>
      </c>
      <c r="AJ167" s="3">
        <f t="shared" si="107"/>
        <v>0</v>
      </c>
      <c r="AK167" s="3">
        <f>P167-Q167</f>
        <v>1632.45</v>
      </c>
      <c r="AL167" s="3">
        <f>AK167</f>
        <v>1632.45</v>
      </c>
      <c r="AM167" s="318">
        <f>ROUND((Q167*100%/P167*100),2)</f>
        <v>0</v>
      </c>
      <c r="AN167" s="3">
        <f t="shared" si="107"/>
        <v>0</v>
      </c>
      <c r="AO167" s="3">
        <f t="shared" si="107"/>
        <v>0</v>
      </c>
      <c r="AP167" s="808"/>
      <c r="AQ167" s="95">
        <v>0</v>
      </c>
    </row>
    <row r="168" spans="1:43" ht="16.5" customHeight="1" x14ac:dyDescent="0.25">
      <c r="A168" s="1643"/>
      <c r="B168" s="1" t="s">
        <v>15</v>
      </c>
      <c r="C168" s="48"/>
      <c r="D168" s="48"/>
      <c r="E168" s="48"/>
      <c r="F168" s="1645"/>
      <c r="G168" s="1122">
        <v>2018</v>
      </c>
      <c r="H168" s="1122">
        <v>2018</v>
      </c>
      <c r="I168" s="1464"/>
      <c r="J168" s="634">
        <v>1815.76</v>
      </c>
      <c r="K168" s="634">
        <v>1815.76</v>
      </c>
      <c r="L168" s="47">
        <v>2458.14</v>
      </c>
      <c r="M168" s="47">
        <v>0</v>
      </c>
      <c r="N168" s="47">
        <v>412.99</v>
      </c>
      <c r="O168" s="47">
        <v>0</v>
      </c>
      <c r="P168" s="47">
        <v>246.67</v>
      </c>
      <c r="Q168" s="83">
        <v>0</v>
      </c>
      <c r="R168" s="83">
        <f t="shared" ref="R168:AG168" si="108">R169</f>
        <v>707.47199999999998</v>
      </c>
      <c r="S168" s="83">
        <f t="shared" si="108"/>
        <v>707.47199999999998</v>
      </c>
      <c r="T168" s="83">
        <f t="shared" si="108"/>
        <v>0</v>
      </c>
      <c r="U168" s="83">
        <f t="shared" si="108"/>
        <v>0</v>
      </c>
      <c r="V168" s="83">
        <f t="shared" si="108"/>
        <v>0</v>
      </c>
      <c r="W168" s="83">
        <f t="shared" si="108"/>
        <v>0</v>
      </c>
      <c r="X168" s="83">
        <f t="shared" si="108"/>
        <v>0</v>
      </c>
      <c r="Y168" s="83">
        <f t="shared" si="108"/>
        <v>0</v>
      </c>
      <c r="Z168" s="259"/>
      <c r="AA168" s="83">
        <v>0</v>
      </c>
      <c r="AB168" s="83">
        <f t="shared" si="108"/>
        <v>707.47</v>
      </c>
      <c r="AC168" s="83">
        <f t="shared" si="108"/>
        <v>0</v>
      </c>
      <c r="AD168" s="83">
        <f t="shared" si="108"/>
        <v>0</v>
      </c>
      <c r="AE168" s="83">
        <f t="shared" si="108"/>
        <v>0</v>
      </c>
      <c r="AF168" s="83">
        <f t="shared" si="108"/>
        <v>0</v>
      </c>
      <c r="AG168" s="83">
        <f t="shared" si="108"/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617"/>
      <c r="AQ168" s="259"/>
    </row>
    <row r="169" spans="1:43" s="266" customFormat="1" ht="27" hidden="1" customHeight="1" x14ac:dyDescent="0.25">
      <c r="A169" s="1643"/>
      <c r="B169" s="537" t="s">
        <v>301</v>
      </c>
      <c r="C169" s="544"/>
      <c r="D169" s="544"/>
      <c r="E169" s="544"/>
      <c r="F169" s="1645"/>
      <c r="G169" s="104"/>
      <c r="H169" s="104"/>
      <c r="I169" s="1464"/>
      <c r="J169" s="636"/>
      <c r="K169" s="636"/>
      <c r="L169" s="96"/>
      <c r="M169" s="96"/>
      <c r="N169" s="96"/>
      <c r="O169" s="96"/>
      <c r="P169" s="96"/>
      <c r="Q169" s="259">
        <f>S169</f>
        <v>707.47199999999998</v>
      </c>
      <c r="R169" s="259">
        <f>S169</f>
        <v>707.47199999999998</v>
      </c>
      <c r="S169" s="259">
        <v>707.47199999999998</v>
      </c>
      <c r="T169" s="259"/>
      <c r="U169" s="259"/>
      <c r="V169" s="259"/>
      <c r="W169" s="259"/>
      <c r="X169" s="259"/>
      <c r="Y169" s="259"/>
      <c r="Z169" s="259"/>
      <c r="AA169" s="259">
        <f>AB169</f>
        <v>707.47</v>
      </c>
      <c r="AB169" s="259">
        <v>707.47</v>
      </c>
      <c r="AC169" s="259"/>
      <c r="AD169" s="259"/>
      <c r="AE169" s="259"/>
      <c r="AF169" s="259"/>
      <c r="AG169" s="259"/>
      <c r="AH169" s="96"/>
      <c r="AI169" s="96"/>
      <c r="AJ169" s="96"/>
      <c r="AK169" s="96"/>
      <c r="AL169" s="96"/>
      <c r="AM169" s="96"/>
      <c r="AN169" s="96"/>
      <c r="AO169" s="96"/>
      <c r="AP169" s="618"/>
      <c r="AQ169" s="259"/>
    </row>
    <row r="170" spans="1:43" ht="14.25" customHeight="1" x14ac:dyDescent="0.25">
      <c r="A170" s="1474"/>
      <c r="B170" s="1" t="s">
        <v>32</v>
      </c>
      <c r="C170" s="48"/>
      <c r="D170" s="48"/>
      <c r="E170" s="48"/>
      <c r="F170" s="1328"/>
      <c r="G170" s="1122">
        <v>2018</v>
      </c>
      <c r="H170" s="1122">
        <v>2021</v>
      </c>
      <c r="I170" s="1465"/>
      <c r="J170" s="634">
        <v>10536.1</v>
      </c>
      <c r="K170" s="634">
        <v>7029.34</v>
      </c>
      <c r="L170" s="47">
        <v>22724.14</v>
      </c>
      <c r="M170" s="47">
        <v>1753.38</v>
      </c>
      <c r="N170" s="47">
        <v>755.93</v>
      </c>
      <c r="O170" s="47">
        <v>997.45</v>
      </c>
      <c r="P170" s="47">
        <v>1385.78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96"/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397"/>
      <c r="AQ170" s="96"/>
    </row>
    <row r="171" spans="1:43" s="327" customFormat="1" ht="30.75" customHeight="1" x14ac:dyDescent="0.25">
      <c r="A171" s="1398" t="s">
        <v>63</v>
      </c>
      <c r="B171" s="780" t="s">
        <v>66</v>
      </c>
      <c r="C171" s="1471"/>
      <c r="D171" s="1471"/>
      <c r="E171" s="1471"/>
      <c r="F171" s="1466"/>
      <c r="G171" s="1489">
        <v>2019</v>
      </c>
      <c r="H171" s="1469">
        <v>2021</v>
      </c>
      <c r="I171" s="1466" t="s">
        <v>19</v>
      </c>
      <c r="J171" s="1648">
        <f>K171+L171</f>
        <v>74500.679999999993</v>
      </c>
      <c r="K171" s="1646">
        <v>0</v>
      </c>
      <c r="L171" s="70">
        <f t="shared" ref="L171:W171" si="109">L172</f>
        <v>74500.679999999993</v>
      </c>
      <c r="M171" s="70">
        <f t="shared" si="109"/>
        <v>24180.74</v>
      </c>
      <c r="N171" s="70">
        <f t="shared" si="109"/>
        <v>24180.74</v>
      </c>
      <c r="O171" s="70">
        <f t="shared" si="109"/>
        <v>13819.52</v>
      </c>
      <c r="P171" s="70">
        <v>0</v>
      </c>
      <c r="Q171" s="804">
        <f t="shared" si="109"/>
        <v>0</v>
      </c>
      <c r="R171" s="804">
        <f t="shared" si="109"/>
        <v>0</v>
      </c>
      <c r="S171" s="804">
        <f t="shared" si="109"/>
        <v>0</v>
      </c>
      <c r="T171" s="804">
        <f t="shared" si="109"/>
        <v>0</v>
      </c>
      <c r="U171" s="804">
        <f t="shared" si="109"/>
        <v>0</v>
      </c>
      <c r="V171" s="804">
        <f t="shared" si="109"/>
        <v>0</v>
      </c>
      <c r="W171" s="804">
        <f t="shared" si="109"/>
        <v>0</v>
      </c>
      <c r="X171" s="804">
        <f>X172</f>
        <v>0</v>
      </c>
      <c r="Y171" s="804">
        <f>Y172</f>
        <v>0</v>
      </c>
      <c r="Z171" s="805">
        <v>0</v>
      </c>
      <c r="AA171" s="804">
        <f>AA172</f>
        <v>0</v>
      </c>
      <c r="AB171" s="804">
        <f>AB172</f>
        <v>0</v>
      </c>
      <c r="AC171" s="804">
        <f>AC172</f>
        <v>0</v>
      </c>
      <c r="AD171" s="804">
        <f t="shared" ref="AD171:AO171" si="110">AD172</f>
        <v>0</v>
      </c>
      <c r="AE171" s="804">
        <f t="shared" si="110"/>
        <v>0</v>
      </c>
      <c r="AF171" s="804">
        <f t="shared" si="110"/>
        <v>0</v>
      </c>
      <c r="AG171" s="804">
        <f t="shared" si="110"/>
        <v>0</v>
      </c>
      <c r="AH171" s="804">
        <f t="shared" si="110"/>
        <v>0</v>
      </c>
      <c r="AI171" s="804">
        <f t="shared" si="110"/>
        <v>0</v>
      </c>
      <c r="AJ171" s="804">
        <f t="shared" si="110"/>
        <v>0</v>
      </c>
      <c r="AK171" s="3">
        <v>0</v>
      </c>
      <c r="AL171" s="3">
        <f>AK171</f>
        <v>0</v>
      </c>
      <c r="AM171" s="318" t="e">
        <f>ROUND((Q171*100%/P171*100),2)</f>
        <v>#DIV/0!</v>
      </c>
      <c r="AN171" s="804">
        <f t="shared" si="110"/>
        <v>0</v>
      </c>
      <c r="AO171" s="804">
        <f t="shared" si="110"/>
        <v>0</v>
      </c>
      <c r="AP171" s="806" t="s">
        <v>295</v>
      </c>
      <c r="AQ171" s="805">
        <v>0</v>
      </c>
    </row>
    <row r="172" spans="1:43" ht="18" hidden="1" customHeight="1" x14ac:dyDescent="0.25">
      <c r="A172" s="1488"/>
      <c r="B172" s="1" t="s">
        <v>16</v>
      </c>
      <c r="C172" s="1471"/>
      <c r="D172" s="1471"/>
      <c r="E172" s="1471"/>
      <c r="F172" s="1466"/>
      <c r="G172" s="1489"/>
      <c r="H172" s="1470"/>
      <c r="I172" s="1466"/>
      <c r="J172" s="1648"/>
      <c r="K172" s="1647"/>
      <c r="L172" s="1139">
        <v>74500.679999999993</v>
      </c>
      <c r="M172" s="83">
        <v>24180.74</v>
      </c>
      <c r="N172" s="83">
        <v>24180.74</v>
      </c>
      <c r="O172" s="83">
        <v>13819.52</v>
      </c>
      <c r="P172" s="83">
        <v>26139.200000000001</v>
      </c>
      <c r="Q172" s="83">
        <v>0</v>
      </c>
      <c r="R172" s="83">
        <f t="shared" ref="R172:W172" si="111">SUM(R173:R179)</f>
        <v>0</v>
      </c>
      <c r="S172" s="83">
        <f t="shared" si="111"/>
        <v>0</v>
      </c>
      <c r="T172" s="83">
        <f t="shared" si="111"/>
        <v>0</v>
      </c>
      <c r="U172" s="83">
        <f t="shared" si="111"/>
        <v>0</v>
      </c>
      <c r="V172" s="83">
        <f t="shared" si="111"/>
        <v>0</v>
      </c>
      <c r="W172" s="83">
        <f t="shared" si="111"/>
        <v>0</v>
      </c>
      <c r="X172" s="83">
        <v>0</v>
      </c>
      <c r="Y172" s="83">
        <f t="shared" ref="Y172:AE172" si="112">SUM(Y173:Y179)</f>
        <v>0</v>
      </c>
      <c r="Z172" s="259"/>
      <c r="AA172" s="83">
        <f t="shared" si="112"/>
        <v>0</v>
      </c>
      <c r="AB172" s="83">
        <f t="shared" si="112"/>
        <v>0</v>
      </c>
      <c r="AC172" s="83">
        <f t="shared" si="112"/>
        <v>0</v>
      </c>
      <c r="AD172" s="83">
        <f t="shared" si="112"/>
        <v>0</v>
      </c>
      <c r="AE172" s="83">
        <f t="shared" si="112"/>
        <v>0</v>
      </c>
      <c r="AF172" s="83">
        <f>SUM(AG172:AI172)</f>
        <v>0</v>
      </c>
      <c r="AG172" s="83">
        <f>SUM(AG173:AG179)</f>
        <v>0</v>
      </c>
      <c r="AH172" s="83">
        <f>SUM(AH173:AH179)</f>
        <v>0</v>
      </c>
      <c r="AI172" s="83">
        <v>0</v>
      </c>
      <c r="AJ172" s="83">
        <v>0</v>
      </c>
      <c r="AK172" s="83">
        <f>SUM(AK173:AK179)</f>
        <v>0</v>
      </c>
      <c r="AL172" s="83">
        <f>SUM(AL173:AL179)</f>
        <v>0</v>
      </c>
      <c r="AM172" s="83">
        <f>SUM(AM173:AM179)</f>
        <v>0</v>
      </c>
      <c r="AN172" s="83">
        <f>SUM(AN173:AN179)</f>
        <v>0</v>
      </c>
      <c r="AO172" s="83">
        <f>SUM(AO173:AO179)</f>
        <v>0</v>
      </c>
      <c r="AP172" s="409"/>
      <c r="AQ172" s="259"/>
    </row>
    <row r="173" spans="1:43" s="266" customFormat="1" ht="18" hidden="1" customHeight="1" x14ac:dyDescent="0.25">
      <c r="A173" s="324"/>
      <c r="B173" s="252" t="s">
        <v>152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</f>
        <v>0</v>
      </c>
      <c r="R173" s="259">
        <f>S173</f>
        <v>0</v>
      </c>
      <c r="S173" s="259">
        <v>0</v>
      </c>
      <c r="T173" s="259">
        <v>0</v>
      </c>
      <c r="U173" s="259">
        <v>0</v>
      </c>
      <c r="V173" s="259"/>
      <c r="W173" s="259"/>
      <c r="X173" s="259"/>
      <c r="Y173" s="259"/>
      <c r="Z173" s="259"/>
      <c r="AA173" s="259">
        <v>0</v>
      </c>
      <c r="AB173" s="259"/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156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</f>
        <v>0</v>
      </c>
      <c r="R174" s="259"/>
      <c r="S174" s="259"/>
      <c r="T174" s="259"/>
      <c r="U174" s="259"/>
      <c r="V174" s="259">
        <v>0</v>
      </c>
      <c r="W174" s="259">
        <v>0</v>
      </c>
      <c r="X174" s="259"/>
      <c r="Y174" s="259"/>
      <c r="Z174" s="259"/>
      <c r="AA174" s="259">
        <v>0</v>
      </c>
      <c r="AB174" s="259">
        <v>0</v>
      </c>
      <c r="AC174" s="259"/>
      <c r="AD174" s="259"/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26.25" hidden="1" customHeight="1" x14ac:dyDescent="0.25">
      <c r="A175" s="324"/>
      <c r="B175" s="252" t="s">
        <v>229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/>
      <c r="U175" s="259"/>
      <c r="V175" s="259"/>
      <c r="W175" s="259"/>
      <c r="X175" s="259">
        <v>0</v>
      </c>
      <c r="Y175" s="259">
        <v>0</v>
      </c>
      <c r="Z175" s="259"/>
      <c r="AA175" s="259"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230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S176+U176+W176+Y176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>
        <v>0</v>
      </c>
      <c r="X176" s="259">
        <v>0</v>
      </c>
      <c r="Y176" s="259">
        <v>0</v>
      </c>
      <c r="Z176" s="259"/>
      <c r="AA176" s="259">
        <f>AB176+AC176</f>
        <v>0</v>
      </c>
      <c r="AB176" s="259">
        <v>0</v>
      </c>
      <c r="AC176" s="259">
        <v>0</v>
      </c>
      <c r="AD176" s="259">
        <v>0</v>
      </c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231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/>
      <c r="S177" s="259"/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f>AB177+AC177</f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18" hidden="1" customHeight="1" x14ac:dyDescent="0.25">
      <c r="A178" s="324"/>
      <c r="B178" s="252" t="s">
        <v>259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v>0</v>
      </c>
      <c r="R178" s="259"/>
      <c r="S178" s="259"/>
      <c r="T178" s="259">
        <v>0</v>
      </c>
      <c r="U178" s="259">
        <v>0</v>
      </c>
      <c r="V178" s="259"/>
      <c r="W178" s="259"/>
      <c r="X178" s="259"/>
      <c r="Y178" s="259"/>
      <c r="Z178" s="259"/>
      <c r="AA178" s="259">
        <f>AB178+AC178</f>
        <v>0</v>
      </c>
      <c r="AB178" s="259"/>
      <c r="AC178" s="259">
        <v>0</v>
      </c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153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/>
      <c r="X179" s="259">
        <v>0</v>
      </c>
      <c r="Y179" s="259">
        <v>0</v>
      </c>
      <c r="Z179" s="259"/>
      <c r="AA179" s="259">
        <v>0</v>
      </c>
      <c r="AB179" s="259">
        <v>0</v>
      </c>
      <c r="AC179" s="259"/>
      <c r="AD179" s="259"/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327" customFormat="1" ht="42" customHeight="1" x14ac:dyDescent="0.25">
      <c r="A180" s="1398" t="s">
        <v>167</v>
      </c>
      <c r="B180" s="772" t="s">
        <v>168</v>
      </c>
      <c r="C180" s="809"/>
      <c r="D180" s="809"/>
      <c r="E180" s="809"/>
      <c r="F180" s="312"/>
      <c r="G180" s="775"/>
      <c r="H180" s="810"/>
      <c r="I180" s="1326" t="s">
        <v>19</v>
      </c>
      <c r="J180" s="283"/>
      <c r="K180" s="811"/>
      <c r="L180" s="1117">
        <f>L181</f>
        <v>7644.31</v>
      </c>
      <c r="M180" s="1117">
        <f>M181</f>
        <v>0</v>
      </c>
      <c r="N180" s="1117">
        <f t="shared" ref="N180:AO180" si="113">N181</f>
        <v>377.26</v>
      </c>
      <c r="O180" s="1117">
        <f t="shared" si="113"/>
        <v>0</v>
      </c>
      <c r="P180" s="1117">
        <f>P181+P183</f>
        <v>70000</v>
      </c>
      <c r="Q180" s="1117">
        <f>Q181+Q183</f>
        <v>0</v>
      </c>
      <c r="R180" s="1117">
        <f t="shared" ref="R180:AA180" si="114">R181+R183</f>
        <v>0</v>
      </c>
      <c r="S180" s="1117">
        <f t="shared" si="114"/>
        <v>0</v>
      </c>
      <c r="T180" s="1117">
        <f t="shared" si="114"/>
        <v>0</v>
      </c>
      <c r="U180" s="1117">
        <f t="shared" si="114"/>
        <v>0</v>
      </c>
      <c r="V180" s="1117">
        <f t="shared" si="114"/>
        <v>0</v>
      </c>
      <c r="W180" s="1117">
        <f t="shared" si="114"/>
        <v>0</v>
      </c>
      <c r="X180" s="1117">
        <f t="shared" si="114"/>
        <v>0</v>
      </c>
      <c r="Y180" s="1117">
        <f t="shared" si="114"/>
        <v>0</v>
      </c>
      <c r="Z180" s="1117">
        <f t="shared" si="114"/>
        <v>0</v>
      </c>
      <c r="AA180" s="1117">
        <f t="shared" si="114"/>
        <v>0</v>
      </c>
      <c r="AB180" s="1117">
        <f t="shared" si="113"/>
        <v>0</v>
      </c>
      <c r="AC180" s="1117">
        <f t="shared" si="113"/>
        <v>0</v>
      </c>
      <c r="AD180" s="1117">
        <f t="shared" si="113"/>
        <v>0</v>
      </c>
      <c r="AE180" s="1117">
        <f t="shared" si="113"/>
        <v>0</v>
      </c>
      <c r="AF180" s="1117">
        <f t="shared" si="113"/>
        <v>0</v>
      </c>
      <c r="AG180" s="1117">
        <f t="shared" si="113"/>
        <v>0</v>
      </c>
      <c r="AH180" s="1117">
        <f t="shared" si="113"/>
        <v>0</v>
      </c>
      <c r="AI180" s="1117">
        <f t="shared" si="113"/>
        <v>0</v>
      </c>
      <c r="AJ180" s="1117">
        <f t="shared" si="113"/>
        <v>0</v>
      </c>
      <c r="AK180" s="1117">
        <f t="shared" si="113"/>
        <v>0</v>
      </c>
      <c r="AL180" s="1117">
        <f t="shared" si="113"/>
        <v>0</v>
      </c>
      <c r="AM180" s="1117">
        <f t="shared" si="113"/>
        <v>0</v>
      </c>
      <c r="AN180" s="1117">
        <f t="shared" si="113"/>
        <v>0</v>
      </c>
      <c r="AO180" s="1117">
        <f t="shared" si="113"/>
        <v>0</v>
      </c>
      <c r="AP180" s="806" t="s">
        <v>244</v>
      </c>
      <c r="AQ180" s="812">
        <v>0</v>
      </c>
    </row>
    <row r="181" spans="1:43" ht="18" customHeight="1" x14ac:dyDescent="0.25">
      <c r="A181" s="1488"/>
      <c r="B181" s="42" t="s">
        <v>15</v>
      </c>
      <c r="C181" s="334"/>
      <c r="D181" s="334"/>
      <c r="E181" s="334"/>
      <c r="F181" s="313"/>
      <c r="G181" s="335"/>
      <c r="H181" s="336"/>
      <c r="I181" s="1328"/>
      <c r="J181" s="1141"/>
      <c r="K181" s="649"/>
      <c r="L181" s="1139">
        <v>7644.31</v>
      </c>
      <c r="M181" s="83">
        <v>0</v>
      </c>
      <c r="N181" s="83">
        <v>377.26</v>
      </c>
      <c r="O181" s="83">
        <v>0</v>
      </c>
      <c r="P181" s="83">
        <v>7000</v>
      </c>
      <c r="Q181" s="83">
        <v>0</v>
      </c>
      <c r="R181" s="83">
        <v>0</v>
      </c>
      <c r="S181" s="83">
        <v>0</v>
      </c>
      <c r="T181" s="83">
        <f>SUM(T182:T183)</f>
        <v>0</v>
      </c>
      <c r="U181" s="83">
        <f>SUM(U182:U183)</f>
        <v>0</v>
      </c>
      <c r="V181" s="83">
        <f t="shared" ref="V181:AE181" si="115">SUM(V182:V183)</f>
        <v>0</v>
      </c>
      <c r="W181" s="83">
        <f t="shared" si="115"/>
        <v>0</v>
      </c>
      <c r="X181" s="83">
        <f t="shared" si="115"/>
        <v>0</v>
      </c>
      <c r="Y181" s="83">
        <f t="shared" si="115"/>
        <v>0</v>
      </c>
      <c r="Z181" s="259"/>
      <c r="AA181" s="83">
        <f t="shared" si="115"/>
        <v>0</v>
      </c>
      <c r="AB181" s="83">
        <f t="shared" si="115"/>
        <v>0</v>
      </c>
      <c r="AC181" s="83">
        <f t="shared" si="115"/>
        <v>0</v>
      </c>
      <c r="AD181" s="83">
        <f t="shared" si="115"/>
        <v>0</v>
      </c>
      <c r="AE181" s="83">
        <f t="shared" si="115"/>
        <v>0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0</v>
      </c>
      <c r="AL181" s="83">
        <v>0</v>
      </c>
      <c r="AM181" s="83">
        <v>0</v>
      </c>
      <c r="AN181" s="83">
        <v>0</v>
      </c>
      <c r="AO181" s="83">
        <v>0</v>
      </c>
      <c r="AP181" s="409"/>
      <c r="AQ181" s="259"/>
    </row>
    <row r="182" spans="1:43" s="266" customFormat="1" ht="18" hidden="1" customHeight="1" x14ac:dyDescent="0.25">
      <c r="A182" s="366"/>
      <c r="B182" s="252" t="s">
        <v>232</v>
      </c>
      <c r="C182" s="253"/>
      <c r="D182" s="253"/>
      <c r="E182" s="253"/>
      <c r="F182" s="363"/>
      <c r="G182" s="255"/>
      <c r="H182" s="256"/>
      <c r="I182" s="367"/>
      <c r="J182" s="533"/>
      <c r="K182" s="534"/>
      <c r="L182" s="258"/>
      <c r="M182" s="259"/>
      <c r="N182" s="259"/>
      <c r="O182" s="259"/>
      <c r="P182" s="83"/>
      <c r="Q182" s="259"/>
      <c r="R182" s="259"/>
      <c r="S182" s="259"/>
      <c r="T182" s="259"/>
      <c r="U182" s="259"/>
      <c r="V182" s="259"/>
      <c r="W182" s="259"/>
      <c r="X182" s="83"/>
      <c r="Y182" s="83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ht="18" customHeight="1" x14ac:dyDescent="0.25">
      <c r="A183" s="1119"/>
      <c r="B183" s="42" t="s">
        <v>32</v>
      </c>
      <c r="C183" s="334"/>
      <c r="D183" s="334"/>
      <c r="E183" s="334"/>
      <c r="F183" s="313"/>
      <c r="G183" s="335"/>
      <c r="H183" s="336"/>
      <c r="I183" s="1104"/>
      <c r="J183" s="1141"/>
      <c r="K183" s="649"/>
      <c r="L183" s="1139"/>
      <c r="M183" s="83"/>
      <c r="N183" s="83"/>
      <c r="O183" s="83"/>
      <c r="P183" s="83">
        <v>63000</v>
      </c>
      <c r="Q183" s="83">
        <f>S183+U183</f>
        <v>0</v>
      </c>
      <c r="R183" s="83"/>
      <c r="S183" s="83"/>
      <c r="T183" s="83">
        <v>0</v>
      </c>
      <c r="U183" s="83">
        <v>0</v>
      </c>
      <c r="V183" s="83"/>
      <c r="W183" s="83"/>
      <c r="X183" s="83"/>
      <c r="Y183" s="83"/>
      <c r="Z183" s="83"/>
      <c r="AA183" s="83">
        <f>SUM(AB183:AC183)</f>
        <v>0</v>
      </c>
      <c r="AB183" s="83"/>
      <c r="AC183" s="83">
        <v>0</v>
      </c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409"/>
      <c r="AQ183" s="83"/>
    </row>
    <row r="184" spans="1:43" s="327" customFormat="1" ht="26.25" customHeight="1" x14ac:dyDescent="0.25">
      <c r="A184" s="1398" t="s">
        <v>169</v>
      </c>
      <c r="B184" s="772" t="s">
        <v>170</v>
      </c>
      <c r="C184" s="809"/>
      <c r="D184" s="809"/>
      <c r="E184" s="809"/>
      <c r="F184" s="312"/>
      <c r="G184" s="775"/>
      <c r="H184" s="810"/>
      <c r="I184" s="1326" t="s">
        <v>19</v>
      </c>
      <c r="J184" s="283"/>
      <c r="K184" s="811"/>
      <c r="L184" s="1117">
        <f>L185</f>
        <v>8790.08</v>
      </c>
      <c r="M184" s="1117">
        <f>M185</f>
        <v>0</v>
      </c>
      <c r="N184" s="1117">
        <f t="shared" ref="N184:AO185" si="116">N185</f>
        <v>612.4</v>
      </c>
      <c r="O184" s="1117">
        <f t="shared" si="116"/>
        <v>7188.28</v>
      </c>
      <c r="P184" s="1117">
        <v>1215.26</v>
      </c>
      <c r="Q184" s="1117">
        <v>0</v>
      </c>
      <c r="R184" s="1117">
        <f t="shared" si="116"/>
        <v>0</v>
      </c>
      <c r="S184" s="1117">
        <f t="shared" si="116"/>
        <v>0</v>
      </c>
      <c r="T184" s="1117">
        <f t="shared" si="116"/>
        <v>0</v>
      </c>
      <c r="U184" s="1117">
        <f t="shared" si="116"/>
        <v>2205.3380000000002</v>
      </c>
      <c r="V184" s="1117">
        <f t="shared" si="116"/>
        <v>0</v>
      </c>
      <c r="W184" s="1117">
        <f t="shared" si="116"/>
        <v>0</v>
      </c>
      <c r="X184" s="1117">
        <f t="shared" si="116"/>
        <v>0</v>
      </c>
      <c r="Y184" s="1117">
        <f t="shared" si="116"/>
        <v>0</v>
      </c>
      <c r="Z184" s="1117">
        <v>0</v>
      </c>
      <c r="AA184" s="1117">
        <v>0</v>
      </c>
      <c r="AB184" s="1117">
        <f>AB185</f>
        <v>2205.337</v>
      </c>
      <c r="AC184" s="1117">
        <f>AC185</f>
        <v>0</v>
      </c>
      <c r="AD184" s="1117">
        <f>AD185</f>
        <v>0</v>
      </c>
      <c r="AE184" s="1117">
        <f>AE185</f>
        <v>0</v>
      </c>
      <c r="AF184" s="1117">
        <f t="shared" si="116"/>
        <v>0</v>
      </c>
      <c r="AG184" s="1117">
        <f t="shared" si="116"/>
        <v>0</v>
      </c>
      <c r="AH184" s="1117">
        <f t="shared" si="116"/>
        <v>0</v>
      </c>
      <c r="AI184" s="1117">
        <f t="shared" si="116"/>
        <v>0</v>
      </c>
      <c r="AJ184" s="1117">
        <f t="shared" si="116"/>
        <v>0</v>
      </c>
      <c r="AK184" s="1117">
        <f t="shared" si="116"/>
        <v>0</v>
      </c>
      <c r="AL184" s="1117">
        <f t="shared" si="116"/>
        <v>0</v>
      </c>
      <c r="AM184" s="1117">
        <f t="shared" si="116"/>
        <v>0</v>
      </c>
      <c r="AN184" s="1117">
        <f t="shared" si="116"/>
        <v>0</v>
      </c>
      <c r="AO184" s="1117">
        <f t="shared" si="116"/>
        <v>0</v>
      </c>
      <c r="AP184" s="806"/>
      <c r="AQ184" s="1117">
        <v>0</v>
      </c>
    </row>
    <row r="185" spans="1:43" ht="24" hidden="1" customHeight="1" x14ac:dyDescent="0.25">
      <c r="A185" s="1488"/>
      <c r="B185" s="42" t="s">
        <v>15</v>
      </c>
      <c r="C185" s="334"/>
      <c r="D185" s="334"/>
      <c r="E185" s="334"/>
      <c r="F185" s="313"/>
      <c r="G185" s="335"/>
      <c r="H185" s="336"/>
      <c r="I185" s="1328"/>
      <c r="J185" s="1141"/>
      <c r="K185" s="649"/>
      <c r="L185" s="1139">
        <v>8790.08</v>
      </c>
      <c r="M185" s="83">
        <v>0</v>
      </c>
      <c r="N185" s="83">
        <v>612.4</v>
      </c>
      <c r="O185" s="83">
        <v>7188.28</v>
      </c>
      <c r="P185" s="83">
        <v>8177.68</v>
      </c>
      <c r="Q185" s="83">
        <f>Q186</f>
        <v>2205.3380000000002</v>
      </c>
      <c r="R185" s="83">
        <f t="shared" si="116"/>
        <v>0</v>
      </c>
      <c r="S185" s="83">
        <f t="shared" si="116"/>
        <v>0</v>
      </c>
      <c r="T185" s="83">
        <f t="shared" si="116"/>
        <v>0</v>
      </c>
      <c r="U185" s="83">
        <f t="shared" si="116"/>
        <v>2205.3380000000002</v>
      </c>
      <c r="V185" s="83">
        <f t="shared" si="116"/>
        <v>0</v>
      </c>
      <c r="W185" s="83">
        <f t="shared" si="116"/>
        <v>0</v>
      </c>
      <c r="X185" s="83">
        <f t="shared" si="116"/>
        <v>0</v>
      </c>
      <c r="Y185" s="83">
        <f t="shared" si="116"/>
        <v>0</v>
      </c>
      <c r="Z185" s="259"/>
      <c r="AA185" s="83">
        <f t="shared" si="116"/>
        <v>2205.337</v>
      </c>
      <c r="AB185" s="83">
        <f t="shared" si="116"/>
        <v>2205.337</v>
      </c>
      <c r="AC185" s="83">
        <f t="shared" si="116"/>
        <v>0</v>
      </c>
      <c r="AD185" s="83">
        <f>AD186</f>
        <v>0</v>
      </c>
      <c r="AE185" s="83">
        <f>AE186</f>
        <v>0</v>
      </c>
      <c r="AF185" s="83">
        <f t="shared" si="116"/>
        <v>0</v>
      </c>
      <c r="AG185" s="83">
        <f t="shared" si="116"/>
        <v>0</v>
      </c>
      <c r="AH185" s="83">
        <v>0</v>
      </c>
      <c r="AI185" s="83">
        <v>0</v>
      </c>
      <c r="AJ185" s="83">
        <v>0</v>
      </c>
      <c r="AK185" s="83">
        <v>0</v>
      </c>
      <c r="AL185" s="83">
        <v>0</v>
      </c>
      <c r="AM185" s="83">
        <v>0</v>
      </c>
      <c r="AN185" s="83">
        <v>0</v>
      </c>
      <c r="AO185" s="83">
        <v>0</v>
      </c>
      <c r="AP185" s="409"/>
      <c r="AQ185" s="259"/>
    </row>
    <row r="186" spans="1:43" s="266" customFormat="1" ht="27" hidden="1" customHeight="1" x14ac:dyDescent="0.25">
      <c r="A186" s="366"/>
      <c r="B186" s="252" t="s">
        <v>302</v>
      </c>
      <c r="C186" s="253"/>
      <c r="D186" s="253"/>
      <c r="E186" s="253"/>
      <c r="F186" s="363"/>
      <c r="G186" s="255"/>
      <c r="H186" s="256"/>
      <c r="I186" s="367"/>
      <c r="J186" s="533"/>
      <c r="K186" s="534"/>
      <c r="L186" s="258"/>
      <c r="M186" s="259"/>
      <c r="N186" s="259"/>
      <c r="O186" s="259"/>
      <c r="P186" s="259"/>
      <c r="Q186" s="259">
        <f>S186+U186</f>
        <v>2205.3380000000002</v>
      </c>
      <c r="R186" s="259"/>
      <c r="S186" s="259"/>
      <c r="T186" s="259"/>
      <c r="U186" s="259">
        <v>2205.3380000000002</v>
      </c>
      <c r="V186" s="259"/>
      <c r="W186" s="259"/>
      <c r="X186" s="259"/>
      <c r="Y186" s="259"/>
      <c r="Z186" s="259"/>
      <c r="AA186" s="259">
        <f>AB186</f>
        <v>2205.337</v>
      </c>
      <c r="AB186" s="259">
        <v>2205.337</v>
      </c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411"/>
      <c r="AQ186" s="259"/>
    </row>
    <row r="187" spans="1:43" s="327" customFormat="1" ht="43.5" customHeight="1" x14ac:dyDescent="0.25">
      <c r="A187" s="1398" t="s">
        <v>171</v>
      </c>
      <c r="B187" s="772" t="s">
        <v>172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1117">
        <f>L188+L194</f>
        <v>204849.53</v>
      </c>
      <c r="M187" s="1117">
        <f>M188+M194</f>
        <v>195485</v>
      </c>
      <c r="N187" s="1117">
        <f>N188+N194</f>
        <v>203676.84</v>
      </c>
      <c r="O187" s="1117">
        <f t="shared" ref="O187:AO187" si="117">O188</f>
        <v>1116.69</v>
      </c>
      <c r="P187" s="1117">
        <f>P188+P194</f>
        <v>0</v>
      </c>
      <c r="Q187" s="1117">
        <f t="shared" si="117"/>
        <v>0</v>
      </c>
      <c r="R187" s="1117">
        <f t="shared" si="117"/>
        <v>0</v>
      </c>
      <c r="S187" s="1117">
        <f t="shared" si="117"/>
        <v>3000</v>
      </c>
      <c r="T187" s="1117">
        <f t="shared" si="117"/>
        <v>0</v>
      </c>
      <c r="U187" s="1117">
        <f t="shared" si="117"/>
        <v>0</v>
      </c>
      <c r="V187" s="1117">
        <f t="shared" si="117"/>
        <v>0</v>
      </c>
      <c r="W187" s="1117">
        <f t="shared" si="117"/>
        <v>0</v>
      </c>
      <c r="X187" s="1117">
        <f t="shared" si="117"/>
        <v>0</v>
      </c>
      <c r="Y187" s="1117">
        <f t="shared" si="117"/>
        <v>0</v>
      </c>
      <c r="Z187" s="812">
        <v>0</v>
      </c>
      <c r="AA187" s="1117">
        <f t="shared" si="117"/>
        <v>0</v>
      </c>
      <c r="AB187" s="1117">
        <f t="shared" si="117"/>
        <v>0</v>
      </c>
      <c r="AC187" s="1117">
        <f t="shared" si="117"/>
        <v>0</v>
      </c>
      <c r="AD187" s="1117">
        <f t="shared" si="117"/>
        <v>0</v>
      </c>
      <c r="AE187" s="1117">
        <f t="shared" si="117"/>
        <v>0</v>
      </c>
      <c r="AF187" s="1117">
        <f t="shared" si="117"/>
        <v>0</v>
      </c>
      <c r="AG187" s="1117">
        <f t="shared" si="117"/>
        <v>0</v>
      </c>
      <c r="AH187" s="1117">
        <f t="shared" si="117"/>
        <v>0</v>
      </c>
      <c r="AI187" s="1117">
        <f t="shared" si="117"/>
        <v>0</v>
      </c>
      <c r="AJ187" s="1117">
        <f t="shared" si="117"/>
        <v>0</v>
      </c>
      <c r="AK187" s="1117">
        <f t="shared" si="117"/>
        <v>0</v>
      </c>
      <c r="AL187" s="1117">
        <f t="shared" si="117"/>
        <v>0</v>
      </c>
      <c r="AM187" s="1117">
        <f t="shared" si="117"/>
        <v>0</v>
      </c>
      <c r="AN187" s="1117">
        <f t="shared" si="117"/>
        <v>0</v>
      </c>
      <c r="AO187" s="1117">
        <f t="shared" si="117"/>
        <v>0</v>
      </c>
      <c r="AP187" s="813" t="s">
        <v>295</v>
      </c>
      <c r="AQ187" s="812">
        <v>0</v>
      </c>
    </row>
    <row r="188" spans="1:43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1141"/>
      <c r="K188" s="649"/>
      <c r="L188" s="1139">
        <v>9364.5300000000007</v>
      </c>
      <c r="M188" s="83">
        <v>0</v>
      </c>
      <c r="N188" s="83">
        <v>8191.84</v>
      </c>
      <c r="O188" s="83">
        <v>1116.69</v>
      </c>
      <c r="P188" s="83">
        <v>0</v>
      </c>
      <c r="Q188" s="83">
        <v>0</v>
      </c>
      <c r="R188" s="83">
        <f>P188</f>
        <v>0</v>
      </c>
      <c r="S188" s="83">
        <f>SUM(S189:S193)</f>
        <v>3000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259"/>
      <c r="AA188" s="83">
        <f>SUM(AA189:AA193)</f>
        <v>0</v>
      </c>
      <c r="AB188" s="83">
        <f t="shared" ref="AB188:AJ188" si="118">SUM(AB189:AB191)</f>
        <v>0</v>
      </c>
      <c r="AC188" s="83">
        <f t="shared" si="118"/>
        <v>0</v>
      </c>
      <c r="AD188" s="83">
        <f t="shared" si="118"/>
        <v>0</v>
      </c>
      <c r="AE188" s="83">
        <f>SUM(AE189:AE193)</f>
        <v>0</v>
      </c>
      <c r="AF188" s="83">
        <f t="shared" si="118"/>
        <v>0</v>
      </c>
      <c r="AG188" s="83">
        <f t="shared" si="118"/>
        <v>0</v>
      </c>
      <c r="AH188" s="83">
        <f t="shared" si="118"/>
        <v>0</v>
      </c>
      <c r="AI188" s="83">
        <f t="shared" si="118"/>
        <v>0</v>
      </c>
      <c r="AJ188" s="83">
        <f t="shared" si="118"/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15.75" hidden="1" x14ac:dyDescent="0.25">
      <c r="A189" s="324"/>
      <c r="B189" s="252" t="s">
        <v>233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83"/>
      <c r="Q189" s="259">
        <f>Y189</f>
        <v>0</v>
      </c>
      <c r="R189" s="259"/>
      <c r="S189" s="259"/>
      <c r="T189" s="259"/>
      <c r="U189" s="259"/>
      <c r="V189" s="259"/>
      <c r="W189" s="259"/>
      <c r="X189" s="259">
        <f>Y189</f>
        <v>0</v>
      </c>
      <c r="Y189" s="83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262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S190+U190+W190</f>
        <v>3000</v>
      </c>
      <c r="R190" s="259">
        <f>S190</f>
        <v>3000</v>
      </c>
      <c r="S190" s="259">
        <v>3000</v>
      </c>
      <c r="T190" s="259">
        <f>U190</f>
        <v>0</v>
      </c>
      <c r="U190" s="259">
        <v>0</v>
      </c>
      <c r="V190" s="259"/>
      <c r="W190" s="259">
        <v>0</v>
      </c>
      <c r="X190" s="259"/>
      <c r="Y190" s="259"/>
      <c r="Z190" s="259"/>
      <c r="AA190" s="259">
        <f>SUM(AB190:AC190)</f>
        <v>0</v>
      </c>
      <c r="AB190" s="259"/>
      <c r="AC190" s="259">
        <v>0</v>
      </c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263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v>0</v>
      </c>
      <c r="R191" s="259">
        <v>0</v>
      </c>
      <c r="S191" s="259">
        <v>0</v>
      </c>
      <c r="T191" s="259">
        <v>0</v>
      </c>
      <c r="U191" s="259">
        <v>0</v>
      </c>
      <c r="V191" s="259"/>
      <c r="W191" s="259"/>
      <c r="X191" s="259"/>
      <c r="Y191" s="259"/>
      <c r="Z191" s="259"/>
      <c r="AA191" s="259">
        <f>SUM(AB191:AC191)</f>
        <v>0</v>
      </c>
      <c r="AB191" s="259"/>
      <c r="AC191" s="259">
        <v>0</v>
      </c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s="266" customFormat="1" ht="15.75" hidden="1" x14ac:dyDescent="0.25">
      <c r="A192" s="324"/>
      <c r="B192" s="252" t="s">
        <v>292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259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259">
        <v>0</v>
      </c>
      <c r="Z192" s="259"/>
      <c r="AA192" s="259">
        <f>SUM(AB192:AE192)</f>
        <v>0</v>
      </c>
      <c r="AB192" s="259"/>
      <c r="AC192" s="259"/>
      <c r="AD192" s="259"/>
      <c r="AE192" s="259">
        <v>0</v>
      </c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293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Y193</f>
        <v>0</v>
      </c>
      <c r="R193" s="259"/>
      <c r="S193" s="259"/>
      <c r="T193" s="259"/>
      <c r="U193" s="259"/>
      <c r="V193" s="259"/>
      <c r="W193" s="259"/>
      <c r="X193" s="259">
        <f>Y193</f>
        <v>0</v>
      </c>
      <c r="Y193" s="259">
        <v>0</v>
      </c>
      <c r="Z193" s="259"/>
      <c r="AA193" s="259">
        <f>SUM(AB193:AE193)</f>
        <v>0</v>
      </c>
      <c r="AB193" s="259"/>
      <c r="AC193" s="259"/>
      <c r="AD193" s="259"/>
      <c r="AE193" s="259">
        <v>0</v>
      </c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ht="17.25" customHeight="1" x14ac:dyDescent="0.25">
      <c r="A194" s="1125"/>
      <c r="B194" s="42" t="s">
        <v>32</v>
      </c>
      <c r="C194" s="334"/>
      <c r="D194" s="334"/>
      <c r="E194" s="334"/>
      <c r="F194" s="313"/>
      <c r="G194" s="335"/>
      <c r="H194" s="336"/>
      <c r="I194" s="1121" t="s">
        <v>10</v>
      </c>
      <c r="J194" s="1141"/>
      <c r="K194" s="649"/>
      <c r="L194" s="1139">
        <v>195485</v>
      </c>
      <c r="M194" s="1139">
        <v>195485</v>
      </c>
      <c r="N194" s="1139">
        <v>195485</v>
      </c>
      <c r="O194" s="1139">
        <v>195485</v>
      </c>
      <c r="P194" s="1139">
        <v>0</v>
      </c>
      <c r="Q194" s="83"/>
      <c r="R194" s="83"/>
      <c r="S194" s="83"/>
      <c r="T194" s="83"/>
      <c r="U194" s="83"/>
      <c r="V194" s="83"/>
      <c r="W194" s="83"/>
      <c r="X194" s="83"/>
      <c r="Y194" s="83"/>
      <c r="Z194" s="259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s="327" customFormat="1" ht="25.5" x14ac:dyDescent="0.25">
      <c r="A195" s="1149"/>
      <c r="B195" s="772" t="s">
        <v>409</v>
      </c>
      <c r="C195" s="809"/>
      <c r="D195" s="809"/>
      <c r="E195" s="809"/>
      <c r="F195" s="312"/>
      <c r="G195" s="775"/>
      <c r="H195" s="810"/>
      <c r="I195" s="1151"/>
      <c r="J195" s="283"/>
      <c r="K195" s="811"/>
      <c r="L195" s="1117"/>
      <c r="M195" s="1117"/>
      <c r="N195" s="1117"/>
      <c r="O195" s="1117"/>
      <c r="P195" s="1117">
        <f>P196+P197</f>
        <v>12759.949999999999</v>
      </c>
      <c r="Q195" s="816">
        <v>0</v>
      </c>
      <c r="R195" s="816"/>
      <c r="S195" s="816"/>
      <c r="T195" s="816"/>
      <c r="U195" s="816"/>
      <c r="V195" s="816"/>
      <c r="W195" s="816"/>
      <c r="X195" s="816"/>
      <c r="Y195" s="816"/>
      <c r="Z195" s="817"/>
      <c r="AA195" s="816">
        <v>0</v>
      </c>
      <c r="AB195" s="816"/>
      <c r="AC195" s="816"/>
      <c r="AD195" s="816"/>
      <c r="AE195" s="816"/>
      <c r="AF195" s="816"/>
      <c r="AG195" s="816"/>
      <c r="AH195" s="816"/>
      <c r="AI195" s="816"/>
      <c r="AJ195" s="816"/>
      <c r="AK195" s="816"/>
      <c r="AL195" s="816"/>
      <c r="AM195" s="816"/>
      <c r="AN195" s="816"/>
      <c r="AO195" s="816"/>
      <c r="AP195" s="818"/>
      <c r="AQ195" s="817"/>
    </row>
    <row r="196" spans="1:43" ht="15.75" x14ac:dyDescent="0.25">
      <c r="A196" s="1125"/>
      <c r="B196" s="42" t="s">
        <v>39</v>
      </c>
      <c r="C196" s="334"/>
      <c r="D196" s="334"/>
      <c r="E196" s="334"/>
      <c r="F196" s="313"/>
      <c r="G196" s="335"/>
      <c r="H196" s="336"/>
      <c r="I196" s="1121"/>
      <c r="J196" s="1141"/>
      <c r="K196" s="649"/>
      <c r="L196" s="1139"/>
      <c r="M196" s="1139"/>
      <c r="N196" s="1139"/>
      <c r="O196" s="1139"/>
      <c r="P196" s="1139">
        <v>1652.72</v>
      </c>
      <c r="Q196" s="83">
        <v>0</v>
      </c>
      <c r="R196" s="83"/>
      <c r="S196" s="83"/>
      <c r="T196" s="83"/>
      <c r="U196" s="83"/>
      <c r="V196" s="83"/>
      <c r="W196" s="83"/>
      <c r="X196" s="83"/>
      <c r="Y196" s="83"/>
      <c r="Z196" s="259"/>
      <c r="AA196" s="83">
        <v>0</v>
      </c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409"/>
      <c r="AQ196" s="259"/>
    </row>
    <row r="197" spans="1:43" ht="15.75" x14ac:dyDescent="0.25">
      <c r="A197" s="1125"/>
      <c r="B197" s="42" t="s">
        <v>32</v>
      </c>
      <c r="C197" s="334"/>
      <c r="D197" s="334"/>
      <c r="E197" s="334"/>
      <c r="F197" s="313"/>
      <c r="G197" s="335"/>
      <c r="H197" s="336"/>
      <c r="I197" s="1105"/>
      <c r="J197" s="1141"/>
      <c r="K197" s="649"/>
      <c r="L197" s="1139"/>
      <c r="M197" s="83"/>
      <c r="N197" s="83"/>
      <c r="O197" s="83"/>
      <c r="P197" s="83">
        <v>11107.23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83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83"/>
    </row>
    <row r="198" spans="1:43" s="327" customFormat="1" ht="15.75" x14ac:dyDescent="0.25">
      <c r="A198" s="1149"/>
      <c r="B198" s="772" t="s">
        <v>410</v>
      </c>
      <c r="C198" s="809"/>
      <c r="D198" s="809"/>
      <c r="E198" s="809"/>
      <c r="F198" s="312"/>
      <c r="G198" s="775"/>
      <c r="H198" s="810"/>
      <c r="I198" s="1151"/>
      <c r="J198" s="283"/>
      <c r="K198" s="811"/>
      <c r="L198" s="1117"/>
      <c r="M198" s="1117"/>
      <c r="N198" s="1117"/>
      <c r="O198" s="1117"/>
      <c r="P198" s="1117">
        <f>P199+P200</f>
        <v>21627.71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1125"/>
      <c r="B199" s="42" t="s">
        <v>39</v>
      </c>
      <c r="C199" s="334"/>
      <c r="D199" s="334"/>
      <c r="E199" s="334"/>
      <c r="F199" s="313"/>
      <c r="G199" s="335"/>
      <c r="H199" s="336"/>
      <c r="I199" s="1121"/>
      <c r="J199" s="1141"/>
      <c r="K199" s="649"/>
      <c r="L199" s="1139"/>
      <c r="M199" s="1139"/>
      <c r="N199" s="1139"/>
      <c r="O199" s="1139"/>
      <c r="P199" s="1139">
        <v>1821.34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1125"/>
      <c r="B200" s="42" t="s">
        <v>16</v>
      </c>
      <c r="C200" s="334"/>
      <c r="D200" s="334"/>
      <c r="E200" s="334"/>
      <c r="F200" s="313"/>
      <c r="G200" s="335"/>
      <c r="H200" s="336"/>
      <c r="I200" s="1105"/>
      <c r="J200" s="1141"/>
      <c r="K200" s="649"/>
      <c r="L200" s="1139"/>
      <c r="M200" s="83"/>
      <c r="N200" s="83"/>
      <c r="O200" s="83"/>
      <c r="P200" s="83">
        <v>19806.37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25.5" x14ac:dyDescent="0.25">
      <c r="A201" s="1149"/>
      <c r="B201" s="772" t="s">
        <v>411</v>
      </c>
      <c r="C201" s="809"/>
      <c r="D201" s="809"/>
      <c r="E201" s="809"/>
      <c r="F201" s="312"/>
      <c r="G201" s="775"/>
      <c r="H201" s="810"/>
      <c r="I201" s="1151"/>
      <c r="J201" s="283"/>
      <c r="K201" s="811"/>
      <c r="L201" s="1117"/>
      <c r="M201" s="1117"/>
      <c r="N201" s="1117"/>
      <c r="O201" s="1117"/>
      <c r="P201" s="1117">
        <f>P202+P203</f>
        <v>12759.59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1125"/>
      <c r="B202" s="42" t="s">
        <v>39</v>
      </c>
      <c r="C202" s="334"/>
      <c r="D202" s="334"/>
      <c r="E202" s="334"/>
      <c r="F202" s="313"/>
      <c r="G202" s="335"/>
      <c r="H202" s="336"/>
      <c r="I202" s="1121"/>
      <c r="J202" s="1141"/>
      <c r="K202" s="649"/>
      <c r="L202" s="1139"/>
      <c r="M202" s="1139"/>
      <c r="N202" s="1139"/>
      <c r="O202" s="1139"/>
      <c r="P202" s="1139">
        <v>1652.36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1125"/>
      <c r="B203" s="42" t="s">
        <v>32</v>
      </c>
      <c r="C203" s="334"/>
      <c r="D203" s="334"/>
      <c r="E203" s="334"/>
      <c r="F203" s="313"/>
      <c r="G203" s="335"/>
      <c r="H203" s="336"/>
      <c r="I203" s="1105"/>
      <c r="J203" s="1141"/>
      <c r="K203" s="649"/>
      <c r="L203" s="1139"/>
      <c r="M203" s="83"/>
      <c r="N203" s="83"/>
      <c r="O203" s="83"/>
      <c r="P203" s="83">
        <v>11107.23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ht="43.5" hidden="1" customHeight="1" x14ac:dyDescent="0.25">
      <c r="A204" s="1535" t="s">
        <v>24</v>
      </c>
      <c r="B204" s="1613" t="s">
        <v>206</v>
      </c>
      <c r="C204" s="1614"/>
      <c r="D204" s="1614"/>
      <c r="E204" s="1614"/>
      <c r="F204" s="1614"/>
      <c r="G204" s="1614"/>
      <c r="H204" s="1615"/>
      <c r="I204" s="23" t="s">
        <v>19</v>
      </c>
      <c r="J204" s="1141">
        <v>0</v>
      </c>
      <c r="K204" s="1141">
        <v>0</v>
      </c>
      <c r="L204" s="47">
        <v>0</v>
      </c>
      <c r="M204" s="47">
        <v>0</v>
      </c>
      <c r="N204" s="47">
        <v>0</v>
      </c>
      <c r="O204" s="47">
        <v>1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96"/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41.25" hidden="1" customHeight="1" x14ac:dyDescent="0.25">
      <c r="A205" s="1535"/>
      <c r="B205" s="1616"/>
      <c r="C205" s="1617"/>
      <c r="D205" s="1617"/>
      <c r="E205" s="1617"/>
      <c r="F205" s="1617"/>
      <c r="G205" s="1617"/>
      <c r="H205" s="1618"/>
      <c r="I205" s="23" t="s">
        <v>20</v>
      </c>
      <c r="J205" s="1141">
        <f>J208</f>
        <v>6379.79</v>
      </c>
      <c r="K205" s="1141">
        <f>K208</f>
        <v>0</v>
      </c>
      <c r="L205" s="47">
        <f t="shared" ref="L205:AK205" si="119">L208+L213+L219</f>
        <v>13097.62</v>
      </c>
      <c r="M205" s="47">
        <f t="shared" si="119"/>
        <v>4269.0300000000007</v>
      </c>
      <c r="N205" s="47">
        <f t="shared" si="119"/>
        <v>5370.84</v>
      </c>
      <c r="O205" s="47">
        <f t="shared" si="119"/>
        <v>3372.5</v>
      </c>
      <c r="P205" s="47">
        <f t="shared" si="119"/>
        <v>78556.570000000007</v>
      </c>
      <c r="Q205" s="47">
        <f t="shared" si="119"/>
        <v>0</v>
      </c>
      <c r="R205" s="47">
        <f t="shared" si="119"/>
        <v>0</v>
      </c>
      <c r="S205" s="47">
        <f t="shared" si="119"/>
        <v>0</v>
      </c>
      <c r="T205" s="47">
        <f t="shared" si="119"/>
        <v>753.46</v>
      </c>
      <c r="U205" s="47">
        <f t="shared" si="119"/>
        <v>753.46</v>
      </c>
      <c r="V205" s="47">
        <f t="shared" si="119"/>
        <v>4173.82</v>
      </c>
      <c r="W205" s="47">
        <f t="shared" si="119"/>
        <v>4173.82</v>
      </c>
      <c r="X205" s="47">
        <f t="shared" si="119"/>
        <v>0</v>
      </c>
      <c r="Y205" s="47">
        <f t="shared" si="119"/>
        <v>0</v>
      </c>
      <c r="Z205" s="96"/>
      <c r="AA205" s="47">
        <f t="shared" si="119"/>
        <v>0</v>
      </c>
      <c r="AB205" s="47">
        <f t="shared" si="119"/>
        <v>0</v>
      </c>
      <c r="AC205" s="47">
        <f t="shared" si="119"/>
        <v>753.46</v>
      </c>
      <c r="AD205" s="47">
        <f t="shared" si="119"/>
        <v>4900</v>
      </c>
      <c r="AE205" s="47">
        <f t="shared" si="119"/>
        <v>0</v>
      </c>
      <c r="AF205" s="47">
        <f t="shared" si="119"/>
        <v>0</v>
      </c>
      <c r="AG205" s="47">
        <f t="shared" si="119"/>
        <v>0</v>
      </c>
      <c r="AH205" s="47">
        <f t="shared" si="119"/>
        <v>0</v>
      </c>
      <c r="AI205" s="47">
        <f t="shared" si="119"/>
        <v>0</v>
      </c>
      <c r="AJ205" s="47">
        <f t="shared" si="119"/>
        <v>0</v>
      </c>
      <c r="AK205" s="47">
        <f t="shared" si="119"/>
        <v>78556.570000000007</v>
      </c>
      <c r="AL205" s="47">
        <f>AL208</f>
        <v>78556.570000000007</v>
      </c>
      <c r="AM205" s="47">
        <f>AM208</f>
        <v>0</v>
      </c>
      <c r="AN205" s="47">
        <f>AN208</f>
        <v>0</v>
      </c>
      <c r="AO205" s="47">
        <f>AO208</f>
        <v>0</v>
      </c>
      <c r="AP205" s="397"/>
      <c r="AQ205" s="96"/>
    </row>
    <row r="206" spans="1:43" ht="38.25" hidden="1" customHeight="1" x14ac:dyDescent="0.25">
      <c r="A206" s="1535"/>
      <c r="B206" s="1616"/>
      <c r="C206" s="1617"/>
      <c r="D206" s="1617"/>
      <c r="E206" s="1617"/>
      <c r="F206" s="1617"/>
      <c r="G206" s="1617"/>
      <c r="H206" s="1618"/>
      <c r="I206" s="23" t="s">
        <v>10</v>
      </c>
      <c r="J206" s="1141">
        <v>0</v>
      </c>
      <c r="K206" s="1141">
        <v>0</v>
      </c>
      <c r="L206" s="47">
        <f>L225+L227</f>
        <v>2305.4499999999998</v>
      </c>
      <c r="M206" s="47">
        <f>M225+M227</f>
        <v>1650.1</v>
      </c>
      <c r="N206" s="47">
        <f t="shared" ref="N206:AJ206" si="120">N225+N227</f>
        <v>0</v>
      </c>
      <c r="O206" s="47">
        <f t="shared" si="120"/>
        <v>0</v>
      </c>
      <c r="P206" s="47">
        <f t="shared" si="120"/>
        <v>0</v>
      </c>
      <c r="Q206" s="47">
        <f t="shared" si="120"/>
        <v>99.9</v>
      </c>
      <c r="R206" s="47">
        <f t="shared" si="120"/>
        <v>0</v>
      </c>
      <c r="S206" s="47">
        <f t="shared" si="120"/>
        <v>0</v>
      </c>
      <c r="T206" s="47">
        <f t="shared" si="120"/>
        <v>0</v>
      </c>
      <c r="U206" s="47">
        <f t="shared" si="120"/>
        <v>0</v>
      </c>
      <c r="V206" s="47">
        <f t="shared" si="120"/>
        <v>0</v>
      </c>
      <c r="W206" s="47">
        <f t="shared" si="120"/>
        <v>0</v>
      </c>
      <c r="X206" s="47">
        <f t="shared" si="120"/>
        <v>0</v>
      </c>
      <c r="Y206" s="47">
        <f t="shared" si="120"/>
        <v>0</v>
      </c>
      <c r="Z206" s="96"/>
      <c r="AA206" s="47">
        <f t="shared" si="120"/>
        <v>99.9</v>
      </c>
      <c r="AB206" s="47">
        <f t="shared" si="120"/>
        <v>0</v>
      </c>
      <c r="AC206" s="47">
        <f t="shared" si="120"/>
        <v>0</v>
      </c>
      <c r="AD206" s="47">
        <f t="shared" si="120"/>
        <v>0</v>
      </c>
      <c r="AE206" s="47">
        <f t="shared" si="120"/>
        <v>0</v>
      </c>
      <c r="AF206" s="47">
        <f t="shared" si="120"/>
        <v>0</v>
      </c>
      <c r="AG206" s="47">
        <f t="shared" si="120"/>
        <v>0</v>
      </c>
      <c r="AH206" s="47">
        <f t="shared" si="120"/>
        <v>0</v>
      </c>
      <c r="AI206" s="47">
        <f t="shared" si="120"/>
        <v>0</v>
      </c>
      <c r="AJ206" s="47">
        <f t="shared" si="120"/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397"/>
      <c r="AQ206" s="96"/>
    </row>
    <row r="207" spans="1:43" ht="25.5" hidden="1" x14ac:dyDescent="0.25">
      <c r="A207" s="1535"/>
      <c r="B207" s="1619"/>
      <c r="C207" s="1620"/>
      <c r="D207" s="1620"/>
      <c r="E207" s="1620"/>
      <c r="F207" s="1620"/>
      <c r="G207" s="1620"/>
      <c r="H207" s="1621"/>
      <c r="I207" s="23" t="s">
        <v>9</v>
      </c>
      <c r="J207" s="1141">
        <v>0</v>
      </c>
      <c r="K207" s="1141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s="327" customFormat="1" ht="33" customHeight="1" x14ac:dyDescent="0.25">
      <c r="A208" s="1450" t="s">
        <v>30</v>
      </c>
      <c r="B208" s="780" t="s">
        <v>173</v>
      </c>
      <c r="C208" s="1326">
        <v>300</v>
      </c>
      <c r="D208" s="1326">
        <v>570</v>
      </c>
      <c r="E208" s="1326"/>
      <c r="F208" s="1326"/>
      <c r="G208" s="778"/>
      <c r="H208" s="778"/>
      <c r="I208" s="1463" t="s">
        <v>20</v>
      </c>
      <c r="J208" s="1622">
        <v>6379.79</v>
      </c>
      <c r="K208" s="3">
        <v>0</v>
      </c>
      <c r="L208" s="3">
        <f t="shared" ref="L208:AJ208" si="121">L209+L212</f>
        <v>5597.58</v>
      </c>
      <c r="M208" s="3">
        <f t="shared" si="121"/>
        <v>0</v>
      </c>
      <c r="N208" s="3">
        <f t="shared" si="121"/>
        <v>5370.84</v>
      </c>
      <c r="O208" s="3">
        <f t="shared" si="121"/>
        <v>3372.5</v>
      </c>
      <c r="P208" s="3">
        <f t="shared" si="121"/>
        <v>78556.570000000007</v>
      </c>
      <c r="Q208" s="3">
        <f t="shared" si="121"/>
        <v>0</v>
      </c>
      <c r="R208" s="3">
        <f t="shared" si="121"/>
        <v>0</v>
      </c>
      <c r="S208" s="3">
        <f t="shared" si="121"/>
        <v>0</v>
      </c>
      <c r="T208" s="3">
        <f t="shared" si="121"/>
        <v>753.46</v>
      </c>
      <c r="U208" s="3">
        <f t="shared" si="121"/>
        <v>753.46</v>
      </c>
      <c r="V208" s="3">
        <f t="shared" si="121"/>
        <v>4173.82</v>
      </c>
      <c r="W208" s="3">
        <f t="shared" si="121"/>
        <v>4173.82</v>
      </c>
      <c r="X208" s="3">
        <f t="shared" si="121"/>
        <v>0</v>
      </c>
      <c r="Y208" s="3">
        <f t="shared" si="121"/>
        <v>0</v>
      </c>
      <c r="Z208" s="95">
        <v>0</v>
      </c>
      <c r="AA208" s="3">
        <f t="shared" si="121"/>
        <v>0</v>
      </c>
      <c r="AB208" s="3">
        <f t="shared" si="121"/>
        <v>0</v>
      </c>
      <c r="AC208" s="3">
        <f t="shared" si="121"/>
        <v>753.46</v>
      </c>
      <c r="AD208" s="3">
        <f t="shared" si="121"/>
        <v>4900</v>
      </c>
      <c r="AE208" s="3">
        <f t="shared" si="121"/>
        <v>0</v>
      </c>
      <c r="AF208" s="3">
        <f t="shared" si="121"/>
        <v>0</v>
      </c>
      <c r="AG208" s="3">
        <f t="shared" si="121"/>
        <v>0</v>
      </c>
      <c r="AH208" s="3">
        <f t="shared" si="121"/>
        <v>0</v>
      </c>
      <c r="AI208" s="3">
        <f t="shared" si="121"/>
        <v>0</v>
      </c>
      <c r="AJ208" s="3">
        <f t="shared" si="121"/>
        <v>0</v>
      </c>
      <c r="AK208" s="3">
        <f>P208-Q208</f>
        <v>78556.570000000007</v>
      </c>
      <c r="AL208" s="3">
        <f>AK208</f>
        <v>78556.570000000007</v>
      </c>
      <c r="AM208" s="318">
        <f>ROUND((Q208*100%/P208*100),2)</f>
        <v>0</v>
      </c>
      <c r="AN208" s="3">
        <f>AN209+AN212</f>
        <v>0</v>
      </c>
      <c r="AO208" s="3">
        <f>AO209+AO212</f>
        <v>0</v>
      </c>
      <c r="AP208" s="633" t="s">
        <v>245</v>
      </c>
      <c r="AQ208" s="95">
        <v>0</v>
      </c>
    </row>
    <row r="209" spans="1:43" x14ac:dyDescent="0.25">
      <c r="A209" s="1399"/>
      <c r="B209" s="1" t="s">
        <v>15</v>
      </c>
      <c r="C209" s="1327"/>
      <c r="D209" s="1327"/>
      <c r="E209" s="1327"/>
      <c r="F209" s="1327"/>
      <c r="G209" s="1122">
        <v>2019</v>
      </c>
      <c r="H209" s="1122">
        <v>2019</v>
      </c>
      <c r="I209" s="1464"/>
      <c r="J209" s="1623"/>
      <c r="K209" s="47"/>
      <c r="L209" s="47">
        <v>5597.58</v>
      </c>
      <c r="M209" s="50">
        <v>0</v>
      </c>
      <c r="N209" s="50">
        <v>5370.84</v>
      </c>
      <c r="O209" s="50">
        <v>0</v>
      </c>
      <c r="P209" s="447">
        <v>89.08</v>
      </c>
      <c r="Q209" s="447">
        <v>0</v>
      </c>
      <c r="R209" s="447">
        <f t="shared" ref="R209:AD209" si="122">SUM(R210:R211)</f>
        <v>0</v>
      </c>
      <c r="S209" s="447">
        <f t="shared" si="122"/>
        <v>0</v>
      </c>
      <c r="T209" s="447">
        <f t="shared" si="122"/>
        <v>753.46</v>
      </c>
      <c r="U209" s="447">
        <f t="shared" si="122"/>
        <v>753.46</v>
      </c>
      <c r="V209" s="447">
        <f t="shared" si="122"/>
        <v>4173.82</v>
      </c>
      <c r="W209" s="447">
        <f t="shared" si="122"/>
        <v>4173.82</v>
      </c>
      <c r="X209" s="447">
        <f t="shared" si="122"/>
        <v>0</v>
      </c>
      <c r="Y209" s="447">
        <f t="shared" si="122"/>
        <v>0</v>
      </c>
      <c r="Z209" s="584"/>
      <c r="AA209" s="447">
        <v>0</v>
      </c>
      <c r="AB209" s="447">
        <f t="shared" si="122"/>
        <v>0</v>
      </c>
      <c r="AC209" s="447">
        <f t="shared" si="122"/>
        <v>753.46</v>
      </c>
      <c r="AD209" s="447">
        <f t="shared" si="122"/>
        <v>4900</v>
      </c>
      <c r="AE209" s="50">
        <f t="shared" ref="AE209:AO209" si="123">SUM(AE211)</f>
        <v>0</v>
      </c>
      <c r="AF209" s="50">
        <f>SUM(AF211)</f>
        <v>0</v>
      </c>
      <c r="AG209" s="50">
        <f>SUM(AG211)</f>
        <v>0</v>
      </c>
      <c r="AH209" s="50">
        <f>SUM(AH211)</f>
        <v>0</v>
      </c>
      <c r="AI209" s="50">
        <f>SUM(AI211)</f>
        <v>0</v>
      </c>
      <c r="AJ209" s="50">
        <f>SUM(AJ211)</f>
        <v>0</v>
      </c>
      <c r="AK209" s="50">
        <f t="shared" si="123"/>
        <v>0</v>
      </c>
      <c r="AL209" s="50">
        <f t="shared" si="123"/>
        <v>0</v>
      </c>
      <c r="AM209" s="50">
        <f t="shared" si="123"/>
        <v>0</v>
      </c>
      <c r="AN209" s="50">
        <f t="shared" si="123"/>
        <v>0</v>
      </c>
      <c r="AO209" s="50">
        <f t="shared" si="123"/>
        <v>0</v>
      </c>
      <c r="AP209" s="412"/>
      <c r="AQ209" s="584"/>
    </row>
    <row r="210" spans="1:43" s="266" customFormat="1" hidden="1" x14ac:dyDescent="0.25">
      <c r="A210" s="1399"/>
      <c r="B210" s="92" t="s">
        <v>322</v>
      </c>
      <c r="C210" s="1327"/>
      <c r="D210" s="1327"/>
      <c r="E210" s="1327"/>
      <c r="F210" s="1327"/>
      <c r="G210" s="104"/>
      <c r="H210" s="104"/>
      <c r="I210" s="1464"/>
      <c r="J210" s="1623"/>
      <c r="K210" s="96"/>
      <c r="L210" s="96"/>
      <c r="M210" s="263"/>
      <c r="N210" s="263"/>
      <c r="O210" s="263"/>
      <c r="P210" s="584"/>
      <c r="Q210" s="584">
        <f>V210</f>
        <v>4173.82</v>
      </c>
      <c r="R210" s="584"/>
      <c r="S210" s="584"/>
      <c r="T210" s="584"/>
      <c r="U210" s="584"/>
      <c r="V210" s="584">
        <f>W210</f>
        <v>4173.82</v>
      </c>
      <c r="W210" s="584">
        <v>4173.82</v>
      </c>
      <c r="X210" s="584"/>
      <c r="Y210" s="584"/>
      <c r="Z210" s="584"/>
      <c r="AA210" s="584">
        <f>AD210</f>
        <v>4900</v>
      </c>
      <c r="AB210" s="584"/>
      <c r="AC210" s="584"/>
      <c r="AD210" s="584">
        <v>4900</v>
      </c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413"/>
      <c r="AQ210" s="584"/>
    </row>
    <row r="211" spans="1:43" s="266" customFormat="1" hidden="1" x14ac:dyDescent="0.25">
      <c r="A211" s="1399"/>
      <c r="B211" s="92" t="s">
        <v>267</v>
      </c>
      <c r="C211" s="1327"/>
      <c r="D211" s="1327"/>
      <c r="E211" s="1327"/>
      <c r="F211" s="1327"/>
      <c r="G211" s="104"/>
      <c r="H211" s="104"/>
      <c r="I211" s="1464"/>
      <c r="J211" s="1623"/>
      <c r="K211" s="96"/>
      <c r="L211" s="96"/>
      <c r="M211" s="263"/>
      <c r="N211" s="263"/>
      <c r="O211" s="263"/>
      <c r="P211" s="263"/>
      <c r="Q211" s="263">
        <f>S211+U211</f>
        <v>753.46</v>
      </c>
      <c r="R211" s="263"/>
      <c r="S211" s="263"/>
      <c r="T211" s="263">
        <f>U211</f>
        <v>753.46</v>
      </c>
      <c r="U211" s="263">
        <f>ROUND((904.153/1.2),2)</f>
        <v>753.46</v>
      </c>
      <c r="V211" s="263"/>
      <c r="W211" s="263"/>
      <c r="X211" s="263"/>
      <c r="Y211" s="263"/>
      <c r="Z211" s="263"/>
      <c r="AA211" s="263">
        <f>AC211</f>
        <v>753.46</v>
      </c>
      <c r="AB211" s="263"/>
      <c r="AC211" s="263">
        <v>753.46</v>
      </c>
      <c r="AD211" s="263"/>
      <c r="AE211" s="263"/>
      <c r="AF211" s="263">
        <f>SUM(AG211:AG211)</f>
        <v>0</v>
      </c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413"/>
      <c r="AQ211" s="263"/>
    </row>
    <row r="212" spans="1:43" ht="15.75" customHeight="1" x14ac:dyDescent="0.25">
      <c r="A212" s="1488"/>
      <c r="B212" s="1128" t="s">
        <v>16</v>
      </c>
      <c r="C212" s="1328"/>
      <c r="D212" s="1328"/>
      <c r="E212" s="1328"/>
      <c r="F212" s="1328"/>
      <c r="G212" s="1122">
        <v>2021</v>
      </c>
      <c r="H212" s="1122">
        <v>2021</v>
      </c>
      <c r="I212" s="1465"/>
      <c r="J212" s="1624"/>
      <c r="K212" s="47"/>
      <c r="L212" s="47">
        <v>0</v>
      </c>
      <c r="M212" s="50">
        <v>0</v>
      </c>
      <c r="N212" s="50">
        <v>0</v>
      </c>
      <c r="O212" s="50">
        <v>3372.5</v>
      </c>
      <c r="P212" s="50">
        <v>78467.490000000005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50">
        <v>0</v>
      </c>
      <c r="Y212" s="50">
        <v>0</v>
      </c>
      <c r="Z212" s="263"/>
      <c r="AA212" s="50">
        <v>0</v>
      </c>
      <c r="AB212" s="50">
        <v>0</v>
      </c>
      <c r="AC212" s="50">
        <v>0</v>
      </c>
      <c r="AD212" s="50">
        <v>0</v>
      </c>
      <c r="AE212" s="50">
        <v>0</v>
      </c>
      <c r="AF212" s="50">
        <v>0</v>
      </c>
      <c r="AG212" s="50">
        <v>0</v>
      </c>
      <c r="AH212" s="50">
        <v>0</v>
      </c>
      <c r="AI212" s="50">
        <v>0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412"/>
      <c r="AQ212" s="263"/>
    </row>
    <row r="213" spans="1:43" s="327" customFormat="1" ht="42" customHeight="1" x14ac:dyDescent="0.25">
      <c r="A213" s="1649" t="s">
        <v>174</v>
      </c>
      <c r="B213" s="780" t="s">
        <v>175</v>
      </c>
      <c r="C213" s="133"/>
      <c r="D213" s="133"/>
      <c r="E213" s="133"/>
      <c r="F213" s="133"/>
      <c r="G213" s="778"/>
      <c r="H213" s="778"/>
      <c r="I213" s="1651" t="s">
        <v>20</v>
      </c>
      <c r="J213" s="1123"/>
      <c r="K213" s="3"/>
      <c r="L213" s="3">
        <f>L214</f>
        <v>3750.02</v>
      </c>
      <c r="M213" s="3">
        <f>M214</f>
        <v>1639</v>
      </c>
      <c r="N213" s="3">
        <f t="shared" ref="N213:AO213" si="124">N214</f>
        <v>0</v>
      </c>
      <c r="O213" s="3">
        <f t="shared" si="124"/>
        <v>0</v>
      </c>
      <c r="P213" s="3">
        <f t="shared" si="124"/>
        <v>0</v>
      </c>
      <c r="Q213" s="3">
        <f t="shared" si="124"/>
        <v>0</v>
      </c>
      <c r="R213" s="3">
        <f t="shared" si="124"/>
        <v>0</v>
      </c>
      <c r="S213" s="3">
        <f t="shared" si="124"/>
        <v>0</v>
      </c>
      <c r="T213" s="3">
        <f t="shared" si="124"/>
        <v>0</v>
      </c>
      <c r="U213" s="3">
        <f t="shared" si="124"/>
        <v>0</v>
      </c>
      <c r="V213" s="3">
        <f t="shared" si="124"/>
        <v>0</v>
      </c>
      <c r="W213" s="3">
        <f t="shared" si="124"/>
        <v>0</v>
      </c>
      <c r="X213" s="3">
        <f t="shared" si="124"/>
        <v>0</v>
      </c>
      <c r="Y213" s="3">
        <f t="shared" si="124"/>
        <v>0</v>
      </c>
      <c r="Z213" s="95">
        <v>0</v>
      </c>
      <c r="AA213" s="3">
        <f t="shared" si="124"/>
        <v>0</v>
      </c>
      <c r="AB213" s="3">
        <f t="shared" si="124"/>
        <v>0</v>
      </c>
      <c r="AC213" s="3">
        <f t="shared" si="124"/>
        <v>0</v>
      </c>
      <c r="AD213" s="3">
        <f t="shared" si="124"/>
        <v>0</v>
      </c>
      <c r="AE213" s="3">
        <f t="shared" si="124"/>
        <v>0</v>
      </c>
      <c r="AF213" s="3">
        <f t="shared" si="124"/>
        <v>0</v>
      </c>
      <c r="AG213" s="3">
        <f t="shared" si="124"/>
        <v>0</v>
      </c>
      <c r="AH213" s="3">
        <f t="shared" si="124"/>
        <v>0</v>
      </c>
      <c r="AI213" s="3">
        <f t="shared" si="124"/>
        <v>0</v>
      </c>
      <c r="AJ213" s="3">
        <f t="shared" si="124"/>
        <v>0</v>
      </c>
      <c r="AK213" s="3">
        <f t="shared" si="124"/>
        <v>0</v>
      </c>
      <c r="AL213" s="3">
        <f t="shared" si="124"/>
        <v>0</v>
      </c>
      <c r="AM213" s="3">
        <f t="shared" si="124"/>
        <v>0</v>
      </c>
      <c r="AN213" s="3">
        <f t="shared" si="124"/>
        <v>0</v>
      </c>
      <c r="AO213" s="3">
        <f t="shared" si="124"/>
        <v>0</v>
      </c>
      <c r="AP213" s="633" t="s">
        <v>256</v>
      </c>
      <c r="AQ213" s="95">
        <v>0</v>
      </c>
    </row>
    <row r="214" spans="1:43" s="327" customFormat="1" ht="15.75" hidden="1" customHeight="1" x14ac:dyDescent="0.25">
      <c r="A214" s="1650"/>
      <c r="B214" s="772" t="s">
        <v>15</v>
      </c>
      <c r="C214" s="133"/>
      <c r="D214" s="133"/>
      <c r="E214" s="133"/>
      <c r="F214" s="133"/>
      <c r="G214" s="312"/>
      <c r="H214" s="1108"/>
      <c r="I214" s="1652"/>
      <c r="J214" s="1123"/>
      <c r="K214" s="318"/>
      <c r="L214" s="3">
        <v>3750.02</v>
      </c>
      <c r="M214" s="3">
        <v>1639</v>
      </c>
      <c r="N214" s="3">
        <v>0</v>
      </c>
      <c r="O214" s="3">
        <v>0</v>
      </c>
      <c r="P214" s="3">
        <v>0</v>
      </c>
      <c r="Q214" s="819">
        <f>SUM(Q215:Q218)</f>
        <v>0</v>
      </c>
      <c r="R214" s="819">
        <f t="shared" ref="R214:AJ214" si="125">SUM(R215:R218)</f>
        <v>0</v>
      </c>
      <c r="S214" s="819">
        <f t="shared" si="125"/>
        <v>0</v>
      </c>
      <c r="T214" s="819">
        <f t="shared" si="125"/>
        <v>0</v>
      </c>
      <c r="U214" s="819">
        <f t="shared" si="125"/>
        <v>0</v>
      </c>
      <c r="V214" s="819">
        <f t="shared" si="125"/>
        <v>0</v>
      </c>
      <c r="W214" s="819">
        <f t="shared" si="125"/>
        <v>0</v>
      </c>
      <c r="X214" s="3">
        <v>0</v>
      </c>
      <c r="Y214" s="819">
        <f t="shared" si="125"/>
        <v>0</v>
      </c>
      <c r="Z214" s="820"/>
      <c r="AA214" s="819">
        <f t="shared" si="125"/>
        <v>0</v>
      </c>
      <c r="AB214" s="819">
        <f t="shared" si="125"/>
        <v>0</v>
      </c>
      <c r="AC214" s="819">
        <f t="shared" si="125"/>
        <v>0</v>
      </c>
      <c r="AD214" s="819">
        <f t="shared" si="125"/>
        <v>0</v>
      </c>
      <c r="AE214" s="819">
        <f t="shared" si="125"/>
        <v>0</v>
      </c>
      <c r="AF214" s="819">
        <f t="shared" si="125"/>
        <v>0</v>
      </c>
      <c r="AG214" s="819">
        <f t="shared" si="125"/>
        <v>0</v>
      </c>
      <c r="AH214" s="819">
        <f t="shared" si="125"/>
        <v>0</v>
      </c>
      <c r="AI214" s="819">
        <f t="shared" si="125"/>
        <v>0</v>
      </c>
      <c r="AJ214" s="819">
        <f t="shared" si="125"/>
        <v>0</v>
      </c>
      <c r="AK214" s="819">
        <f>SUM(AK215:AK218)</f>
        <v>0</v>
      </c>
      <c r="AL214" s="819">
        <f>SUM(AL215:AL218)</f>
        <v>0</v>
      </c>
      <c r="AM214" s="819">
        <f>SUM(AM215:AM218)</f>
        <v>0</v>
      </c>
      <c r="AN214" s="819">
        <f>SUM(AN215:AN218)</f>
        <v>0</v>
      </c>
      <c r="AO214" s="819">
        <f>SUM(AO215:AO218)</f>
        <v>0</v>
      </c>
      <c r="AP214" s="821"/>
      <c r="AQ214" s="820"/>
    </row>
    <row r="215" spans="1:43" s="827" customFormat="1" ht="15.75" hidden="1" customHeight="1" x14ac:dyDescent="0.25">
      <c r="A215" s="822"/>
      <c r="B215" s="823" t="s">
        <v>234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235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827" customFormat="1" ht="15.75" hidden="1" customHeight="1" x14ac:dyDescent="0.25">
      <c r="A217" s="822"/>
      <c r="B217" s="823" t="s">
        <v>236</v>
      </c>
      <c r="C217" s="369"/>
      <c r="D217" s="369"/>
      <c r="E217" s="369"/>
      <c r="F217" s="369"/>
      <c r="G217" s="254"/>
      <c r="H217" s="824"/>
      <c r="I217" s="825"/>
      <c r="J217" s="371"/>
      <c r="K217" s="372"/>
      <c r="L217" s="95"/>
      <c r="M217" s="95"/>
      <c r="N217" s="95"/>
      <c r="O217" s="95"/>
      <c r="P217" s="3"/>
      <c r="Q217" s="820">
        <f>Y217</f>
        <v>0</v>
      </c>
      <c r="R217" s="820"/>
      <c r="S217" s="820"/>
      <c r="T217" s="820"/>
      <c r="U217" s="820"/>
      <c r="V217" s="820"/>
      <c r="W217" s="820"/>
      <c r="X217" s="820">
        <v>0</v>
      </c>
      <c r="Y217" s="820">
        <v>0</v>
      </c>
      <c r="Z217" s="820"/>
      <c r="AA217" s="820">
        <v>0</v>
      </c>
      <c r="AB217" s="820">
        <v>0</v>
      </c>
      <c r="AC217" s="820"/>
      <c r="AD217" s="820"/>
      <c r="AE217" s="820"/>
      <c r="AF217" s="820"/>
      <c r="AG217" s="820"/>
      <c r="AH217" s="820"/>
      <c r="AI217" s="820"/>
      <c r="AJ217" s="820"/>
      <c r="AK217" s="820"/>
      <c r="AL217" s="820"/>
      <c r="AM217" s="820"/>
      <c r="AN217" s="820"/>
      <c r="AO217" s="820"/>
      <c r="AP217" s="826"/>
      <c r="AQ217" s="820"/>
    </row>
    <row r="218" spans="1:43" s="827" customFormat="1" ht="15.75" hidden="1" customHeight="1" x14ac:dyDescent="0.25">
      <c r="A218" s="822"/>
      <c r="B218" s="823" t="s">
        <v>237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327" customFormat="1" ht="40.5" customHeight="1" x14ac:dyDescent="0.25">
      <c r="A219" s="1148" t="s">
        <v>176</v>
      </c>
      <c r="B219" s="780" t="s">
        <v>177</v>
      </c>
      <c r="C219" s="133"/>
      <c r="D219" s="133"/>
      <c r="E219" s="133"/>
      <c r="F219" s="133"/>
      <c r="G219" s="778"/>
      <c r="H219" s="778"/>
      <c r="I219" s="1463" t="s">
        <v>20</v>
      </c>
      <c r="J219" s="1123"/>
      <c r="K219" s="3"/>
      <c r="L219" s="3">
        <f>L220</f>
        <v>3750.02</v>
      </c>
      <c r="M219" s="3">
        <f>M220</f>
        <v>2630.03</v>
      </c>
      <c r="N219" s="3">
        <f t="shared" ref="N219:AO219" si="126">N220</f>
        <v>0</v>
      </c>
      <c r="O219" s="3">
        <f t="shared" si="126"/>
        <v>0</v>
      </c>
      <c r="P219" s="3">
        <f t="shared" si="126"/>
        <v>0</v>
      </c>
      <c r="Q219" s="3">
        <f t="shared" si="126"/>
        <v>0</v>
      </c>
      <c r="R219" s="3">
        <f t="shared" si="126"/>
        <v>0</v>
      </c>
      <c r="S219" s="3">
        <f t="shared" si="126"/>
        <v>0</v>
      </c>
      <c r="T219" s="3">
        <f t="shared" si="126"/>
        <v>0</v>
      </c>
      <c r="U219" s="3">
        <f t="shared" si="126"/>
        <v>0</v>
      </c>
      <c r="V219" s="3">
        <f t="shared" si="126"/>
        <v>0</v>
      </c>
      <c r="W219" s="3">
        <f t="shared" si="126"/>
        <v>0</v>
      </c>
      <c r="X219" s="3">
        <f t="shared" si="126"/>
        <v>0</v>
      </c>
      <c r="Y219" s="3">
        <f t="shared" si="126"/>
        <v>0</v>
      </c>
      <c r="Z219" s="95">
        <v>0</v>
      </c>
      <c r="AA219" s="3">
        <f t="shared" si="126"/>
        <v>0</v>
      </c>
      <c r="AB219" s="3">
        <f t="shared" si="126"/>
        <v>0</v>
      </c>
      <c r="AC219" s="3">
        <f t="shared" si="126"/>
        <v>0</v>
      </c>
      <c r="AD219" s="3">
        <f t="shared" si="126"/>
        <v>0</v>
      </c>
      <c r="AE219" s="3">
        <f t="shared" si="126"/>
        <v>0</v>
      </c>
      <c r="AF219" s="3">
        <f t="shared" si="126"/>
        <v>0</v>
      </c>
      <c r="AG219" s="3">
        <f t="shared" si="126"/>
        <v>0</v>
      </c>
      <c r="AH219" s="3">
        <f t="shared" si="126"/>
        <v>0</v>
      </c>
      <c r="AI219" s="3">
        <f t="shared" si="126"/>
        <v>0</v>
      </c>
      <c r="AJ219" s="3">
        <f t="shared" si="126"/>
        <v>0</v>
      </c>
      <c r="AK219" s="3">
        <f t="shared" si="126"/>
        <v>0</v>
      </c>
      <c r="AL219" s="3">
        <f t="shared" si="126"/>
        <v>0</v>
      </c>
      <c r="AM219" s="3">
        <f t="shared" si="126"/>
        <v>0</v>
      </c>
      <c r="AN219" s="3">
        <f t="shared" si="126"/>
        <v>0</v>
      </c>
      <c r="AO219" s="3">
        <f t="shared" si="126"/>
        <v>0</v>
      </c>
      <c r="AP219" s="633" t="s">
        <v>256</v>
      </c>
      <c r="AQ219" s="95">
        <v>0</v>
      </c>
    </row>
    <row r="220" spans="1:43" ht="15.75" hidden="1" customHeight="1" x14ac:dyDescent="0.25">
      <c r="A220" s="1119"/>
      <c r="B220" s="42" t="s">
        <v>15</v>
      </c>
      <c r="C220" s="341"/>
      <c r="D220" s="341"/>
      <c r="E220" s="341"/>
      <c r="F220" s="341"/>
      <c r="G220" s="313"/>
      <c r="H220" s="1153"/>
      <c r="I220" s="1465"/>
      <c r="J220" s="1138"/>
      <c r="K220" s="4"/>
      <c r="L220" s="47">
        <v>3750.02</v>
      </c>
      <c r="M220" s="47">
        <v>2630.03</v>
      </c>
      <c r="N220" s="47">
        <v>0</v>
      </c>
      <c r="O220" s="47">
        <v>0</v>
      </c>
      <c r="P220" s="47">
        <v>0</v>
      </c>
      <c r="Q220" s="50">
        <f>SUM(Q221:Q224)</f>
        <v>0</v>
      </c>
      <c r="R220" s="50">
        <f t="shared" ref="R220:W220" si="127">SUM(R221:R224)</f>
        <v>0</v>
      </c>
      <c r="S220" s="50">
        <f t="shared" si="127"/>
        <v>0</v>
      </c>
      <c r="T220" s="50">
        <f t="shared" si="127"/>
        <v>0</v>
      </c>
      <c r="U220" s="50">
        <f t="shared" si="127"/>
        <v>0</v>
      </c>
      <c r="V220" s="50">
        <f t="shared" si="127"/>
        <v>0</v>
      </c>
      <c r="W220" s="50">
        <f t="shared" si="127"/>
        <v>0</v>
      </c>
      <c r="X220" s="47">
        <v>0</v>
      </c>
      <c r="Y220" s="50">
        <f t="shared" ref="Y220:AJ220" si="128">SUM(Y221:Y224)</f>
        <v>0</v>
      </c>
      <c r="Z220" s="263"/>
      <c r="AA220" s="50">
        <f t="shared" si="128"/>
        <v>0</v>
      </c>
      <c r="AB220" s="50">
        <f t="shared" si="128"/>
        <v>0</v>
      </c>
      <c r="AC220" s="50">
        <f t="shared" si="128"/>
        <v>0</v>
      </c>
      <c r="AD220" s="50">
        <f t="shared" si="128"/>
        <v>0</v>
      </c>
      <c r="AE220" s="50">
        <f t="shared" si="128"/>
        <v>0</v>
      </c>
      <c r="AF220" s="50">
        <f t="shared" si="128"/>
        <v>0</v>
      </c>
      <c r="AG220" s="50">
        <f t="shared" si="128"/>
        <v>0</v>
      </c>
      <c r="AH220" s="50">
        <f t="shared" si="128"/>
        <v>0</v>
      </c>
      <c r="AI220" s="50">
        <f t="shared" si="128"/>
        <v>0</v>
      </c>
      <c r="AJ220" s="50">
        <f t="shared" si="128"/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412"/>
      <c r="AQ220" s="263"/>
    </row>
    <row r="221" spans="1:43" s="266" customFormat="1" ht="15.75" hidden="1" customHeight="1" x14ac:dyDescent="0.25">
      <c r="A221" s="366"/>
      <c r="B221" s="252" t="s">
        <v>238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239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266" customFormat="1" ht="15.75" hidden="1" customHeight="1" x14ac:dyDescent="0.25">
      <c r="A223" s="366"/>
      <c r="B223" s="252" t="s">
        <v>234</v>
      </c>
      <c r="C223" s="453"/>
      <c r="D223" s="453"/>
      <c r="E223" s="453"/>
      <c r="F223" s="453"/>
      <c r="G223" s="363"/>
      <c r="H223" s="364"/>
      <c r="I223" s="370"/>
      <c r="J223" s="651"/>
      <c r="K223" s="268"/>
      <c r="L223" s="96"/>
      <c r="M223" s="96"/>
      <c r="N223" s="96"/>
      <c r="O223" s="96"/>
      <c r="P223" s="47"/>
      <c r="Q223" s="263">
        <f>Y223</f>
        <v>0</v>
      </c>
      <c r="R223" s="263"/>
      <c r="S223" s="263"/>
      <c r="T223" s="263"/>
      <c r="U223" s="263"/>
      <c r="V223" s="263"/>
      <c r="W223" s="263"/>
      <c r="X223" s="263">
        <v>0</v>
      </c>
      <c r="Y223" s="263">
        <v>0</v>
      </c>
      <c r="Z223" s="263"/>
      <c r="AA223" s="263">
        <v>0</v>
      </c>
      <c r="AB223" s="263">
        <v>0</v>
      </c>
      <c r="AC223" s="263"/>
      <c r="AD223" s="263"/>
      <c r="AE223" s="263"/>
      <c r="AF223" s="263"/>
      <c r="AG223" s="263"/>
      <c r="AH223" s="263"/>
      <c r="AI223" s="263"/>
      <c r="AJ223" s="263"/>
      <c r="AK223" s="263"/>
      <c r="AL223" s="263"/>
      <c r="AM223" s="263"/>
      <c r="AN223" s="263"/>
      <c r="AO223" s="263"/>
      <c r="AP223" s="413"/>
      <c r="AQ223" s="263"/>
    </row>
    <row r="224" spans="1:43" s="266" customFormat="1" ht="15.75" hidden="1" customHeight="1" x14ac:dyDescent="0.25">
      <c r="A224" s="366"/>
      <c r="B224" s="252" t="s">
        <v>237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327" customFormat="1" ht="52.5" customHeight="1" x14ac:dyDescent="0.25">
      <c r="A225" s="1148" t="s">
        <v>178</v>
      </c>
      <c r="B225" s="780" t="s">
        <v>180</v>
      </c>
      <c r="C225" s="133"/>
      <c r="D225" s="133"/>
      <c r="E225" s="133"/>
      <c r="F225" s="133"/>
      <c r="G225" s="778"/>
      <c r="H225" s="778"/>
      <c r="I225" s="1651" t="s">
        <v>181</v>
      </c>
      <c r="J225" s="1123"/>
      <c r="K225" s="3"/>
      <c r="L225" s="3">
        <f>L226</f>
        <v>962.68</v>
      </c>
      <c r="M225" s="3">
        <f>M226</f>
        <v>403.33</v>
      </c>
      <c r="N225" s="3">
        <f t="shared" ref="N225:AO225" si="129">N226</f>
        <v>0</v>
      </c>
      <c r="O225" s="3">
        <f t="shared" si="129"/>
        <v>0</v>
      </c>
      <c r="P225" s="3">
        <f t="shared" si="129"/>
        <v>0</v>
      </c>
      <c r="Q225" s="3">
        <f>Q226</f>
        <v>99.9</v>
      </c>
      <c r="R225" s="3">
        <f t="shared" si="129"/>
        <v>0</v>
      </c>
      <c r="S225" s="3">
        <f t="shared" si="129"/>
        <v>0</v>
      </c>
      <c r="T225" s="3">
        <f t="shared" si="129"/>
        <v>0</v>
      </c>
      <c r="U225" s="3">
        <f t="shared" si="129"/>
        <v>0</v>
      </c>
      <c r="V225" s="3">
        <f t="shared" si="129"/>
        <v>0</v>
      </c>
      <c r="W225" s="3">
        <f t="shared" si="129"/>
        <v>0</v>
      </c>
      <c r="X225" s="3">
        <f t="shared" si="129"/>
        <v>0</v>
      </c>
      <c r="Y225" s="3">
        <f t="shared" si="129"/>
        <v>0</v>
      </c>
      <c r="Z225" s="95">
        <v>0</v>
      </c>
      <c r="AA225" s="3">
        <f>AA226</f>
        <v>99.9</v>
      </c>
      <c r="AB225" s="3">
        <f t="shared" si="129"/>
        <v>0</v>
      </c>
      <c r="AC225" s="3">
        <f t="shared" si="129"/>
        <v>0</v>
      </c>
      <c r="AD225" s="3">
        <f t="shared" si="129"/>
        <v>0</v>
      </c>
      <c r="AE225" s="3">
        <f t="shared" si="129"/>
        <v>0</v>
      </c>
      <c r="AF225" s="3">
        <f t="shared" si="129"/>
        <v>0</v>
      </c>
      <c r="AG225" s="3">
        <f t="shared" si="129"/>
        <v>0</v>
      </c>
      <c r="AH225" s="3">
        <f t="shared" si="129"/>
        <v>0</v>
      </c>
      <c r="AI225" s="3">
        <f t="shared" si="129"/>
        <v>0</v>
      </c>
      <c r="AJ225" s="3">
        <f t="shared" si="129"/>
        <v>0</v>
      </c>
      <c r="AK225" s="3">
        <f t="shared" si="129"/>
        <v>0</v>
      </c>
      <c r="AL225" s="3">
        <f t="shared" si="129"/>
        <v>0</v>
      </c>
      <c r="AM225" s="3">
        <f t="shared" si="129"/>
        <v>0</v>
      </c>
      <c r="AN225" s="3">
        <f t="shared" si="129"/>
        <v>0</v>
      </c>
      <c r="AO225" s="3">
        <f t="shared" si="129"/>
        <v>0</v>
      </c>
      <c r="AP225" s="829" t="s">
        <v>207</v>
      </c>
      <c r="AQ225" s="95">
        <v>0</v>
      </c>
    </row>
    <row r="226" spans="1:43" ht="15.75" customHeight="1" x14ac:dyDescent="0.25">
      <c r="A226" s="1119"/>
      <c r="B226" s="42" t="s">
        <v>16</v>
      </c>
      <c r="C226" s="341"/>
      <c r="D226" s="341"/>
      <c r="E226" s="341"/>
      <c r="F226" s="341"/>
      <c r="G226" s="313"/>
      <c r="H226" s="1153"/>
      <c r="I226" s="1652"/>
      <c r="J226" s="1138"/>
      <c r="K226" s="4"/>
      <c r="L226" s="47">
        <v>962.68</v>
      </c>
      <c r="M226" s="47">
        <v>403.33</v>
      </c>
      <c r="N226" s="47">
        <v>0</v>
      </c>
      <c r="O226" s="50">
        <v>0</v>
      </c>
      <c r="P226" s="50">
        <v>0</v>
      </c>
      <c r="Q226" s="50">
        <v>99.9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263"/>
      <c r="AA226" s="50">
        <v>99.9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841"/>
      <c r="AQ226" s="263"/>
    </row>
    <row r="227" spans="1:43" s="327" customFormat="1" ht="29.25" customHeight="1" x14ac:dyDescent="0.25">
      <c r="A227" s="1148" t="s">
        <v>179</v>
      </c>
      <c r="B227" s="780" t="s">
        <v>182</v>
      </c>
      <c r="C227" s="133"/>
      <c r="D227" s="133"/>
      <c r="E227" s="133"/>
      <c r="F227" s="133"/>
      <c r="G227" s="778"/>
      <c r="H227" s="778"/>
      <c r="I227" s="1463" t="s">
        <v>181</v>
      </c>
      <c r="J227" s="1123"/>
      <c r="K227" s="3"/>
      <c r="L227" s="3">
        <f>L228</f>
        <v>1342.77</v>
      </c>
      <c r="M227" s="3">
        <f>M228</f>
        <v>1246.77</v>
      </c>
      <c r="N227" s="3">
        <f t="shared" ref="N227:AO229" si="130">N228</f>
        <v>0</v>
      </c>
      <c r="O227" s="3">
        <f t="shared" si="130"/>
        <v>0</v>
      </c>
      <c r="P227" s="3">
        <f t="shared" si="130"/>
        <v>0</v>
      </c>
      <c r="Q227" s="3">
        <f t="shared" si="130"/>
        <v>0</v>
      </c>
      <c r="R227" s="3">
        <f t="shared" si="130"/>
        <v>0</v>
      </c>
      <c r="S227" s="3">
        <f t="shared" si="130"/>
        <v>0</v>
      </c>
      <c r="T227" s="3">
        <f t="shared" si="130"/>
        <v>0</v>
      </c>
      <c r="U227" s="3">
        <f t="shared" si="130"/>
        <v>0</v>
      </c>
      <c r="V227" s="3">
        <f t="shared" si="130"/>
        <v>0</v>
      </c>
      <c r="W227" s="3">
        <f t="shared" si="130"/>
        <v>0</v>
      </c>
      <c r="X227" s="3">
        <f t="shared" si="130"/>
        <v>0</v>
      </c>
      <c r="Y227" s="3">
        <f t="shared" si="130"/>
        <v>0</v>
      </c>
      <c r="Z227" s="95">
        <v>0</v>
      </c>
      <c r="AA227" s="3">
        <f t="shared" si="130"/>
        <v>0</v>
      </c>
      <c r="AB227" s="3">
        <f t="shared" si="130"/>
        <v>0</v>
      </c>
      <c r="AC227" s="3">
        <f t="shared" si="130"/>
        <v>0</v>
      </c>
      <c r="AD227" s="3">
        <f t="shared" si="130"/>
        <v>0</v>
      </c>
      <c r="AE227" s="3">
        <f t="shared" si="130"/>
        <v>0</v>
      </c>
      <c r="AF227" s="3">
        <f t="shared" si="130"/>
        <v>0</v>
      </c>
      <c r="AG227" s="3">
        <f t="shared" si="130"/>
        <v>0</v>
      </c>
      <c r="AH227" s="3">
        <f t="shared" si="130"/>
        <v>0</v>
      </c>
      <c r="AI227" s="3">
        <f t="shared" si="130"/>
        <v>0</v>
      </c>
      <c r="AJ227" s="3">
        <f t="shared" si="130"/>
        <v>0</v>
      </c>
      <c r="AK227" s="3">
        <f t="shared" si="130"/>
        <v>0</v>
      </c>
      <c r="AL227" s="3">
        <f t="shared" si="130"/>
        <v>0</v>
      </c>
      <c r="AM227" s="3">
        <f t="shared" si="130"/>
        <v>0</v>
      </c>
      <c r="AN227" s="3">
        <f t="shared" si="130"/>
        <v>0</v>
      </c>
      <c r="AO227" s="3">
        <f t="shared" si="130"/>
        <v>0</v>
      </c>
      <c r="AP227" s="829" t="s">
        <v>207</v>
      </c>
      <c r="AQ227" s="95">
        <v>0</v>
      </c>
    </row>
    <row r="228" spans="1:43" ht="15.75" customHeight="1" x14ac:dyDescent="0.25">
      <c r="A228" s="1119"/>
      <c r="B228" s="42" t="s">
        <v>15</v>
      </c>
      <c r="C228" s="341"/>
      <c r="D228" s="341"/>
      <c r="E228" s="341"/>
      <c r="F228" s="341"/>
      <c r="G228" s="313"/>
      <c r="H228" s="1153"/>
      <c r="I228" s="1465"/>
      <c r="J228" s="1138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s="327" customFormat="1" ht="29.25" customHeight="1" x14ac:dyDescent="0.25">
      <c r="A229" s="1148" t="s">
        <v>179</v>
      </c>
      <c r="B229" s="780" t="s">
        <v>412</v>
      </c>
      <c r="C229" s="133"/>
      <c r="D229" s="133"/>
      <c r="E229" s="133"/>
      <c r="F229" s="133"/>
      <c r="G229" s="778"/>
      <c r="H229" s="778"/>
      <c r="I229" s="1463" t="s">
        <v>181</v>
      </c>
      <c r="J229" s="1123"/>
      <c r="K229" s="3"/>
      <c r="L229" s="3">
        <f>L230</f>
        <v>1342.77</v>
      </c>
      <c r="M229" s="3">
        <f>M230</f>
        <v>1246.77</v>
      </c>
      <c r="N229" s="3">
        <f t="shared" si="130"/>
        <v>0</v>
      </c>
      <c r="O229" s="3">
        <f t="shared" si="130"/>
        <v>0</v>
      </c>
      <c r="P229" s="3">
        <f t="shared" si="130"/>
        <v>2878.15</v>
      </c>
      <c r="Q229" s="3">
        <f t="shared" si="130"/>
        <v>0</v>
      </c>
      <c r="R229" s="3">
        <f t="shared" si="130"/>
        <v>0</v>
      </c>
      <c r="S229" s="3">
        <f t="shared" si="130"/>
        <v>0</v>
      </c>
      <c r="T229" s="3">
        <f t="shared" si="130"/>
        <v>0</v>
      </c>
      <c r="U229" s="3">
        <f t="shared" si="130"/>
        <v>0</v>
      </c>
      <c r="V229" s="3">
        <f t="shared" si="130"/>
        <v>0</v>
      </c>
      <c r="W229" s="3">
        <f t="shared" si="130"/>
        <v>0</v>
      </c>
      <c r="X229" s="3">
        <f t="shared" si="130"/>
        <v>0</v>
      </c>
      <c r="Y229" s="3">
        <f t="shared" si="130"/>
        <v>0</v>
      </c>
      <c r="Z229" s="95">
        <v>0</v>
      </c>
      <c r="AA229" s="3">
        <f t="shared" si="130"/>
        <v>398</v>
      </c>
      <c r="AB229" s="3">
        <f t="shared" si="130"/>
        <v>0</v>
      </c>
      <c r="AC229" s="3">
        <f t="shared" si="130"/>
        <v>0</v>
      </c>
      <c r="AD229" s="3">
        <f t="shared" si="130"/>
        <v>0</v>
      </c>
      <c r="AE229" s="3">
        <f t="shared" si="130"/>
        <v>0</v>
      </c>
      <c r="AF229" s="3">
        <f t="shared" si="130"/>
        <v>0</v>
      </c>
      <c r="AG229" s="3">
        <f t="shared" si="130"/>
        <v>0</v>
      </c>
      <c r="AH229" s="3">
        <f t="shared" si="130"/>
        <v>0</v>
      </c>
      <c r="AI229" s="3">
        <f t="shared" si="130"/>
        <v>0</v>
      </c>
      <c r="AJ229" s="3">
        <f t="shared" si="130"/>
        <v>0</v>
      </c>
      <c r="AK229" s="3">
        <f t="shared" si="130"/>
        <v>0</v>
      </c>
      <c r="AL229" s="3">
        <f t="shared" si="130"/>
        <v>0</v>
      </c>
      <c r="AM229" s="3">
        <f t="shared" si="130"/>
        <v>0</v>
      </c>
      <c r="AN229" s="3">
        <f t="shared" si="130"/>
        <v>0</v>
      </c>
      <c r="AO229" s="3">
        <f t="shared" si="130"/>
        <v>0</v>
      </c>
      <c r="AP229" s="829" t="s">
        <v>207</v>
      </c>
      <c r="AQ229" s="95">
        <v>0</v>
      </c>
    </row>
    <row r="230" spans="1:43" ht="15.75" customHeight="1" x14ac:dyDescent="0.25">
      <c r="A230" s="1119"/>
      <c r="B230" s="42" t="s">
        <v>16</v>
      </c>
      <c r="C230" s="341"/>
      <c r="D230" s="341"/>
      <c r="E230" s="341"/>
      <c r="F230" s="341"/>
      <c r="G230" s="313"/>
      <c r="H230" s="1153"/>
      <c r="I230" s="1465"/>
      <c r="J230" s="1138"/>
      <c r="K230" s="4"/>
      <c r="L230" s="47">
        <v>1342.77</v>
      </c>
      <c r="M230" s="47">
        <v>1246.77</v>
      </c>
      <c r="N230" s="50">
        <v>0</v>
      </c>
      <c r="O230" s="50">
        <v>0</v>
      </c>
      <c r="P230" s="47">
        <v>2878.15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47">
        <v>0</v>
      </c>
      <c r="Y230" s="50">
        <v>0</v>
      </c>
      <c r="Z230" s="263"/>
      <c r="AA230" s="50">
        <v>398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412"/>
      <c r="AQ230" s="263"/>
    </row>
    <row r="231" spans="1:43" ht="54" hidden="1" customHeight="1" x14ac:dyDescent="0.25">
      <c r="A231" s="1332" t="s">
        <v>31</v>
      </c>
      <c r="B231" s="1613" t="s">
        <v>208</v>
      </c>
      <c r="C231" s="1614"/>
      <c r="D231" s="1614"/>
      <c r="E231" s="1614"/>
      <c r="F231" s="1614"/>
      <c r="G231" s="1614"/>
      <c r="H231" s="1615"/>
      <c r="I231" s="23" t="s">
        <v>19</v>
      </c>
      <c r="J231" s="1137">
        <v>0</v>
      </c>
      <c r="K231" s="1137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39.75" hidden="1" customHeight="1" x14ac:dyDescent="0.25">
      <c r="A232" s="1333"/>
      <c r="B232" s="1616"/>
      <c r="C232" s="1617"/>
      <c r="D232" s="1617"/>
      <c r="E232" s="1617"/>
      <c r="F232" s="1617"/>
      <c r="G232" s="1617"/>
      <c r="H232" s="1618"/>
      <c r="I232" s="23" t="s">
        <v>20</v>
      </c>
      <c r="J232" s="1137">
        <f>K232+L232</f>
        <v>6696.7899999999991</v>
      </c>
      <c r="K232" s="1137">
        <f>K238+K257+K260+K267</f>
        <v>0</v>
      </c>
      <c r="L232" s="47">
        <f t="shared" ref="L232:AE232" si="131">L238</f>
        <v>6696.7899999999991</v>
      </c>
      <c r="M232" s="47">
        <f t="shared" si="131"/>
        <v>0</v>
      </c>
      <c r="N232" s="47">
        <f t="shared" si="131"/>
        <v>2081.9299999999998</v>
      </c>
      <c r="O232" s="47">
        <f t="shared" si="131"/>
        <v>4372.5</v>
      </c>
      <c r="P232" s="47">
        <f t="shared" si="131"/>
        <v>0</v>
      </c>
      <c r="Q232" s="47">
        <f t="shared" si="131"/>
        <v>470</v>
      </c>
      <c r="R232" s="47">
        <f t="shared" si="131"/>
        <v>0</v>
      </c>
      <c r="S232" s="47">
        <f t="shared" si="131"/>
        <v>0</v>
      </c>
      <c r="T232" s="47">
        <f t="shared" si="131"/>
        <v>0</v>
      </c>
      <c r="U232" s="47">
        <f t="shared" si="131"/>
        <v>0</v>
      </c>
      <c r="V232" s="47">
        <f t="shared" si="131"/>
        <v>0</v>
      </c>
      <c r="W232" s="47">
        <f t="shared" si="131"/>
        <v>0</v>
      </c>
      <c r="X232" s="47">
        <f t="shared" si="131"/>
        <v>0</v>
      </c>
      <c r="Y232" s="47">
        <f t="shared" si="131"/>
        <v>0</v>
      </c>
      <c r="Z232" s="96"/>
      <c r="AA232" s="47">
        <f t="shared" si="131"/>
        <v>470</v>
      </c>
      <c r="AB232" s="47">
        <f t="shared" si="131"/>
        <v>0</v>
      </c>
      <c r="AC232" s="47">
        <f t="shared" si="131"/>
        <v>0</v>
      </c>
      <c r="AD232" s="47">
        <f t="shared" si="131"/>
        <v>0</v>
      </c>
      <c r="AE232" s="47">
        <f t="shared" si="131"/>
        <v>0</v>
      </c>
      <c r="AF232" s="47">
        <f t="shared" ref="AF232:AO232" si="132">AF238+AF257+AF260+AF267+AF269</f>
        <v>0</v>
      </c>
      <c r="AG232" s="47">
        <f t="shared" si="132"/>
        <v>0</v>
      </c>
      <c r="AH232" s="47">
        <f t="shared" si="132"/>
        <v>0</v>
      </c>
      <c r="AI232" s="47">
        <f t="shared" si="132"/>
        <v>0</v>
      </c>
      <c r="AJ232" s="47">
        <f t="shared" si="132"/>
        <v>0</v>
      </c>
      <c r="AK232" s="47">
        <f t="shared" si="132"/>
        <v>39749.919999999998</v>
      </c>
      <c r="AL232" s="47">
        <f t="shared" si="132"/>
        <v>39749.919999999998</v>
      </c>
      <c r="AM232" s="47" t="e">
        <f t="shared" si="132"/>
        <v>#DIV/0!</v>
      </c>
      <c r="AN232" s="47">
        <f t="shared" si="132"/>
        <v>0</v>
      </c>
      <c r="AO232" s="47">
        <f t="shared" si="132"/>
        <v>0</v>
      </c>
      <c r="AP232" s="397"/>
      <c r="AQ232" s="96"/>
    </row>
    <row r="233" spans="1:43" ht="26.25" hidden="1" customHeight="1" x14ac:dyDescent="0.25">
      <c r="A233" s="1333"/>
      <c r="B233" s="1616"/>
      <c r="C233" s="1617"/>
      <c r="D233" s="1617"/>
      <c r="E233" s="1617"/>
      <c r="F233" s="1617"/>
      <c r="G233" s="1617"/>
      <c r="H233" s="1618"/>
      <c r="I233" s="23" t="s">
        <v>10</v>
      </c>
      <c r="J233" s="1137">
        <v>0</v>
      </c>
      <c r="K233" s="1137">
        <v>0</v>
      </c>
      <c r="L233" s="47">
        <f>M233+N233+O233</f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96"/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397"/>
      <c r="AQ233" s="96"/>
    </row>
    <row r="234" spans="1:43" ht="25.5" hidden="1" x14ac:dyDescent="0.25">
      <c r="A234" s="1334"/>
      <c r="B234" s="1619"/>
      <c r="C234" s="1620"/>
      <c r="D234" s="1620"/>
      <c r="E234" s="1620"/>
      <c r="F234" s="1620"/>
      <c r="G234" s="1620"/>
      <c r="H234" s="1621"/>
      <c r="I234" s="23" t="s">
        <v>9</v>
      </c>
      <c r="J234" s="1137">
        <v>0</v>
      </c>
      <c r="K234" s="1137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s="327" customFormat="1" ht="29.25" customHeight="1" x14ac:dyDescent="0.25">
      <c r="A235" s="1148" t="s">
        <v>179</v>
      </c>
      <c r="B235" s="780" t="s">
        <v>413</v>
      </c>
      <c r="C235" s="133"/>
      <c r="D235" s="133"/>
      <c r="E235" s="133"/>
      <c r="F235" s="133"/>
      <c r="G235" s="778"/>
      <c r="H235" s="778"/>
      <c r="I235" s="1463" t="s">
        <v>181</v>
      </c>
      <c r="J235" s="1123"/>
      <c r="K235" s="3"/>
      <c r="L235" s="3">
        <f>L236</f>
        <v>1342.77</v>
      </c>
      <c r="M235" s="3">
        <f>M236</f>
        <v>1246.77</v>
      </c>
      <c r="N235" s="3">
        <f t="shared" ref="N235:AO235" si="133">N236</f>
        <v>0</v>
      </c>
      <c r="O235" s="3">
        <f t="shared" si="133"/>
        <v>0</v>
      </c>
      <c r="P235" s="3">
        <f t="shared" si="133"/>
        <v>4959</v>
      </c>
      <c r="Q235" s="3">
        <f t="shared" si="133"/>
        <v>0</v>
      </c>
      <c r="R235" s="3">
        <f t="shared" si="133"/>
        <v>0</v>
      </c>
      <c r="S235" s="3">
        <f t="shared" si="133"/>
        <v>0</v>
      </c>
      <c r="T235" s="3">
        <f t="shared" si="133"/>
        <v>0</v>
      </c>
      <c r="U235" s="3">
        <f t="shared" si="133"/>
        <v>0</v>
      </c>
      <c r="V235" s="3">
        <f t="shared" si="133"/>
        <v>0</v>
      </c>
      <c r="W235" s="3">
        <f t="shared" si="133"/>
        <v>0</v>
      </c>
      <c r="X235" s="3">
        <f t="shared" si="133"/>
        <v>0</v>
      </c>
      <c r="Y235" s="3">
        <f t="shared" si="133"/>
        <v>0</v>
      </c>
      <c r="Z235" s="95">
        <v>0</v>
      </c>
      <c r="AA235" s="3">
        <f t="shared" si="133"/>
        <v>0</v>
      </c>
      <c r="AB235" s="3">
        <f t="shared" si="133"/>
        <v>0</v>
      </c>
      <c r="AC235" s="3">
        <f t="shared" si="133"/>
        <v>0</v>
      </c>
      <c r="AD235" s="3">
        <f t="shared" si="133"/>
        <v>0</v>
      </c>
      <c r="AE235" s="3">
        <f t="shared" si="133"/>
        <v>0</v>
      </c>
      <c r="AF235" s="3">
        <f t="shared" si="133"/>
        <v>0</v>
      </c>
      <c r="AG235" s="3">
        <f t="shared" si="133"/>
        <v>0</v>
      </c>
      <c r="AH235" s="3">
        <f t="shared" si="133"/>
        <v>0</v>
      </c>
      <c r="AI235" s="3">
        <f t="shared" si="133"/>
        <v>0</v>
      </c>
      <c r="AJ235" s="3">
        <f t="shared" si="133"/>
        <v>0</v>
      </c>
      <c r="AK235" s="3">
        <f t="shared" si="133"/>
        <v>0</v>
      </c>
      <c r="AL235" s="3">
        <f t="shared" si="133"/>
        <v>0</v>
      </c>
      <c r="AM235" s="3">
        <f t="shared" si="133"/>
        <v>0</v>
      </c>
      <c r="AN235" s="3">
        <f t="shared" si="133"/>
        <v>0</v>
      </c>
      <c r="AO235" s="3">
        <f t="shared" si="133"/>
        <v>0</v>
      </c>
      <c r="AP235" s="829" t="s">
        <v>207</v>
      </c>
      <c r="AQ235" s="95">
        <v>0</v>
      </c>
    </row>
    <row r="236" spans="1:43" ht="15.75" customHeight="1" x14ac:dyDescent="0.25">
      <c r="A236" s="1119"/>
      <c r="B236" s="42" t="s">
        <v>39</v>
      </c>
      <c r="C236" s="341"/>
      <c r="D236" s="341"/>
      <c r="E236" s="341"/>
      <c r="F236" s="341"/>
      <c r="G236" s="313"/>
      <c r="H236" s="1153"/>
      <c r="I236" s="1465"/>
      <c r="J236" s="1138"/>
      <c r="K236" s="4"/>
      <c r="L236" s="47">
        <v>1342.77</v>
      </c>
      <c r="M236" s="47">
        <v>1246.77</v>
      </c>
      <c r="N236" s="50">
        <v>0</v>
      </c>
      <c r="O236" s="50">
        <v>0</v>
      </c>
      <c r="P236" s="47">
        <v>4959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47">
        <v>0</v>
      </c>
      <c r="Y236" s="50">
        <v>0</v>
      </c>
      <c r="Z236" s="263"/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412"/>
      <c r="AQ236" s="263"/>
    </row>
    <row r="237" spans="1:43" ht="15.75" x14ac:dyDescent="0.25">
      <c r="A237" s="1106"/>
      <c r="B237" s="42" t="s">
        <v>16</v>
      </c>
      <c r="C237" s="1133"/>
      <c r="D237" s="1133"/>
      <c r="E237" s="1133"/>
      <c r="F237" s="1133"/>
      <c r="G237" s="1133"/>
      <c r="H237" s="1134"/>
      <c r="I237" s="1120"/>
      <c r="J237" s="1137"/>
      <c r="K237" s="113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96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"/>
      <c r="AN237" s="47"/>
      <c r="AO237" s="47"/>
      <c r="AP237" s="397"/>
      <c r="AQ237" s="96"/>
    </row>
    <row r="238" spans="1:43" s="327" customFormat="1" ht="30" customHeight="1" x14ac:dyDescent="0.25">
      <c r="A238" s="1344" t="s">
        <v>50</v>
      </c>
      <c r="B238" s="830" t="s">
        <v>183</v>
      </c>
      <c r="C238" s="1658"/>
      <c r="D238" s="1326"/>
      <c r="E238" s="1326"/>
      <c r="F238" s="1644">
        <v>150000</v>
      </c>
      <c r="G238" s="1326">
        <v>2019</v>
      </c>
      <c r="H238" s="1326">
        <v>2019</v>
      </c>
      <c r="I238" s="1326" t="s">
        <v>20</v>
      </c>
      <c r="J238" s="1653">
        <v>4914.5600000000004</v>
      </c>
      <c r="K238" s="3"/>
      <c r="L238" s="3">
        <f t="shared" ref="L238:P238" si="134">L241+L239</f>
        <v>6696.7899999999991</v>
      </c>
      <c r="M238" s="3">
        <f t="shared" si="134"/>
        <v>0</v>
      </c>
      <c r="N238" s="3">
        <f t="shared" si="134"/>
        <v>2081.9299999999998</v>
      </c>
      <c r="O238" s="3">
        <f t="shared" si="134"/>
        <v>4372.5</v>
      </c>
      <c r="P238" s="3">
        <f t="shared" si="134"/>
        <v>0</v>
      </c>
      <c r="Q238" s="3">
        <f>Q239+Q241</f>
        <v>470</v>
      </c>
      <c r="R238" s="3">
        <f t="shared" ref="R238:AA238" si="135">R239+R241</f>
        <v>0</v>
      </c>
      <c r="S238" s="3">
        <f t="shared" si="135"/>
        <v>0</v>
      </c>
      <c r="T238" s="3">
        <f t="shared" si="135"/>
        <v>0</v>
      </c>
      <c r="U238" s="3">
        <f t="shared" si="135"/>
        <v>0</v>
      </c>
      <c r="V238" s="3">
        <f t="shared" si="135"/>
        <v>0</v>
      </c>
      <c r="W238" s="3">
        <f t="shared" si="135"/>
        <v>0</v>
      </c>
      <c r="X238" s="3">
        <f t="shared" si="135"/>
        <v>0</v>
      </c>
      <c r="Y238" s="3">
        <f t="shared" si="135"/>
        <v>0</v>
      </c>
      <c r="Z238" s="3">
        <f t="shared" si="135"/>
        <v>0</v>
      </c>
      <c r="AA238" s="3">
        <f t="shared" si="135"/>
        <v>470</v>
      </c>
      <c r="AB238" s="3">
        <f t="shared" ref="AB238:AJ238" si="136">AB241+AB239</f>
        <v>0</v>
      </c>
      <c r="AC238" s="3">
        <f t="shared" si="136"/>
        <v>0</v>
      </c>
      <c r="AD238" s="3">
        <f t="shared" si="136"/>
        <v>0</v>
      </c>
      <c r="AE238" s="3">
        <f t="shared" si="136"/>
        <v>0</v>
      </c>
      <c r="AF238" s="3">
        <f t="shared" si="136"/>
        <v>0</v>
      </c>
      <c r="AG238" s="3">
        <f t="shared" si="136"/>
        <v>0</v>
      </c>
      <c r="AH238" s="3">
        <f t="shared" si="136"/>
        <v>0</v>
      </c>
      <c r="AI238" s="3">
        <f t="shared" si="136"/>
        <v>0</v>
      </c>
      <c r="AJ238" s="3">
        <f t="shared" si="136"/>
        <v>0</v>
      </c>
      <c r="AK238" s="3">
        <f>P238-Q238</f>
        <v>-470</v>
      </c>
      <c r="AL238" s="3">
        <f>AK238</f>
        <v>-470</v>
      </c>
      <c r="AM238" s="318" t="e">
        <f>ROUND((Q238*100%/P238*100),2)</f>
        <v>#DIV/0!</v>
      </c>
      <c r="AN238" s="3">
        <f>AN241</f>
        <v>0</v>
      </c>
      <c r="AO238" s="3">
        <f>AO241</f>
        <v>0</v>
      </c>
      <c r="AP238" s="633"/>
      <c r="AQ238" s="95">
        <v>45</v>
      </c>
    </row>
    <row r="239" spans="1:43" ht="19.5" customHeight="1" x14ac:dyDescent="0.25">
      <c r="A239" s="1345"/>
      <c r="B239" s="1" t="s">
        <v>15</v>
      </c>
      <c r="C239" s="1659"/>
      <c r="D239" s="1327"/>
      <c r="E239" s="1327"/>
      <c r="F239" s="1645"/>
      <c r="G239" s="1327"/>
      <c r="H239" s="1327"/>
      <c r="I239" s="1327"/>
      <c r="J239" s="1654"/>
      <c r="K239" s="47"/>
      <c r="L239" s="47">
        <f>SUM(M239:O239)</f>
        <v>2081.9299999999998</v>
      </c>
      <c r="M239" s="4">
        <v>0</v>
      </c>
      <c r="N239" s="4">
        <v>2081.9299999999998</v>
      </c>
      <c r="O239" s="4">
        <f t="shared" ref="O239:AO239" si="137">O240</f>
        <v>0</v>
      </c>
      <c r="P239" s="4">
        <f t="shared" si="137"/>
        <v>0</v>
      </c>
      <c r="Q239" s="4">
        <f t="shared" si="137"/>
        <v>470</v>
      </c>
      <c r="R239" s="4">
        <f t="shared" si="137"/>
        <v>0</v>
      </c>
      <c r="S239" s="4">
        <f t="shared" si="137"/>
        <v>0</v>
      </c>
      <c r="T239" s="4">
        <f t="shared" si="137"/>
        <v>0</v>
      </c>
      <c r="U239" s="4">
        <f t="shared" si="137"/>
        <v>0</v>
      </c>
      <c r="V239" s="4">
        <f t="shared" si="137"/>
        <v>0</v>
      </c>
      <c r="W239" s="4">
        <f t="shared" si="137"/>
        <v>0</v>
      </c>
      <c r="X239" s="4">
        <f t="shared" si="137"/>
        <v>0</v>
      </c>
      <c r="Y239" s="4">
        <f t="shared" si="137"/>
        <v>0</v>
      </c>
      <c r="Z239" s="268"/>
      <c r="AA239" s="4">
        <f t="shared" si="137"/>
        <v>470</v>
      </c>
      <c r="AB239" s="4">
        <f t="shared" si="137"/>
        <v>0</v>
      </c>
      <c r="AC239" s="4">
        <f t="shared" si="137"/>
        <v>0</v>
      </c>
      <c r="AD239" s="4">
        <f t="shared" si="137"/>
        <v>0</v>
      </c>
      <c r="AE239" s="4">
        <f t="shared" si="137"/>
        <v>0</v>
      </c>
      <c r="AF239" s="4">
        <f t="shared" si="137"/>
        <v>0</v>
      </c>
      <c r="AG239" s="4">
        <f t="shared" si="137"/>
        <v>0</v>
      </c>
      <c r="AH239" s="4">
        <v>0</v>
      </c>
      <c r="AI239" s="4">
        <v>0</v>
      </c>
      <c r="AJ239" s="4">
        <v>0</v>
      </c>
      <c r="AK239" s="4">
        <f t="shared" si="137"/>
        <v>0</v>
      </c>
      <c r="AL239" s="4">
        <f t="shared" si="137"/>
        <v>0</v>
      </c>
      <c r="AM239" s="4">
        <f t="shared" si="137"/>
        <v>0</v>
      </c>
      <c r="AN239" s="4">
        <f t="shared" si="137"/>
        <v>0</v>
      </c>
      <c r="AO239" s="4">
        <f t="shared" si="137"/>
        <v>0</v>
      </c>
      <c r="AP239" s="1113"/>
      <c r="AQ239" s="268"/>
    </row>
    <row r="240" spans="1:43" s="266" customFormat="1" x14ac:dyDescent="0.25">
      <c r="A240" s="1345"/>
      <c r="B240" s="92" t="s">
        <v>250</v>
      </c>
      <c r="C240" s="1659"/>
      <c r="D240" s="1327"/>
      <c r="E240" s="1327"/>
      <c r="F240" s="1645"/>
      <c r="G240" s="1327"/>
      <c r="H240" s="1327"/>
      <c r="I240" s="1327"/>
      <c r="J240" s="1654"/>
      <c r="K240" s="96"/>
      <c r="L240" s="96">
        <f>SUM(M240:O240)</f>
        <v>0</v>
      </c>
      <c r="M240" s="268">
        <v>0</v>
      </c>
      <c r="N240" s="263"/>
      <c r="O240" s="263"/>
      <c r="P240" s="263">
        <f>R240+T240</f>
        <v>0</v>
      </c>
      <c r="Q240" s="263">
        <f>75+395</f>
        <v>470</v>
      </c>
      <c r="R240" s="263">
        <f>S240</f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/>
      <c r="AA240" s="263">
        <f>75+395</f>
        <v>470</v>
      </c>
      <c r="AB240" s="263">
        <v>0</v>
      </c>
      <c r="AC240" s="263">
        <v>0</v>
      </c>
      <c r="AD240" s="263"/>
      <c r="AE240" s="263"/>
      <c r="AF240" s="263"/>
      <c r="AG240" s="263"/>
      <c r="AH240" s="263"/>
      <c r="AI240" s="263"/>
      <c r="AJ240" s="263"/>
      <c r="AK240" s="263"/>
      <c r="AL240" s="263"/>
      <c r="AM240" s="263"/>
      <c r="AN240" s="263"/>
      <c r="AO240" s="263"/>
      <c r="AP240" s="413"/>
      <c r="AQ240" s="263"/>
    </row>
    <row r="241" spans="1:43" ht="18" customHeight="1" x14ac:dyDescent="0.25">
      <c r="A241" s="1346"/>
      <c r="B241" s="575" t="s">
        <v>16</v>
      </c>
      <c r="C241" s="1356"/>
      <c r="D241" s="1356"/>
      <c r="E241" s="1327"/>
      <c r="F241" s="1357"/>
      <c r="G241" s="1327"/>
      <c r="H241" s="1327"/>
      <c r="I241" s="1327"/>
      <c r="J241" s="1655"/>
      <c r="K241" s="47">
        <v>0</v>
      </c>
      <c r="L241" s="47">
        <v>4614.8599999999997</v>
      </c>
      <c r="M241" s="4">
        <v>0</v>
      </c>
      <c r="N241" s="4">
        <v>0</v>
      </c>
      <c r="O241" s="4">
        <v>4372.5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268"/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1113"/>
      <c r="AQ241" s="268"/>
    </row>
    <row r="242" spans="1:43" s="327" customFormat="1" ht="21" customHeight="1" x14ac:dyDescent="0.25">
      <c r="A242" s="1107"/>
      <c r="B242" s="830" t="s">
        <v>414</v>
      </c>
      <c r="C242" s="654"/>
      <c r="D242" s="654"/>
      <c r="E242" s="341"/>
      <c r="F242" s="831"/>
      <c r="G242" s="341"/>
      <c r="H242" s="1154"/>
      <c r="I242" s="1104"/>
      <c r="J242" s="1152"/>
      <c r="K242" s="3"/>
      <c r="L242" s="3">
        <f t="shared" ref="L242:O242" si="138">L245+L243</f>
        <v>2081.9299999999998</v>
      </c>
      <c r="M242" s="3">
        <f t="shared" si="138"/>
        <v>0</v>
      </c>
      <c r="N242" s="3">
        <f t="shared" si="138"/>
        <v>2081.9299999999998</v>
      </c>
      <c r="O242" s="3">
        <f t="shared" si="138"/>
        <v>0</v>
      </c>
      <c r="P242" s="3">
        <f>SUM(P243:P244)</f>
        <v>2.7</v>
      </c>
      <c r="Q242" s="3">
        <f>SUM(Q243:Q244)</f>
        <v>0</v>
      </c>
      <c r="R242" s="3">
        <f t="shared" ref="R242:AA242" si="139">SUM(R243:R244)</f>
        <v>0</v>
      </c>
      <c r="S242" s="3">
        <f t="shared" si="139"/>
        <v>0</v>
      </c>
      <c r="T242" s="3">
        <f t="shared" si="139"/>
        <v>0</v>
      </c>
      <c r="U242" s="3">
        <f t="shared" si="139"/>
        <v>0</v>
      </c>
      <c r="V242" s="3">
        <f t="shared" si="139"/>
        <v>0</v>
      </c>
      <c r="W242" s="3">
        <f t="shared" si="139"/>
        <v>0</v>
      </c>
      <c r="X242" s="3">
        <f t="shared" si="139"/>
        <v>0</v>
      </c>
      <c r="Y242" s="3">
        <f t="shared" si="139"/>
        <v>0</v>
      </c>
      <c r="Z242" s="3">
        <f t="shared" si="139"/>
        <v>0</v>
      </c>
      <c r="AA242" s="3">
        <f t="shared" si="139"/>
        <v>0</v>
      </c>
      <c r="AB242" s="3">
        <f t="shared" ref="AB242:AJ242" si="140">AB245+AB243</f>
        <v>0</v>
      </c>
      <c r="AC242" s="3">
        <f t="shared" si="140"/>
        <v>0</v>
      </c>
      <c r="AD242" s="3">
        <f t="shared" si="140"/>
        <v>0</v>
      </c>
      <c r="AE242" s="3">
        <f t="shared" si="140"/>
        <v>0</v>
      </c>
      <c r="AF242" s="3">
        <f t="shared" si="140"/>
        <v>0</v>
      </c>
      <c r="AG242" s="3">
        <f t="shared" si="140"/>
        <v>0</v>
      </c>
      <c r="AH242" s="3">
        <f t="shared" si="140"/>
        <v>0</v>
      </c>
      <c r="AI242" s="3">
        <f t="shared" si="140"/>
        <v>0</v>
      </c>
      <c r="AJ242" s="3">
        <f t="shared" si="140"/>
        <v>0</v>
      </c>
      <c r="AK242" s="3">
        <f>P242-Q242</f>
        <v>2.7</v>
      </c>
      <c r="AL242" s="3">
        <f>AK242</f>
        <v>2.7</v>
      </c>
      <c r="AM242" s="318">
        <f>ROUND((Q242*100%/P242*100),2)</f>
        <v>0</v>
      </c>
      <c r="AN242" s="3">
        <f>AN245</f>
        <v>0</v>
      </c>
      <c r="AO242" s="3">
        <f>AO245</f>
        <v>0</v>
      </c>
      <c r="AP242" s="633"/>
      <c r="AQ242" s="95">
        <v>45</v>
      </c>
    </row>
    <row r="243" spans="1:43" ht="19.5" customHeight="1" x14ac:dyDescent="0.25">
      <c r="A243" s="1107"/>
      <c r="B243" s="1" t="s">
        <v>15</v>
      </c>
      <c r="C243" s="654"/>
      <c r="D243" s="654"/>
      <c r="E243" s="341"/>
      <c r="F243" s="831"/>
      <c r="G243" s="341"/>
      <c r="H243" s="1154"/>
      <c r="I243" s="1104"/>
      <c r="J243" s="1152"/>
      <c r="K243" s="47"/>
      <c r="L243" s="47">
        <f>SUM(M243:O243)</f>
        <v>2081.9299999999998</v>
      </c>
      <c r="M243" s="4">
        <v>0</v>
      </c>
      <c r="N243" s="4">
        <v>2081.9299999999998</v>
      </c>
      <c r="O243" s="4">
        <f t="shared" ref="O243:AO243" si="141">O244</f>
        <v>0</v>
      </c>
      <c r="P243" s="4">
        <v>2.7</v>
      </c>
      <c r="Q243" s="4">
        <v>0</v>
      </c>
      <c r="R243" s="4">
        <f t="shared" si="141"/>
        <v>0</v>
      </c>
      <c r="S243" s="4">
        <f t="shared" si="141"/>
        <v>0</v>
      </c>
      <c r="T243" s="4">
        <f t="shared" si="141"/>
        <v>0</v>
      </c>
      <c r="U243" s="4">
        <f t="shared" si="141"/>
        <v>0</v>
      </c>
      <c r="V243" s="4">
        <f t="shared" si="141"/>
        <v>0</v>
      </c>
      <c r="W243" s="4">
        <f t="shared" si="141"/>
        <v>0</v>
      </c>
      <c r="X243" s="4">
        <f t="shared" si="141"/>
        <v>0</v>
      </c>
      <c r="Y243" s="4">
        <f t="shared" si="141"/>
        <v>0</v>
      </c>
      <c r="Z243" s="268"/>
      <c r="AA243" s="4">
        <v>0</v>
      </c>
      <c r="AB243" s="4">
        <f t="shared" si="141"/>
        <v>0</v>
      </c>
      <c r="AC243" s="4">
        <f t="shared" si="141"/>
        <v>0</v>
      </c>
      <c r="AD243" s="4">
        <f t="shared" si="141"/>
        <v>0</v>
      </c>
      <c r="AE243" s="4">
        <f t="shared" si="141"/>
        <v>0</v>
      </c>
      <c r="AF243" s="4">
        <f t="shared" si="141"/>
        <v>0</v>
      </c>
      <c r="AG243" s="4">
        <f t="shared" si="141"/>
        <v>0</v>
      </c>
      <c r="AH243" s="4">
        <v>0</v>
      </c>
      <c r="AI243" s="4">
        <v>0</v>
      </c>
      <c r="AJ243" s="4">
        <v>0</v>
      </c>
      <c r="AK243" s="4">
        <f t="shared" si="141"/>
        <v>0</v>
      </c>
      <c r="AL243" s="4">
        <f t="shared" si="141"/>
        <v>0</v>
      </c>
      <c r="AM243" s="4">
        <f t="shared" si="141"/>
        <v>0</v>
      </c>
      <c r="AN243" s="4">
        <f t="shared" si="141"/>
        <v>0</v>
      </c>
      <c r="AO243" s="4">
        <f t="shared" si="141"/>
        <v>0</v>
      </c>
      <c r="AP243" s="1113"/>
      <c r="AQ243" s="268"/>
    </row>
    <row r="244" spans="1:43" ht="18" customHeight="1" x14ac:dyDescent="0.25">
      <c r="A244" s="1107"/>
      <c r="B244" s="575" t="s">
        <v>16</v>
      </c>
      <c r="C244" s="654"/>
      <c r="D244" s="654"/>
      <c r="E244" s="341"/>
      <c r="F244" s="831"/>
      <c r="G244" s="341"/>
      <c r="H244" s="1154"/>
      <c r="I244" s="1104"/>
      <c r="J244" s="1152"/>
      <c r="K244" s="4"/>
      <c r="L244" s="4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268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1113"/>
      <c r="AQ244" s="268"/>
    </row>
    <row r="245" spans="1:43" ht="54" hidden="1" customHeight="1" x14ac:dyDescent="0.25">
      <c r="A245" s="1332" t="s">
        <v>139</v>
      </c>
      <c r="B245" s="1613" t="s">
        <v>209</v>
      </c>
      <c r="C245" s="1614"/>
      <c r="D245" s="1614"/>
      <c r="E245" s="1614"/>
      <c r="F245" s="1614"/>
      <c r="G245" s="1614"/>
      <c r="H245" s="1615"/>
      <c r="I245" s="23" t="s">
        <v>19</v>
      </c>
      <c r="J245" s="1137">
        <v>0</v>
      </c>
      <c r="K245" s="1137">
        <v>0</v>
      </c>
      <c r="L245" s="47">
        <f>M245+N245+O245</f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96"/>
      <c r="AA245" s="47">
        <v>0</v>
      </c>
      <c r="AB245" s="47">
        <v>0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397"/>
      <c r="AQ245" s="96"/>
    </row>
    <row r="246" spans="1:43" ht="39.75" hidden="1" customHeight="1" x14ac:dyDescent="0.25">
      <c r="A246" s="1333"/>
      <c r="B246" s="1616"/>
      <c r="C246" s="1617"/>
      <c r="D246" s="1617"/>
      <c r="E246" s="1617"/>
      <c r="F246" s="1617"/>
      <c r="G246" s="1617"/>
      <c r="H246" s="1618"/>
      <c r="I246" s="23" t="s">
        <v>20</v>
      </c>
      <c r="J246" s="1137" t="e">
        <f>K246+L246</f>
        <v>#REF!</v>
      </c>
      <c r="K246" s="1137" t="e">
        <f>#REF!+K289+K301+K302</f>
        <v>#REF!</v>
      </c>
      <c r="L246" s="47">
        <f t="shared" ref="L246:AM246" si="142">L249+L252++L257+L261+L267+L269+L273+L278+L285+L289</f>
        <v>333768.50999999995</v>
      </c>
      <c r="M246" s="47">
        <f t="shared" si="142"/>
        <v>31936.59</v>
      </c>
      <c r="N246" s="47">
        <f t="shared" si="142"/>
        <v>80827.610000000015</v>
      </c>
      <c r="O246" s="47">
        <f t="shared" si="142"/>
        <v>46251.09</v>
      </c>
      <c r="P246" s="47">
        <f t="shared" si="142"/>
        <v>53453.89</v>
      </c>
      <c r="Q246" s="47">
        <f t="shared" si="142"/>
        <v>1891.4518599999999</v>
      </c>
      <c r="R246" s="47">
        <f t="shared" si="142"/>
        <v>784.17799999999988</v>
      </c>
      <c r="S246" s="47">
        <f t="shared" si="142"/>
        <v>784.17799999999988</v>
      </c>
      <c r="T246" s="47">
        <f t="shared" si="142"/>
        <v>3249.636</v>
      </c>
      <c r="U246" s="47">
        <f t="shared" si="142"/>
        <v>3253.0360000000001</v>
      </c>
      <c r="V246" s="47">
        <f t="shared" si="142"/>
        <v>157.59</v>
      </c>
      <c r="W246" s="47">
        <f t="shared" si="142"/>
        <v>1096.5039999999999</v>
      </c>
      <c r="X246" s="47">
        <f t="shared" si="142"/>
        <v>0</v>
      </c>
      <c r="Y246" s="47">
        <f t="shared" si="142"/>
        <v>0</v>
      </c>
      <c r="Z246" s="96"/>
      <c r="AA246" s="47">
        <f t="shared" si="142"/>
        <v>1932.80186</v>
      </c>
      <c r="AB246" s="47">
        <f t="shared" si="142"/>
        <v>0</v>
      </c>
      <c r="AC246" s="47">
        <f t="shared" si="142"/>
        <v>2488.15</v>
      </c>
      <c r="AD246" s="47">
        <f t="shared" si="142"/>
        <v>64858.980889999999</v>
      </c>
      <c r="AE246" s="47">
        <f t="shared" si="142"/>
        <v>0</v>
      </c>
      <c r="AF246" s="47">
        <f t="shared" si="142"/>
        <v>0</v>
      </c>
      <c r="AG246" s="47">
        <f t="shared" si="142"/>
        <v>0</v>
      </c>
      <c r="AH246" s="47">
        <f t="shared" si="142"/>
        <v>0</v>
      </c>
      <c r="AI246" s="47">
        <f t="shared" si="142"/>
        <v>0</v>
      </c>
      <c r="AJ246" s="47">
        <f t="shared" si="142"/>
        <v>0</v>
      </c>
      <c r="AK246" s="47">
        <f t="shared" si="142"/>
        <v>44126.939999999995</v>
      </c>
      <c r="AL246" s="47">
        <f t="shared" si="142"/>
        <v>44126.939999999995</v>
      </c>
      <c r="AM246" s="47">
        <f t="shared" si="142"/>
        <v>0</v>
      </c>
      <c r="AN246" s="47">
        <f>AN249+AN252++AN257+AN260+AN267+AN269+AN273+AN278+AN285+AN288</f>
        <v>0</v>
      </c>
      <c r="AO246" s="47">
        <f>AO249+AO252++AO257+AO260+AO267+AO269+AO273+AO278+AO285+AO288</f>
        <v>0</v>
      </c>
      <c r="AP246" s="397"/>
      <c r="AQ246" s="96"/>
    </row>
    <row r="247" spans="1:43" ht="26.25" hidden="1" customHeight="1" x14ac:dyDescent="0.25">
      <c r="A247" s="1333"/>
      <c r="B247" s="1616"/>
      <c r="C247" s="1617"/>
      <c r="D247" s="1617"/>
      <c r="E247" s="1617"/>
      <c r="F247" s="1617"/>
      <c r="G247" s="1617"/>
      <c r="H247" s="1618"/>
      <c r="I247" s="23" t="s">
        <v>10</v>
      </c>
      <c r="J247" s="1137">
        <v>0</v>
      </c>
      <c r="K247" s="1137">
        <v>0</v>
      </c>
      <c r="L247" s="47">
        <f t="shared" ref="L247:AM247" si="143">L264+L265+L293</f>
        <v>297742.64</v>
      </c>
      <c r="M247" s="47">
        <f t="shared" si="143"/>
        <v>295242.64</v>
      </c>
      <c r="N247" s="47">
        <f t="shared" si="143"/>
        <v>297742.64</v>
      </c>
      <c r="O247" s="47">
        <f t="shared" si="143"/>
        <v>297742.64</v>
      </c>
      <c r="P247" s="47">
        <f t="shared" si="143"/>
        <v>0</v>
      </c>
      <c r="Q247" s="47">
        <f t="shared" si="143"/>
        <v>96908.958719999995</v>
      </c>
      <c r="R247" s="47">
        <f t="shared" si="143"/>
        <v>21705.95</v>
      </c>
      <c r="S247" s="47">
        <f t="shared" si="143"/>
        <v>21705.95</v>
      </c>
      <c r="T247" s="47">
        <f t="shared" si="143"/>
        <v>21705.95</v>
      </c>
      <c r="U247" s="47">
        <f t="shared" si="143"/>
        <v>21705.95</v>
      </c>
      <c r="V247" s="47">
        <f t="shared" si="143"/>
        <v>50383.255000000005</v>
      </c>
      <c r="W247" s="47">
        <f t="shared" si="143"/>
        <v>50383.255000000005</v>
      </c>
      <c r="X247" s="47">
        <f t="shared" si="143"/>
        <v>21705.95</v>
      </c>
      <c r="Y247" s="47">
        <f t="shared" si="143"/>
        <v>21705.95</v>
      </c>
      <c r="Z247" s="96"/>
      <c r="AA247" s="47">
        <f t="shared" si="143"/>
        <v>104295.30119</v>
      </c>
      <c r="AB247" s="47">
        <f t="shared" si="143"/>
        <v>17522.268</v>
      </c>
      <c r="AC247" s="47">
        <f t="shared" si="143"/>
        <v>32099.796000000002</v>
      </c>
      <c r="AD247" s="47">
        <f t="shared" si="143"/>
        <v>83597.849889999998</v>
      </c>
      <c r="AE247" s="47">
        <f t="shared" si="143"/>
        <v>0</v>
      </c>
      <c r="AF247" s="47">
        <f t="shared" si="143"/>
        <v>0</v>
      </c>
      <c r="AG247" s="47">
        <f t="shared" si="143"/>
        <v>0</v>
      </c>
      <c r="AH247" s="47">
        <f t="shared" si="143"/>
        <v>0</v>
      </c>
      <c r="AI247" s="47">
        <f t="shared" si="143"/>
        <v>0</v>
      </c>
      <c r="AJ247" s="47">
        <f t="shared" si="143"/>
        <v>0</v>
      </c>
      <c r="AK247" s="47">
        <f t="shared" si="143"/>
        <v>0</v>
      </c>
      <c r="AL247" s="47">
        <f t="shared" si="143"/>
        <v>0</v>
      </c>
      <c r="AM247" s="47">
        <f t="shared" si="143"/>
        <v>0</v>
      </c>
      <c r="AN247" s="47">
        <v>0</v>
      </c>
      <c r="AO247" s="47">
        <v>0</v>
      </c>
      <c r="AP247" s="397"/>
      <c r="AQ247" s="96"/>
    </row>
    <row r="248" spans="1:43" ht="25.5" hidden="1" x14ac:dyDescent="0.25">
      <c r="A248" s="1334"/>
      <c r="B248" s="1619"/>
      <c r="C248" s="1620"/>
      <c r="D248" s="1620"/>
      <c r="E248" s="1620"/>
      <c r="F248" s="1620"/>
      <c r="G248" s="1620"/>
      <c r="H248" s="1621"/>
      <c r="I248" s="23" t="s">
        <v>9</v>
      </c>
      <c r="J248" s="1137">
        <v>0</v>
      </c>
      <c r="K248" s="1137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1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s="327" customFormat="1" ht="27.75" customHeight="1" x14ac:dyDescent="0.25">
      <c r="A249" s="1450" t="s">
        <v>184</v>
      </c>
      <c r="B249" s="780" t="s">
        <v>89</v>
      </c>
      <c r="C249" s="133"/>
      <c r="D249" s="133"/>
      <c r="E249" s="133"/>
      <c r="F249" s="133"/>
      <c r="G249" s="778"/>
      <c r="H249" s="778"/>
      <c r="I249" s="1463" t="s">
        <v>20</v>
      </c>
      <c r="J249" s="1123"/>
      <c r="K249" s="3"/>
      <c r="L249" s="3">
        <f>L250</f>
        <v>5195.03</v>
      </c>
      <c r="M249" s="3">
        <f>M250</f>
        <v>0</v>
      </c>
      <c r="N249" s="3">
        <f t="shared" ref="N249:AO250" si="144">N250</f>
        <v>5037.4399999999996</v>
      </c>
      <c r="O249" s="3">
        <f t="shared" si="144"/>
        <v>0</v>
      </c>
      <c r="P249" s="3">
        <v>416.03</v>
      </c>
      <c r="Q249" s="3">
        <v>0</v>
      </c>
      <c r="R249" s="3">
        <f t="shared" si="144"/>
        <v>0</v>
      </c>
      <c r="S249" s="3">
        <f t="shared" si="144"/>
        <v>0</v>
      </c>
      <c r="T249" s="3">
        <f t="shared" si="144"/>
        <v>0</v>
      </c>
      <c r="U249" s="3">
        <f t="shared" si="144"/>
        <v>0</v>
      </c>
      <c r="V249" s="3">
        <f t="shared" si="144"/>
        <v>157.59</v>
      </c>
      <c r="W249" s="3">
        <f t="shared" si="144"/>
        <v>1096.5039999999999</v>
      </c>
      <c r="X249" s="3">
        <f t="shared" si="144"/>
        <v>0</v>
      </c>
      <c r="Y249" s="3">
        <f t="shared" si="144"/>
        <v>0</v>
      </c>
      <c r="Z249" s="3">
        <v>0</v>
      </c>
      <c r="AA249" s="3">
        <v>0</v>
      </c>
      <c r="AB249" s="3">
        <f t="shared" si="144"/>
        <v>0</v>
      </c>
      <c r="AC249" s="3">
        <f t="shared" si="144"/>
        <v>0</v>
      </c>
      <c r="AD249" s="3">
        <f t="shared" si="144"/>
        <v>1096.5039999999999</v>
      </c>
      <c r="AE249" s="3">
        <f t="shared" si="144"/>
        <v>0</v>
      </c>
      <c r="AF249" s="3">
        <f t="shared" si="144"/>
        <v>0</v>
      </c>
      <c r="AG249" s="3">
        <f t="shared" si="144"/>
        <v>0</v>
      </c>
      <c r="AH249" s="3">
        <f t="shared" si="144"/>
        <v>0</v>
      </c>
      <c r="AI249" s="3">
        <f t="shared" si="144"/>
        <v>0</v>
      </c>
      <c r="AJ249" s="3">
        <f t="shared" si="144"/>
        <v>0</v>
      </c>
      <c r="AK249" s="3">
        <f t="shared" si="144"/>
        <v>0</v>
      </c>
      <c r="AL249" s="3">
        <f t="shared" si="144"/>
        <v>0</v>
      </c>
      <c r="AM249" s="3">
        <f t="shared" si="144"/>
        <v>0</v>
      </c>
      <c r="AN249" s="3">
        <f t="shared" si="144"/>
        <v>0</v>
      </c>
      <c r="AO249" s="3">
        <f t="shared" si="144"/>
        <v>0</v>
      </c>
      <c r="AP249" s="633"/>
      <c r="AQ249" s="3">
        <v>0</v>
      </c>
    </row>
    <row r="250" spans="1:43" ht="15.75" hidden="1" customHeight="1" x14ac:dyDescent="0.25">
      <c r="A250" s="1656"/>
      <c r="B250" s="47" t="s">
        <v>15</v>
      </c>
      <c r="C250" s="341"/>
      <c r="D250" s="341"/>
      <c r="E250" s="341"/>
      <c r="F250" s="341"/>
      <c r="G250" s="313"/>
      <c r="H250" s="1153"/>
      <c r="I250" s="1465"/>
      <c r="J250" s="1138"/>
      <c r="K250" s="4"/>
      <c r="L250" s="47">
        <v>5195.03</v>
      </c>
      <c r="M250" s="50">
        <v>0</v>
      </c>
      <c r="N250" s="50">
        <v>5037.4399999999996</v>
      </c>
      <c r="O250" s="50">
        <v>0</v>
      </c>
      <c r="P250" s="50">
        <v>157.59</v>
      </c>
      <c r="Q250" s="447">
        <f>Q251</f>
        <v>1096.5039999999999</v>
      </c>
      <c r="R250" s="447">
        <f t="shared" si="144"/>
        <v>0</v>
      </c>
      <c r="S250" s="447">
        <f t="shared" si="144"/>
        <v>0</v>
      </c>
      <c r="T250" s="447">
        <f t="shared" si="144"/>
        <v>0</v>
      </c>
      <c r="U250" s="447">
        <f t="shared" si="144"/>
        <v>0</v>
      </c>
      <c r="V250" s="447">
        <f t="shared" si="144"/>
        <v>157.59</v>
      </c>
      <c r="W250" s="447">
        <f t="shared" si="144"/>
        <v>1096.5039999999999</v>
      </c>
      <c r="X250" s="447">
        <f t="shared" si="144"/>
        <v>0</v>
      </c>
      <c r="Y250" s="447">
        <f t="shared" si="144"/>
        <v>0</v>
      </c>
      <c r="Z250" s="584"/>
      <c r="AA250" s="447">
        <f t="shared" si="144"/>
        <v>1096.5039999999999</v>
      </c>
      <c r="AB250" s="447">
        <f t="shared" si="144"/>
        <v>0</v>
      </c>
      <c r="AC250" s="447">
        <f t="shared" si="144"/>
        <v>0</v>
      </c>
      <c r="AD250" s="447">
        <f t="shared" si="144"/>
        <v>1096.5039999999999</v>
      </c>
      <c r="AE250" s="447">
        <f t="shared" si="144"/>
        <v>0</v>
      </c>
      <c r="AF250" s="447">
        <f t="shared" si="144"/>
        <v>0</v>
      </c>
      <c r="AG250" s="447">
        <f t="shared" si="144"/>
        <v>0</v>
      </c>
      <c r="AH250" s="447">
        <f t="shared" si="144"/>
        <v>0</v>
      </c>
      <c r="AI250" s="447">
        <f t="shared" si="144"/>
        <v>0</v>
      </c>
      <c r="AJ250" s="447">
        <v>0</v>
      </c>
      <c r="AK250" s="447">
        <v>0</v>
      </c>
      <c r="AL250" s="447">
        <v>0</v>
      </c>
      <c r="AM250" s="50">
        <v>0</v>
      </c>
      <c r="AN250" s="50">
        <v>0</v>
      </c>
      <c r="AO250" s="50">
        <v>0</v>
      </c>
      <c r="AP250" s="412"/>
      <c r="AQ250" s="584"/>
    </row>
    <row r="251" spans="1:43" s="266" customFormat="1" ht="15.75" hidden="1" customHeight="1" x14ac:dyDescent="0.25">
      <c r="A251" s="1657"/>
      <c r="B251" s="96" t="s">
        <v>323</v>
      </c>
      <c r="C251" s="453"/>
      <c r="D251" s="453"/>
      <c r="E251" s="453"/>
      <c r="F251" s="453"/>
      <c r="G251" s="363"/>
      <c r="H251" s="364"/>
      <c r="I251" s="370"/>
      <c r="J251" s="651"/>
      <c r="K251" s="268"/>
      <c r="L251" s="96"/>
      <c r="M251" s="263"/>
      <c r="N251" s="263"/>
      <c r="O251" s="263"/>
      <c r="P251" s="263"/>
      <c r="Q251" s="584">
        <f>W251</f>
        <v>1096.5039999999999</v>
      </c>
      <c r="R251" s="584"/>
      <c r="S251" s="584"/>
      <c r="T251" s="584"/>
      <c r="U251" s="584"/>
      <c r="V251" s="584">
        <v>157.59</v>
      </c>
      <c r="W251" s="584">
        <v>1096.5039999999999</v>
      </c>
      <c r="X251" s="584"/>
      <c r="Y251" s="584"/>
      <c r="Z251" s="584"/>
      <c r="AA251" s="584">
        <f>AD251</f>
        <v>1096.5039999999999</v>
      </c>
      <c r="AB251" s="584"/>
      <c r="AC251" s="584"/>
      <c r="AD251" s="584">
        <v>1096.5039999999999</v>
      </c>
      <c r="AE251" s="584"/>
      <c r="AF251" s="584"/>
      <c r="AG251" s="584"/>
      <c r="AH251" s="584"/>
      <c r="AI251" s="584"/>
      <c r="AJ251" s="584"/>
      <c r="AK251" s="584"/>
      <c r="AL251" s="584"/>
      <c r="AM251" s="263"/>
      <c r="AN251" s="263"/>
      <c r="AO251" s="263"/>
      <c r="AP251" s="413"/>
      <c r="AQ251" s="584"/>
    </row>
    <row r="252" spans="1:43" s="327" customFormat="1" ht="28.5" customHeight="1" x14ac:dyDescent="0.25">
      <c r="A252" s="1450" t="s">
        <v>185</v>
      </c>
      <c r="B252" s="780" t="s">
        <v>187</v>
      </c>
      <c r="C252" s="133"/>
      <c r="D252" s="133"/>
      <c r="E252" s="133"/>
      <c r="F252" s="133"/>
      <c r="G252" s="778"/>
      <c r="H252" s="778"/>
      <c r="I252" s="1463" t="s">
        <v>20</v>
      </c>
      <c r="J252" s="1123"/>
      <c r="K252" s="3"/>
      <c r="L252" s="3">
        <f>L253+L256</f>
        <v>134036.41</v>
      </c>
      <c r="M252" s="3">
        <f t="shared" ref="M252:AO252" si="145">M253+M256</f>
        <v>1825.11</v>
      </c>
      <c r="N252" s="3">
        <f t="shared" si="145"/>
        <v>57476.200000000004</v>
      </c>
      <c r="O252" s="3">
        <f t="shared" si="145"/>
        <v>0</v>
      </c>
      <c r="P252" s="3">
        <f t="shared" si="145"/>
        <v>8907.52</v>
      </c>
      <c r="Q252" s="3">
        <f t="shared" si="145"/>
        <v>0</v>
      </c>
      <c r="R252" s="3">
        <f t="shared" si="145"/>
        <v>0</v>
      </c>
      <c r="S252" s="3">
        <f t="shared" si="145"/>
        <v>0</v>
      </c>
      <c r="T252" s="3">
        <f t="shared" si="145"/>
        <v>0</v>
      </c>
      <c r="U252" s="3">
        <f t="shared" si="145"/>
        <v>0</v>
      </c>
      <c r="V252" s="3">
        <f t="shared" si="145"/>
        <v>0</v>
      </c>
      <c r="W252" s="3">
        <f t="shared" si="145"/>
        <v>0</v>
      </c>
      <c r="X252" s="3">
        <f t="shared" si="145"/>
        <v>0</v>
      </c>
      <c r="Y252" s="3">
        <f t="shared" si="145"/>
        <v>0</v>
      </c>
      <c r="Z252" s="95">
        <v>0</v>
      </c>
      <c r="AA252" s="3">
        <f>AA253+AA256</f>
        <v>0</v>
      </c>
      <c r="AB252" s="3">
        <f t="shared" si="145"/>
        <v>0</v>
      </c>
      <c r="AC252" s="3">
        <f t="shared" si="145"/>
        <v>0</v>
      </c>
      <c r="AD252" s="3">
        <f t="shared" si="145"/>
        <v>0</v>
      </c>
      <c r="AE252" s="3">
        <f t="shared" si="145"/>
        <v>0</v>
      </c>
      <c r="AF252" s="3">
        <f t="shared" si="145"/>
        <v>0</v>
      </c>
      <c r="AG252" s="3">
        <f t="shared" si="145"/>
        <v>0</v>
      </c>
      <c r="AH252" s="3">
        <f t="shared" si="145"/>
        <v>0</v>
      </c>
      <c r="AI252" s="3">
        <f t="shared" si="145"/>
        <v>0</v>
      </c>
      <c r="AJ252" s="3">
        <f t="shared" si="145"/>
        <v>0</v>
      </c>
      <c r="AK252" s="3">
        <f t="shared" si="145"/>
        <v>0</v>
      </c>
      <c r="AL252" s="3">
        <f t="shared" si="145"/>
        <v>0</v>
      </c>
      <c r="AM252" s="3">
        <f t="shared" si="145"/>
        <v>0</v>
      </c>
      <c r="AN252" s="3">
        <f t="shared" si="145"/>
        <v>0</v>
      </c>
      <c r="AO252" s="3">
        <f t="shared" si="145"/>
        <v>0</v>
      </c>
      <c r="AP252" s="633" t="s">
        <v>256</v>
      </c>
      <c r="AQ252" s="95">
        <v>0</v>
      </c>
    </row>
    <row r="253" spans="1:43" ht="15.75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1153"/>
      <c r="I253" s="1464"/>
      <c r="J253" s="1138"/>
      <c r="K253" s="4"/>
      <c r="L253" s="47">
        <v>2401.5100000000002</v>
      </c>
      <c r="M253" s="47">
        <v>1825.11</v>
      </c>
      <c r="N253" s="47">
        <v>576.4</v>
      </c>
      <c r="O253" s="47">
        <v>0</v>
      </c>
      <c r="P253" s="47">
        <v>0</v>
      </c>
      <c r="Q253" s="47">
        <f>SUM(Q254:Q255)</f>
        <v>0</v>
      </c>
      <c r="R253" s="50">
        <f>SUM(R254:R255)</f>
        <v>0</v>
      </c>
      <c r="S253" s="50">
        <f t="shared" ref="S253:Y253" si="146">SUM(S254:S255)</f>
        <v>0</v>
      </c>
      <c r="T253" s="50">
        <f t="shared" si="146"/>
        <v>0</v>
      </c>
      <c r="U253" s="50">
        <f t="shared" si="146"/>
        <v>0</v>
      </c>
      <c r="V253" s="50">
        <f t="shared" si="146"/>
        <v>0</v>
      </c>
      <c r="W253" s="50">
        <f t="shared" si="146"/>
        <v>0</v>
      </c>
      <c r="X253" s="447">
        <f t="shared" si="146"/>
        <v>0</v>
      </c>
      <c r="Y253" s="447">
        <f t="shared" si="146"/>
        <v>0</v>
      </c>
      <c r="Z253" s="584"/>
      <c r="AA253" s="447">
        <f>AA254+AA255</f>
        <v>0</v>
      </c>
      <c r="AB253" s="50">
        <f>AB254+AB255</f>
        <v>0</v>
      </c>
      <c r="AC253" s="50">
        <f>AC254+AC255</f>
        <v>0</v>
      </c>
      <c r="AD253" s="50">
        <f>AD254+AD255</f>
        <v>0</v>
      </c>
      <c r="AE253" s="50">
        <f>AE254</f>
        <v>0</v>
      </c>
      <c r="AF253" s="50">
        <v>0</v>
      </c>
      <c r="AG253" s="50">
        <v>0</v>
      </c>
      <c r="AH253" s="50">
        <v>0</v>
      </c>
      <c r="AI253" s="50"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6"/>
      <c r="B254" s="452" t="s">
        <v>267</v>
      </c>
      <c r="C254" s="453"/>
      <c r="D254" s="453"/>
      <c r="E254" s="453"/>
      <c r="F254" s="453"/>
      <c r="G254" s="453"/>
      <c r="H254" s="454"/>
      <c r="I254" s="1464"/>
      <c r="J254" s="651"/>
      <c r="K254" s="268"/>
      <c r="L254" s="96"/>
      <c r="M254" s="268"/>
      <c r="N254" s="268"/>
      <c r="O254" s="268"/>
      <c r="P254" s="268">
        <f>Q254</f>
        <v>0</v>
      </c>
      <c r="Q254" s="455">
        <f>S254+U254+W254</f>
        <v>0</v>
      </c>
      <c r="R254" s="455"/>
      <c r="S254" s="455"/>
      <c r="T254" s="455">
        <v>0</v>
      </c>
      <c r="U254" s="455">
        <v>0</v>
      </c>
      <c r="V254" s="455"/>
      <c r="W254" s="455"/>
      <c r="X254" s="455"/>
      <c r="Y254" s="455"/>
      <c r="Z254" s="455"/>
      <c r="AA254" s="455">
        <f>SUM(AB254:AE254)</f>
        <v>0</v>
      </c>
      <c r="AB254" s="455"/>
      <c r="AC254" s="455">
        <v>0</v>
      </c>
      <c r="AD254" s="455">
        <v>0</v>
      </c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6"/>
      <c r="AQ254" s="455"/>
    </row>
    <row r="255" spans="1:43" s="266" customFormat="1" ht="15.75" hidden="1" customHeight="1" x14ac:dyDescent="0.25">
      <c r="A255" s="1656"/>
      <c r="B255" s="452" t="s">
        <v>271</v>
      </c>
      <c r="C255" s="453"/>
      <c r="D255" s="453"/>
      <c r="E255" s="453"/>
      <c r="F255" s="453"/>
      <c r="G255" s="453"/>
      <c r="H255" s="454"/>
      <c r="I255" s="1464"/>
      <c r="J255" s="651"/>
      <c r="K255" s="268"/>
      <c r="L255" s="96"/>
      <c r="M255" s="268"/>
      <c r="N255" s="268"/>
      <c r="O255" s="268"/>
      <c r="P255" s="268"/>
      <c r="Q255" s="489">
        <f>S255+U255+W255+Y255</f>
        <v>0</v>
      </c>
      <c r="R255" s="489"/>
      <c r="S255" s="489"/>
      <c r="T255" s="489"/>
      <c r="U255" s="489"/>
      <c r="V255" s="489">
        <f>W255</f>
        <v>0</v>
      </c>
      <c r="W255" s="489">
        <v>0</v>
      </c>
      <c r="X255" s="489">
        <f>Y255</f>
        <v>0</v>
      </c>
      <c r="Y255" s="489">
        <v>0</v>
      </c>
      <c r="Z255" s="489"/>
      <c r="AA255" s="489">
        <f>SUM(AB255:AE255)</f>
        <v>0</v>
      </c>
      <c r="AB255" s="489"/>
      <c r="AC255" s="489"/>
      <c r="AD255" s="489">
        <v>0</v>
      </c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6"/>
      <c r="AQ255" s="489"/>
    </row>
    <row r="256" spans="1:43" ht="15.75" customHeight="1" x14ac:dyDescent="0.25">
      <c r="A256" s="1657"/>
      <c r="B256" s="340" t="s">
        <v>32</v>
      </c>
      <c r="C256" s="341"/>
      <c r="D256" s="341"/>
      <c r="E256" s="341"/>
      <c r="F256" s="341"/>
      <c r="G256" s="341"/>
      <c r="H256" s="1154"/>
      <c r="I256" s="1662"/>
      <c r="J256" s="1138"/>
      <c r="K256" s="4"/>
      <c r="L256" s="47">
        <v>131634.9</v>
      </c>
      <c r="M256" s="343">
        <v>0</v>
      </c>
      <c r="N256" s="47">
        <v>56899.8</v>
      </c>
      <c r="O256" s="343">
        <v>0</v>
      </c>
      <c r="P256" s="47">
        <v>8907.52</v>
      </c>
      <c r="Q256" s="47">
        <v>0</v>
      </c>
      <c r="R256" s="343">
        <v>0</v>
      </c>
      <c r="S256" s="343">
        <v>0</v>
      </c>
      <c r="T256" s="343">
        <v>0</v>
      </c>
      <c r="U256" s="343">
        <v>0</v>
      </c>
      <c r="V256" s="343">
        <v>0</v>
      </c>
      <c r="W256" s="343">
        <v>0</v>
      </c>
      <c r="X256" s="343">
        <v>0</v>
      </c>
      <c r="Y256" s="343">
        <v>0</v>
      </c>
      <c r="Z256" s="455"/>
      <c r="AA256" s="343">
        <v>0</v>
      </c>
      <c r="AB256" s="343">
        <v>0</v>
      </c>
      <c r="AC256" s="343">
        <v>0</v>
      </c>
      <c r="AD256" s="343">
        <v>0</v>
      </c>
      <c r="AE256" s="343">
        <v>0</v>
      </c>
      <c r="AF256" s="343">
        <v>0</v>
      </c>
      <c r="AG256" s="343">
        <v>0</v>
      </c>
      <c r="AH256" s="343">
        <v>0</v>
      </c>
      <c r="AI256" s="343">
        <v>0</v>
      </c>
      <c r="AJ256" s="343">
        <v>0</v>
      </c>
      <c r="AK256" s="343">
        <v>0</v>
      </c>
      <c r="AL256" s="343">
        <v>0</v>
      </c>
      <c r="AM256" s="343">
        <v>0</v>
      </c>
      <c r="AN256" s="343">
        <v>0</v>
      </c>
      <c r="AO256" s="343">
        <v>0</v>
      </c>
      <c r="AP256" s="415"/>
      <c r="AQ256" s="455"/>
    </row>
    <row r="257" spans="1:43" s="327" customFormat="1" ht="27.75" customHeight="1" x14ac:dyDescent="0.25">
      <c r="A257" s="1473" t="s">
        <v>186</v>
      </c>
      <c r="B257" s="780" t="s">
        <v>210</v>
      </c>
      <c r="C257" s="1127"/>
      <c r="D257" s="1127"/>
      <c r="E257" s="1127">
        <v>300</v>
      </c>
      <c r="F257" s="1127"/>
      <c r="G257" s="1127">
        <v>2019</v>
      </c>
      <c r="H257" s="1127">
        <v>2019</v>
      </c>
      <c r="I257" s="1493" t="s">
        <v>20</v>
      </c>
      <c r="J257" s="52">
        <f>K257+L257</f>
        <v>27019.38</v>
      </c>
      <c r="K257" s="3">
        <v>0</v>
      </c>
      <c r="L257" s="3">
        <f>L258</f>
        <v>27019.38</v>
      </c>
      <c r="M257" s="3">
        <f>M258</f>
        <v>27019.38</v>
      </c>
      <c r="N257" s="318">
        <v>0</v>
      </c>
      <c r="O257" s="318">
        <v>0</v>
      </c>
      <c r="P257" s="318">
        <f>P258</f>
        <v>0</v>
      </c>
      <c r="Q257" s="318">
        <f>Q258</f>
        <v>0</v>
      </c>
      <c r="R257" s="318">
        <f t="shared" ref="R257:AO258" si="147">R258</f>
        <v>0</v>
      </c>
      <c r="S257" s="318">
        <f t="shared" si="147"/>
        <v>0</v>
      </c>
      <c r="T257" s="318">
        <f t="shared" si="147"/>
        <v>0</v>
      </c>
      <c r="U257" s="318">
        <f t="shared" si="147"/>
        <v>0</v>
      </c>
      <c r="V257" s="318">
        <f t="shared" si="147"/>
        <v>0</v>
      </c>
      <c r="W257" s="318">
        <f t="shared" si="147"/>
        <v>0</v>
      </c>
      <c r="X257" s="318">
        <f t="shared" si="147"/>
        <v>0</v>
      </c>
      <c r="Y257" s="318">
        <f t="shared" si="147"/>
        <v>0</v>
      </c>
      <c r="Z257" s="372">
        <v>0</v>
      </c>
      <c r="AA257" s="318">
        <f t="shared" si="147"/>
        <v>0</v>
      </c>
      <c r="AB257" s="318">
        <f t="shared" si="147"/>
        <v>0</v>
      </c>
      <c r="AC257" s="318">
        <f t="shared" si="147"/>
        <v>0</v>
      </c>
      <c r="AD257" s="318">
        <f t="shared" si="147"/>
        <v>0</v>
      </c>
      <c r="AE257" s="318">
        <f t="shared" si="147"/>
        <v>0</v>
      </c>
      <c r="AF257" s="318">
        <f t="shared" si="147"/>
        <v>0</v>
      </c>
      <c r="AG257" s="318">
        <f t="shared" si="147"/>
        <v>0</v>
      </c>
      <c r="AH257" s="318">
        <f t="shared" si="147"/>
        <v>0</v>
      </c>
      <c r="AI257" s="318">
        <f t="shared" si="147"/>
        <v>0</v>
      </c>
      <c r="AJ257" s="318">
        <f t="shared" si="147"/>
        <v>0</v>
      </c>
      <c r="AK257" s="318">
        <f t="shared" si="147"/>
        <v>0</v>
      </c>
      <c r="AL257" s="318">
        <f t="shared" si="147"/>
        <v>0</v>
      </c>
      <c r="AM257" s="318">
        <f t="shared" si="147"/>
        <v>0</v>
      </c>
      <c r="AN257" s="318">
        <f t="shared" si="147"/>
        <v>0</v>
      </c>
      <c r="AO257" s="318">
        <f t="shared" si="147"/>
        <v>0</v>
      </c>
      <c r="AP257" s="783" t="s">
        <v>273</v>
      </c>
      <c r="AQ257" s="372">
        <v>0</v>
      </c>
    </row>
    <row r="258" spans="1:43" ht="19.5" hidden="1" customHeight="1" x14ac:dyDescent="0.25">
      <c r="A258" s="1663"/>
      <c r="B258" s="1" t="s">
        <v>211</v>
      </c>
      <c r="C258" s="1122"/>
      <c r="D258" s="1122"/>
      <c r="E258" s="1122"/>
      <c r="F258" s="1122"/>
      <c r="G258" s="1122"/>
      <c r="H258" s="1122"/>
      <c r="I258" s="1494"/>
      <c r="J258" s="6"/>
      <c r="K258" s="47"/>
      <c r="L258" s="47">
        <v>27019.38</v>
      </c>
      <c r="M258" s="47">
        <v>27019.38</v>
      </c>
      <c r="N258" s="47">
        <v>0</v>
      </c>
      <c r="O258" s="47">
        <v>0</v>
      </c>
      <c r="P258" s="4">
        <v>0</v>
      </c>
      <c r="Q258" s="4">
        <f>Q259</f>
        <v>0</v>
      </c>
      <c r="R258" s="4">
        <f t="shared" si="147"/>
        <v>0</v>
      </c>
      <c r="S258" s="4">
        <f t="shared" si="147"/>
        <v>0</v>
      </c>
      <c r="T258" s="4">
        <f t="shared" si="147"/>
        <v>0</v>
      </c>
      <c r="U258" s="4">
        <f t="shared" si="147"/>
        <v>0</v>
      </c>
      <c r="V258" s="4">
        <f t="shared" si="147"/>
        <v>0</v>
      </c>
      <c r="W258" s="4">
        <f t="shared" si="147"/>
        <v>0</v>
      </c>
      <c r="X258" s="4">
        <v>0</v>
      </c>
      <c r="Y258" s="4">
        <f t="shared" si="147"/>
        <v>0</v>
      </c>
      <c r="Z258" s="268"/>
      <c r="AA258" s="4">
        <f t="shared" si="147"/>
        <v>0</v>
      </c>
      <c r="AB258" s="4">
        <f t="shared" si="147"/>
        <v>0</v>
      </c>
      <c r="AC258" s="4">
        <f t="shared" si="147"/>
        <v>0</v>
      </c>
      <c r="AD258" s="4">
        <f t="shared" si="147"/>
        <v>0</v>
      </c>
      <c r="AE258" s="4">
        <f t="shared" si="147"/>
        <v>0</v>
      </c>
      <c r="AF258" s="4">
        <f>AF259</f>
        <v>0</v>
      </c>
      <c r="AG258" s="4">
        <f t="shared" si="147"/>
        <v>0</v>
      </c>
      <c r="AH258" s="4">
        <f t="shared" si="147"/>
        <v>0</v>
      </c>
      <c r="AI258" s="4">
        <f t="shared" si="147"/>
        <v>0</v>
      </c>
      <c r="AJ258" s="4">
        <f t="shared" si="147"/>
        <v>0</v>
      </c>
      <c r="AK258" s="4">
        <f t="shared" si="147"/>
        <v>0</v>
      </c>
      <c r="AL258" s="4">
        <f t="shared" si="147"/>
        <v>0</v>
      </c>
      <c r="AM258" s="4">
        <f t="shared" si="147"/>
        <v>0</v>
      </c>
      <c r="AN258" s="4">
        <f t="shared" si="147"/>
        <v>0</v>
      </c>
      <c r="AO258" s="4">
        <f t="shared" si="147"/>
        <v>0</v>
      </c>
      <c r="AP258" s="417"/>
      <c r="AQ258" s="268"/>
    </row>
    <row r="259" spans="1:43" s="266" customFormat="1" ht="15.75" hidden="1" x14ac:dyDescent="0.25">
      <c r="A259" s="267"/>
      <c r="B259" s="102" t="s">
        <v>253</v>
      </c>
      <c r="C259" s="104"/>
      <c r="D259" s="104"/>
      <c r="E259" s="104"/>
      <c r="F259" s="104"/>
      <c r="G259" s="104"/>
      <c r="H259" s="104"/>
      <c r="I259" s="102"/>
      <c r="J259" s="106"/>
      <c r="K259" s="96"/>
      <c r="L259" s="96"/>
      <c r="M259" s="268"/>
      <c r="N259" s="268"/>
      <c r="O259" s="268"/>
      <c r="P259" s="268">
        <f>Q259</f>
        <v>0</v>
      </c>
      <c r="Q259" s="268">
        <f>S259+U259+W259</f>
        <v>0</v>
      </c>
      <c r="R259" s="268">
        <f>S259</f>
        <v>0</v>
      </c>
      <c r="S259" s="268">
        <v>0</v>
      </c>
      <c r="T259" s="268">
        <v>0</v>
      </c>
      <c r="U259" s="268">
        <v>0</v>
      </c>
      <c r="V259" s="268">
        <f>W259</f>
        <v>0</v>
      </c>
      <c r="W259" s="268">
        <v>0</v>
      </c>
      <c r="X259" s="268">
        <v>0</v>
      </c>
      <c r="Y259" s="268">
        <v>0</v>
      </c>
      <c r="Z259" s="268"/>
      <c r="AA259" s="268">
        <f>SUM(AB259:AC259)</f>
        <v>0</v>
      </c>
      <c r="AB259" s="268">
        <v>0</v>
      </c>
      <c r="AC259" s="268">
        <v>0</v>
      </c>
      <c r="AD259" s="268">
        <v>0</v>
      </c>
      <c r="AE259" s="268"/>
      <c r="AF259" s="268">
        <f>SUM(AG259:AI259)</f>
        <v>0</v>
      </c>
      <c r="AG259" s="268"/>
      <c r="AH259" s="268">
        <v>0</v>
      </c>
      <c r="AI259" s="268">
        <v>0</v>
      </c>
      <c r="AJ259" s="268"/>
      <c r="AK259" s="96"/>
      <c r="AL259" s="96"/>
      <c r="AM259" s="96"/>
      <c r="AN259" s="268"/>
      <c r="AO259" s="268"/>
      <c r="AP259" s="418"/>
      <c r="AQ259" s="268"/>
    </row>
    <row r="260" spans="1:43" s="327" customFormat="1" ht="40.5" customHeight="1" x14ac:dyDescent="0.25">
      <c r="A260" s="832" t="s">
        <v>188</v>
      </c>
      <c r="B260" s="780" t="s">
        <v>466</v>
      </c>
      <c r="C260" s="1127">
        <v>63</v>
      </c>
      <c r="D260" s="1127">
        <v>250</v>
      </c>
      <c r="E260" s="1127">
        <v>250</v>
      </c>
      <c r="F260" s="1127"/>
      <c r="G260" s="1127">
        <v>2019</v>
      </c>
      <c r="H260" s="1127">
        <v>2019</v>
      </c>
      <c r="I260" s="780"/>
      <c r="J260" s="52">
        <f>K260+L260</f>
        <v>36691.870000000003</v>
      </c>
      <c r="K260" s="3">
        <v>0</v>
      </c>
      <c r="L260" s="3">
        <f>L261+L264+L265</f>
        <v>36691.870000000003</v>
      </c>
      <c r="M260" s="3">
        <f>M261+M264+M265</f>
        <v>31392.57</v>
      </c>
      <c r="N260" s="3">
        <f>N261+N264+N265</f>
        <v>33892.57</v>
      </c>
      <c r="O260" s="3">
        <f>O261+O264+O265</f>
        <v>33892.57</v>
      </c>
      <c r="P260" s="3">
        <f>P261+P264+P265</f>
        <v>0</v>
      </c>
      <c r="Q260" s="3">
        <f>Q261+Q265</f>
        <v>0</v>
      </c>
      <c r="R260" s="3">
        <f t="shared" ref="R260:AI260" si="148">R261+R265</f>
        <v>138.15199999999999</v>
      </c>
      <c r="S260" s="3">
        <f t="shared" si="148"/>
        <v>138.15199999999999</v>
      </c>
      <c r="T260" s="3">
        <f t="shared" si="148"/>
        <v>2350</v>
      </c>
      <c r="U260" s="3">
        <f t="shared" si="148"/>
        <v>2350</v>
      </c>
      <c r="V260" s="3">
        <f t="shared" si="148"/>
        <v>28677.305</v>
      </c>
      <c r="W260" s="3">
        <f t="shared" si="148"/>
        <v>28677.305</v>
      </c>
      <c r="X260" s="3">
        <f t="shared" si="148"/>
        <v>0</v>
      </c>
      <c r="Y260" s="3">
        <f t="shared" si="148"/>
        <v>0</v>
      </c>
      <c r="Z260" s="3">
        <f t="shared" si="148"/>
        <v>0</v>
      </c>
      <c r="AA260" s="3">
        <f t="shared" si="148"/>
        <v>0</v>
      </c>
      <c r="AB260" s="3">
        <f t="shared" si="148"/>
        <v>0</v>
      </c>
      <c r="AC260" s="3">
        <f t="shared" si="148"/>
        <v>17468.748</v>
      </c>
      <c r="AD260" s="3">
        <f t="shared" si="148"/>
        <v>19862.373</v>
      </c>
      <c r="AE260" s="3">
        <f t="shared" si="148"/>
        <v>0</v>
      </c>
      <c r="AF260" s="3">
        <f t="shared" si="148"/>
        <v>0</v>
      </c>
      <c r="AG260" s="3">
        <f t="shared" si="148"/>
        <v>0</v>
      </c>
      <c r="AH260" s="3">
        <f t="shared" si="148"/>
        <v>0</v>
      </c>
      <c r="AI260" s="3">
        <f t="shared" si="148"/>
        <v>0</v>
      </c>
      <c r="AJ260" s="3">
        <v>0</v>
      </c>
      <c r="AK260" s="3">
        <f>P260-Q260</f>
        <v>0</v>
      </c>
      <c r="AL260" s="3">
        <f>AK260</f>
        <v>0</v>
      </c>
      <c r="AM260" s="318" t="e">
        <f>ROUND((Q260*100%/P260*100),2)</f>
        <v>#DIV/0!</v>
      </c>
      <c r="AN260" s="3">
        <v>0</v>
      </c>
      <c r="AO260" s="3">
        <v>0</v>
      </c>
      <c r="AP260" s="633"/>
      <c r="AQ260" s="95">
        <f>76.182+4641.965+15.332</f>
        <v>4733.4790000000003</v>
      </c>
    </row>
    <row r="261" spans="1:43" ht="15" customHeight="1" x14ac:dyDescent="0.25">
      <c r="A261" s="1124"/>
      <c r="B261" s="47" t="s">
        <v>15</v>
      </c>
      <c r="C261" s="1122"/>
      <c r="D261" s="1122"/>
      <c r="E261" s="1122"/>
      <c r="F261" s="1122"/>
      <c r="G261" s="1122"/>
      <c r="H261" s="1122"/>
      <c r="I261" s="481" t="s">
        <v>20</v>
      </c>
      <c r="J261" s="462"/>
      <c r="K261" s="47"/>
      <c r="L261" s="47">
        <v>2799.3</v>
      </c>
      <c r="M261" s="4"/>
      <c r="N261" s="4">
        <v>0</v>
      </c>
      <c r="O261" s="4"/>
      <c r="P261" s="4">
        <v>0</v>
      </c>
      <c r="Q261" s="4">
        <v>0</v>
      </c>
      <c r="R261" s="4">
        <f t="shared" ref="R261:AE261" si="149">SUM(R262:R263)</f>
        <v>138.15199999999999</v>
      </c>
      <c r="S261" s="4">
        <f t="shared" si="149"/>
        <v>138.15199999999999</v>
      </c>
      <c r="T261" s="4">
        <f t="shared" si="149"/>
        <v>2350</v>
      </c>
      <c r="U261" s="4">
        <f t="shared" si="149"/>
        <v>2350</v>
      </c>
      <c r="V261" s="4">
        <f t="shared" si="149"/>
        <v>0</v>
      </c>
      <c r="W261" s="4">
        <f t="shared" si="149"/>
        <v>0</v>
      </c>
      <c r="X261" s="4">
        <f t="shared" si="149"/>
        <v>0</v>
      </c>
      <c r="Y261" s="4">
        <f t="shared" si="149"/>
        <v>0</v>
      </c>
      <c r="Z261" s="268"/>
      <c r="AA261" s="4">
        <v>0</v>
      </c>
      <c r="AB261" s="4">
        <f t="shared" si="149"/>
        <v>0</v>
      </c>
      <c r="AC261" s="4">
        <f t="shared" si="149"/>
        <v>2488.15</v>
      </c>
      <c r="AD261" s="4">
        <f t="shared" si="149"/>
        <v>0</v>
      </c>
      <c r="AE261" s="4">
        <f t="shared" si="149"/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1113"/>
      <c r="AQ261" s="268"/>
    </row>
    <row r="262" spans="1:43" s="266" customFormat="1" ht="15.75" hidden="1" x14ac:dyDescent="0.25">
      <c r="A262" s="267"/>
      <c r="B262" s="102" t="s">
        <v>303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R262+T262</f>
        <v>138.15199999999999</v>
      </c>
      <c r="Q262" s="268">
        <f>S262</f>
        <v>138.15199999999999</v>
      </c>
      <c r="R262" s="268">
        <f>S262</f>
        <v>138.15199999999999</v>
      </c>
      <c r="S262" s="268">
        <v>138.15199999999999</v>
      </c>
      <c r="T262" s="268">
        <f>U262</f>
        <v>0</v>
      </c>
      <c r="U262" s="268">
        <v>0</v>
      </c>
      <c r="V262" s="268"/>
      <c r="W262" s="268"/>
      <c r="X262" s="268"/>
      <c r="Y262" s="268">
        <v>0</v>
      </c>
      <c r="Z262" s="268"/>
      <c r="AA262" s="268">
        <f>AC262</f>
        <v>138.15</v>
      </c>
      <c r="AB262" s="268">
        <v>0</v>
      </c>
      <c r="AC262" s="268">
        <v>138.15</v>
      </c>
      <c r="AD262" s="268"/>
      <c r="AE262" s="268">
        <v>0</v>
      </c>
      <c r="AF262" s="268"/>
      <c r="AG262" s="268"/>
      <c r="AH262" s="268"/>
      <c r="AI262" s="268"/>
      <c r="AJ262" s="268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8"/>
      <c r="AQ262" s="268"/>
    </row>
    <row r="263" spans="1:43" s="266" customFormat="1" ht="15.75" hidden="1" x14ac:dyDescent="0.25">
      <c r="A263" s="490"/>
      <c r="B263" s="102" t="s">
        <v>311</v>
      </c>
      <c r="C263" s="104"/>
      <c r="D263" s="104"/>
      <c r="E263" s="104"/>
      <c r="F263" s="104"/>
      <c r="G263" s="104"/>
      <c r="H263" s="104"/>
      <c r="I263" s="92"/>
      <c r="J263" s="442"/>
      <c r="K263" s="96"/>
      <c r="L263" s="96"/>
      <c r="M263" s="268"/>
      <c r="N263" s="268"/>
      <c r="O263" s="268"/>
      <c r="P263" s="268"/>
      <c r="Q263" s="268">
        <f>Y263+U263</f>
        <v>2350</v>
      </c>
      <c r="R263" s="268"/>
      <c r="S263" s="268"/>
      <c r="T263" s="268">
        <f>U263</f>
        <v>2350</v>
      </c>
      <c r="U263" s="268">
        <v>2350</v>
      </c>
      <c r="V263" s="268"/>
      <c r="W263" s="268"/>
      <c r="X263" s="268"/>
      <c r="Y263" s="268">
        <v>0</v>
      </c>
      <c r="Z263" s="268"/>
      <c r="AA263" s="268">
        <f>AI263+AE263</f>
        <v>0</v>
      </c>
      <c r="AB263" s="268"/>
      <c r="AC263" s="268">
        <v>2350</v>
      </c>
      <c r="AD263" s="268"/>
      <c r="AE263" s="268">
        <v>0</v>
      </c>
      <c r="AF263" s="268"/>
      <c r="AG263" s="268"/>
      <c r="AH263" s="268"/>
      <c r="AI263" s="268"/>
      <c r="AJ263" s="268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8"/>
      <c r="AQ263" s="268"/>
    </row>
    <row r="264" spans="1:43" ht="15.75" x14ac:dyDescent="0.25">
      <c r="A264" s="1124"/>
      <c r="B264" s="47" t="s">
        <v>15</v>
      </c>
      <c r="C264" s="1122"/>
      <c r="D264" s="1122"/>
      <c r="E264" s="1122"/>
      <c r="F264" s="1122"/>
      <c r="G264" s="1122"/>
      <c r="H264" s="1122"/>
      <c r="I264" s="1493" t="s">
        <v>10</v>
      </c>
      <c r="J264" s="462"/>
      <c r="K264" s="47"/>
      <c r="L264" s="47">
        <v>2500</v>
      </c>
      <c r="M264" s="4"/>
      <c r="N264" s="4">
        <v>2500</v>
      </c>
      <c r="O264" s="4">
        <v>2500</v>
      </c>
      <c r="P264" s="4">
        <v>0</v>
      </c>
      <c r="Q264" s="4">
        <v>0</v>
      </c>
      <c r="R264" s="4">
        <v>0</v>
      </c>
      <c r="S264" s="4">
        <v>0</v>
      </c>
      <c r="T264" s="4"/>
      <c r="U264" s="4"/>
      <c r="V264" s="4"/>
      <c r="W264" s="4"/>
      <c r="X264" s="4"/>
      <c r="Y264" s="4"/>
      <c r="Z264" s="268"/>
      <c r="AA264" s="4">
        <v>0</v>
      </c>
      <c r="AB264" s="4">
        <v>0</v>
      </c>
      <c r="AC264" s="4"/>
      <c r="AD264" s="4"/>
      <c r="AE264" s="4"/>
      <c r="AF264" s="4">
        <v>0</v>
      </c>
      <c r="AG264" s="4">
        <v>0</v>
      </c>
      <c r="AH264" s="4"/>
      <c r="AI264" s="4"/>
      <c r="AJ264" s="4"/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417"/>
      <c r="AQ264" s="268"/>
    </row>
    <row r="265" spans="1:43" ht="15.75" x14ac:dyDescent="0.25">
      <c r="A265" s="1124"/>
      <c r="B265" s="1" t="s">
        <v>16</v>
      </c>
      <c r="C265" s="1122"/>
      <c r="D265" s="1122"/>
      <c r="E265" s="1122"/>
      <c r="F265" s="1122"/>
      <c r="G265" s="1122"/>
      <c r="H265" s="1122"/>
      <c r="I265" s="1494"/>
      <c r="J265" s="462"/>
      <c r="K265" s="47"/>
      <c r="L265" s="47">
        <v>31392.57</v>
      </c>
      <c r="M265" s="47">
        <v>31392.57</v>
      </c>
      <c r="N265" s="47">
        <v>31392.57</v>
      </c>
      <c r="O265" s="47">
        <v>31392.57</v>
      </c>
      <c r="P265" s="47">
        <v>0</v>
      </c>
      <c r="Q265" s="4">
        <v>0</v>
      </c>
      <c r="R265" s="4">
        <f t="shared" ref="R265:AI265" si="150">R266</f>
        <v>0</v>
      </c>
      <c r="S265" s="4">
        <f t="shared" si="150"/>
        <v>0</v>
      </c>
      <c r="T265" s="4">
        <f t="shared" si="150"/>
        <v>0</v>
      </c>
      <c r="U265" s="4">
        <f t="shared" si="150"/>
        <v>0</v>
      </c>
      <c r="V265" s="4">
        <f t="shared" si="150"/>
        <v>28677.305</v>
      </c>
      <c r="W265" s="4">
        <f t="shared" si="150"/>
        <v>28677.305</v>
      </c>
      <c r="X265" s="4">
        <f t="shared" si="150"/>
        <v>0</v>
      </c>
      <c r="Y265" s="4">
        <f t="shared" si="150"/>
        <v>0</v>
      </c>
      <c r="Z265" s="268"/>
      <c r="AA265" s="4">
        <v>0</v>
      </c>
      <c r="AB265" s="4">
        <f t="shared" si="150"/>
        <v>0</v>
      </c>
      <c r="AC265" s="4">
        <f t="shared" si="150"/>
        <v>14980.598</v>
      </c>
      <c r="AD265" s="4">
        <f t="shared" si="150"/>
        <v>19862.373</v>
      </c>
      <c r="AE265" s="4">
        <f t="shared" si="150"/>
        <v>0</v>
      </c>
      <c r="AF265" s="4">
        <f t="shared" si="150"/>
        <v>0</v>
      </c>
      <c r="AG265" s="4">
        <f t="shared" si="150"/>
        <v>0</v>
      </c>
      <c r="AH265" s="4">
        <f t="shared" si="150"/>
        <v>0</v>
      </c>
      <c r="AI265" s="4">
        <f t="shared" si="150"/>
        <v>0</v>
      </c>
      <c r="AJ265" s="4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7"/>
      <c r="AQ265" s="268"/>
    </row>
    <row r="266" spans="1:43" s="266" customFormat="1" ht="15.75" hidden="1" x14ac:dyDescent="0.25">
      <c r="A266" s="490"/>
      <c r="B266" s="102" t="s">
        <v>316</v>
      </c>
      <c r="C266" s="104"/>
      <c r="D266" s="104"/>
      <c r="E266" s="104"/>
      <c r="F266" s="104"/>
      <c r="G266" s="104"/>
      <c r="H266" s="104"/>
      <c r="I266" s="575"/>
      <c r="J266" s="442"/>
      <c r="K266" s="96"/>
      <c r="L266" s="96"/>
      <c r="M266" s="268"/>
      <c r="N266" s="268"/>
      <c r="O266" s="268"/>
      <c r="P266" s="268"/>
      <c r="Q266" s="268">
        <f>W266</f>
        <v>28677.305</v>
      </c>
      <c r="R266" s="268"/>
      <c r="S266" s="268"/>
      <c r="T266" s="268"/>
      <c r="U266" s="268"/>
      <c r="V266" s="268">
        <f>W266</f>
        <v>28677.305</v>
      </c>
      <c r="W266" s="268">
        <v>28677.305</v>
      </c>
      <c r="X266" s="268"/>
      <c r="Y266" s="268"/>
      <c r="Z266" s="268"/>
      <c r="AA266" s="268">
        <f>AC266+AD266</f>
        <v>34842.970999999998</v>
      </c>
      <c r="AB266" s="268"/>
      <c r="AC266" s="268">
        <v>14980.598</v>
      </c>
      <c r="AD266" s="268">
        <v>19862.373</v>
      </c>
      <c r="AE266" s="268"/>
      <c r="AF266" s="268"/>
      <c r="AG266" s="268"/>
      <c r="AH266" s="268"/>
      <c r="AI266" s="268"/>
      <c r="AJ266" s="268"/>
      <c r="AK266" s="96"/>
      <c r="AL266" s="96"/>
      <c r="AM266" s="96"/>
      <c r="AN266" s="268"/>
      <c r="AO266" s="268"/>
      <c r="AP266" s="418"/>
      <c r="AQ266" s="268"/>
    </row>
    <row r="267" spans="1:43" s="327" customFormat="1" ht="18.75" customHeight="1" x14ac:dyDescent="0.25">
      <c r="A267" s="1358" t="s">
        <v>189</v>
      </c>
      <c r="B267" s="609" t="s">
        <v>35</v>
      </c>
      <c r="C267" s="1661">
        <v>500</v>
      </c>
      <c r="D267" s="1661" t="s">
        <v>43</v>
      </c>
      <c r="E267" s="1661">
        <v>850</v>
      </c>
      <c r="F267" s="1660">
        <v>20400</v>
      </c>
      <c r="G267" s="807"/>
      <c r="H267" s="807"/>
      <c r="I267" s="1326" t="s">
        <v>20</v>
      </c>
      <c r="J267" s="1622">
        <v>6942.46</v>
      </c>
      <c r="K267" s="3">
        <v>0</v>
      </c>
      <c r="L267" s="3">
        <f>L268</f>
        <v>6462.97</v>
      </c>
      <c r="M267" s="318">
        <f>M268</f>
        <v>0</v>
      </c>
      <c r="N267" s="318">
        <f>N268</f>
        <v>0</v>
      </c>
      <c r="O267" s="318">
        <f>O268</f>
        <v>6942.46</v>
      </c>
      <c r="P267" s="318">
        <v>0</v>
      </c>
      <c r="Q267" s="318">
        <v>0</v>
      </c>
      <c r="R267" s="318">
        <v>0</v>
      </c>
      <c r="S267" s="318">
        <v>0</v>
      </c>
      <c r="T267" s="318">
        <v>0</v>
      </c>
      <c r="U267" s="318">
        <v>0</v>
      </c>
      <c r="V267" s="318">
        <v>0</v>
      </c>
      <c r="W267" s="318">
        <v>0</v>
      </c>
      <c r="X267" s="318">
        <v>0</v>
      </c>
      <c r="Y267" s="318">
        <v>0</v>
      </c>
      <c r="Z267" s="372">
        <v>0</v>
      </c>
      <c r="AA267" s="318">
        <v>0</v>
      </c>
      <c r="AB267" s="318">
        <v>0</v>
      </c>
      <c r="AC267" s="318">
        <v>0</v>
      </c>
      <c r="AD267" s="318">
        <v>0</v>
      </c>
      <c r="AE267" s="318">
        <v>0</v>
      </c>
      <c r="AF267" s="318">
        <v>0</v>
      </c>
      <c r="AG267" s="318">
        <v>0</v>
      </c>
      <c r="AH267" s="318">
        <v>0</v>
      </c>
      <c r="AI267" s="318">
        <v>0</v>
      </c>
      <c r="AJ267" s="318">
        <v>0</v>
      </c>
      <c r="AK267" s="3">
        <f>P267-Q267</f>
        <v>0</v>
      </c>
      <c r="AL267" s="3">
        <f>AK267</f>
        <v>0</v>
      </c>
      <c r="AM267" s="3">
        <v>0</v>
      </c>
      <c r="AN267" s="318">
        <v>0</v>
      </c>
      <c r="AO267" s="318">
        <v>0</v>
      </c>
      <c r="AP267" s="833"/>
      <c r="AQ267" s="372">
        <v>0</v>
      </c>
    </row>
    <row r="268" spans="1:43" ht="15" hidden="1" customHeight="1" x14ac:dyDescent="0.25">
      <c r="A268" s="1361"/>
      <c r="B268" s="1" t="s">
        <v>15</v>
      </c>
      <c r="C268" s="1661"/>
      <c r="D268" s="1661"/>
      <c r="E268" s="1661"/>
      <c r="F268" s="1661"/>
      <c r="G268" s="1122">
        <v>2021</v>
      </c>
      <c r="H268" s="1122">
        <v>2021</v>
      </c>
      <c r="I268" s="1328"/>
      <c r="J268" s="1624"/>
      <c r="K268" s="47"/>
      <c r="L268" s="47">
        <v>6462.97</v>
      </c>
      <c r="M268" s="47">
        <v>0</v>
      </c>
      <c r="N268" s="47">
        <v>0</v>
      </c>
      <c r="O268" s="47">
        <v>6942.46</v>
      </c>
      <c r="P268" s="47">
        <v>6462.97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96"/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327" customFormat="1" ht="28.5" customHeight="1" x14ac:dyDescent="0.25">
      <c r="A269" s="1358" t="s">
        <v>190</v>
      </c>
      <c r="B269" s="780" t="s">
        <v>191</v>
      </c>
      <c r="C269" s="1660"/>
      <c r="D269" s="1660"/>
      <c r="E269" s="1660"/>
      <c r="F269" s="1660">
        <v>80</v>
      </c>
      <c r="G269" s="807"/>
      <c r="H269" s="807"/>
      <c r="I269" s="1326" t="s">
        <v>20</v>
      </c>
      <c r="J269" s="52">
        <f>L269</f>
        <v>45265.81</v>
      </c>
      <c r="K269" s="52"/>
      <c r="L269" s="3">
        <f t="shared" ref="L269:AO269" si="151">L270+L272</f>
        <v>45265.81</v>
      </c>
      <c r="M269" s="3">
        <f t="shared" si="151"/>
        <v>33.479999999999997</v>
      </c>
      <c r="N269" s="3">
        <f t="shared" si="151"/>
        <v>7044.44</v>
      </c>
      <c r="O269" s="3">
        <f t="shared" si="151"/>
        <v>11467.37</v>
      </c>
      <c r="P269" s="3">
        <f t="shared" si="151"/>
        <v>40219.919999999998</v>
      </c>
      <c r="Q269" s="3">
        <f t="shared" si="151"/>
        <v>0</v>
      </c>
      <c r="R269" s="3">
        <f t="shared" si="151"/>
        <v>0</v>
      </c>
      <c r="S269" s="3">
        <f t="shared" si="151"/>
        <v>0</v>
      </c>
      <c r="T269" s="3">
        <f t="shared" si="151"/>
        <v>27</v>
      </c>
      <c r="U269" s="3">
        <f t="shared" si="151"/>
        <v>27</v>
      </c>
      <c r="V269" s="3">
        <f t="shared" si="151"/>
        <v>0</v>
      </c>
      <c r="W269" s="3">
        <f t="shared" si="151"/>
        <v>0</v>
      </c>
      <c r="X269" s="3">
        <f t="shared" si="151"/>
        <v>0</v>
      </c>
      <c r="Y269" s="3">
        <f t="shared" si="151"/>
        <v>0</v>
      </c>
      <c r="Z269" s="95">
        <v>0</v>
      </c>
      <c r="AA269" s="3">
        <f t="shared" si="151"/>
        <v>0</v>
      </c>
      <c r="AB269" s="3">
        <f>AB270+AB272</f>
        <v>0</v>
      </c>
      <c r="AC269" s="3">
        <f>AC270+AC272</f>
        <v>0</v>
      </c>
      <c r="AD269" s="3">
        <f>AD270+AD272</f>
        <v>27</v>
      </c>
      <c r="AE269" s="3">
        <f>AE270+AE272</f>
        <v>0</v>
      </c>
      <c r="AF269" s="3">
        <f t="shared" si="151"/>
        <v>0</v>
      </c>
      <c r="AG269" s="3">
        <f t="shared" si="151"/>
        <v>0</v>
      </c>
      <c r="AH269" s="3">
        <f t="shared" si="151"/>
        <v>0</v>
      </c>
      <c r="AI269" s="3">
        <f t="shared" si="151"/>
        <v>0</v>
      </c>
      <c r="AJ269" s="3">
        <f t="shared" si="151"/>
        <v>0</v>
      </c>
      <c r="AK269" s="3">
        <f>P269-Q269</f>
        <v>40219.919999999998</v>
      </c>
      <c r="AL269" s="3">
        <f>AK269</f>
        <v>40219.919999999998</v>
      </c>
      <c r="AM269" s="318">
        <v>0</v>
      </c>
      <c r="AN269" s="3">
        <f t="shared" si="151"/>
        <v>0</v>
      </c>
      <c r="AO269" s="3">
        <f t="shared" si="151"/>
        <v>0</v>
      </c>
      <c r="AP269" s="834"/>
      <c r="AQ269" s="95">
        <v>0</v>
      </c>
    </row>
    <row r="270" spans="1:43" ht="17.25" customHeight="1" x14ac:dyDescent="0.25">
      <c r="A270" s="1359"/>
      <c r="B270" s="1" t="s">
        <v>15</v>
      </c>
      <c r="C270" s="1661"/>
      <c r="D270" s="1661"/>
      <c r="E270" s="1661"/>
      <c r="F270" s="1661"/>
      <c r="G270" s="1122">
        <v>2019</v>
      </c>
      <c r="H270" s="1122">
        <v>2019</v>
      </c>
      <c r="I270" s="1327"/>
      <c r="J270" s="6">
        <f>L270</f>
        <v>7077.92</v>
      </c>
      <c r="K270" s="6"/>
      <c r="L270" s="47">
        <v>7077.92</v>
      </c>
      <c r="M270" s="47">
        <v>33.479999999999997</v>
      </c>
      <c r="N270" s="47">
        <v>7044.44</v>
      </c>
      <c r="O270" s="47">
        <v>0</v>
      </c>
      <c r="P270" s="47">
        <v>0</v>
      </c>
      <c r="Q270" s="47">
        <v>0</v>
      </c>
      <c r="R270" s="47">
        <f t="shared" ref="R270:AD270" si="152">SUM(R271)</f>
        <v>0</v>
      </c>
      <c r="S270" s="47">
        <f t="shared" si="152"/>
        <v>0</v>
      </c>
      <c r="T270" s="47">
        <f t="shared" si="152"/>
        <v>27</v>
      </c>
      <c r="U270" s="47">
        <f t="shared" si="152"/>
        <v>27</v>
      </c>
      <c r="V270" s="47">
        <f t="shared" si="152"/>
        <v>0</v>
      </c>
      <c r="W270" s="47">
        <f t="shared" si="152"/>
        <v>0</v>
      </c>
      <c r="X270" s="47">
        <f t="shared" si="152"/>
        <v>0</v>
      </c>
      <c r="Y270" s="47">
        <f t="shared" si="152"/>
        <v>0</v>
      </c>
      <c r="Z270" s="96"/>
      <c r="AA270" s="47">
        <v>0</v>
      </c>
      <c r="AB270" s="47">
        <f t="shared" si="152"/>
        <v>0</v>
      </c>
      <c r="AC270" s="47">
        <f t="shared" si="152"/>
        <v>0</v>
      </c>
      <c r="AD270" s="47">
        <f t="shared" si="152"/>
        <v>27</v>
      </c>
      <c r="AE270" s="47">
        <v>0</v>
      </c>
      <c r="AF270" s="47">
        <f>AF271</f>
        <v>0</v>
      </c>
      <c r="AG270" s="47">
        <f>AG271</f>
        <v>0</v>
      </c>
      <c r="AH270" s="47">
        <f>AH271</f>
        <v>0</v>
      </c>
      <c r="AI270" s="47">
        <f>AI271</f>
        <v>0</v>
      </c>
      <c r="AJ270" s="47">
        <f>AJ271</f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266" customFormat="1" ht="25.5" hidden="1" customHeight="1" x14ac:dyDescent="0.25">
      <c r="A271" s="1359"/>
      <c r="B271" s="102" t="s">
        <v>267</v>
      </c>
      <c r="C271" s="576"/>
      <c r="D271" s="576"/>
      <c r="E271" s="576"/>
      <c r="F271" s="576"/>
      <c r="G271" s="104"/>
      <c r="H271" s="104"/>
      <c r="I271" s="1327"/>
      <c r="J271" s="106"/>
      <c r="K271" s="106"/>
      <c r="L271" s="96"/>
      <c r="M271" s="96"/>
      <c r="N271" s="96"/>
      <c r="O271" s="96"/>
      <c r="P271" s="96">
        <f>R271</f>
        <v>0</v>
      </c>
      <c r="Q271" s="96">
        <f>S271+U271</f>
        <v>27</v>
      </c>
      <c r="R271" s="96">
        <v>0</v>
      </c>
      <c r="S271" s="96">
        <v>0</v>
      </c>
      <c r="T271" s="96">
        <f>U271</f>
        <v>27</v>
      </c>
      <c r="U271" s="96">
        <f>ROUND((32.4/1.2),2)</f>
        <v>27</v>
      </c>
      <c r="V271" s="96"/>
      <c r="W271" s="96"/>
      <c r="X271" s="96"/>
      <c r="Y271" s="96"/>
      <c r="Z271" s="96"/>
      <c r="AA271" s="96">
        <f>AD271</f>
        <v>27</v>
      </c>
      <c r="AB271" s="96">
        <v>0</v>
      </c>
      <c r="AC271" s="96"/>
      <c r="AD271" s="96">
        <v>27</v>
      </c>
      <c r="AE271" s="96"/>
      <c r="AF271" s="96">
        <f>SUM(AG271:AG271)</f>
        <v>0</v>
      </c>
      <c r="AG271" s="96"/>
      <c r="AH271" s="96"/>
      <c r="AI271" s="96"/>
      <c r="AJ271" s="96"/>
      <c r="AK271" s="96"/>
      <c r="AL271" s="96"/>
      <c r="AM271" s="96"/>
      <c r="AN271" s="96"/>
      <c r="AO271" s="96"/>
      <c r="AP271" s="421"/>
      <c r="AQ271" s="96"/>
    </row>
    <row r="272" spans="1:43" ht="17.25" customHeight="1" x14ac:dyDescent="0.25">
      <c r="A272" s="1361"/>
      <c r="B272" s="1" t="s">
        <v>16</v>
      </c>
      <c r="C272" s="1155"/>
      <c r="D272" s="1155"/>
      <c r="E272" s="1155"/>
      <c r="F272" s="1155"/>
      <c r="G272" s="1122">
        <v>2020</v>
      </c>
      <c r="H272" s="1122">
        <v>2021</v>
      </c>
      <c r="I272" s="1328"/>
      <c r="J272" s="6">
        <f>L272</f>
        <v>38187.89</v>
      </c>
      <c r="K272" s="6"/>
      <c r="L272" s="47">
        <v>38187.89</v>
      </c>
      <c r="M272" s="47">
        <v>0</v>
      </c>
      <c r="N272" s="47">
        <v>0</v>
      </c>
      <c r="O272" s="47">
        <v>11467.37</v>
      </c>
      <c r="P272" s="47">
        <v>40219.919999999998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96"/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19"/>
      <c r="AQ272" s="96"/>
    </row>
    <row r="273" spans="1:44" s="327" customFormat="1" ht="39.75" customHeight="1" x14ac:dyDescent="0.25">
      <c r="A273" s="1358" t="s">
        <v>192</v>
      </c>
      <c r="B273" s="772" t="s">
        <v>166</v>
      </c>
      <c r="C273" s="1660"/>
      <c r="D273" s="1660"/>
      <c r="E273" s="1660"/>
      <c r="F273" s="1660">
        <v>80</v>
      </c>
      <c r="G273" s="807"/>
      <c r="H273" s="807"/>
      <c r="I273" s="1326" t="s">
        <v>20</v>
      </c>
      <c r="J273" s="52">
        <f>L273</f>
        <v>94875.549999999988</v>
      </c>
      <c r="K273" s="52"/>
      <c r="L273" s="3">
        <f t="shared" ref="L273:O273" si="153">L274+L277</f>
        <v>94875.549999999988</v>
      </c>
      <c r="M273" s="3">
        <f t="shared" si="153"/>
        <v>2761.44</v>
      </c>
      <c r="N273" s="3">
        <f t="shared" si="153"/>
        <v>9629.68</v>
      </c>
      <c r="O273" s="3">
        <f t="shared" si="153"/>
        <v>22469.279999999999</v>
      </c>
      <c r="P273" s="3">
        <v>3907.02</v>
      </c>
      <c r="Q273" s="3">
        <v>0</v>
      </c>
      <c r="R273" s="3">
        <f t="shared" ref="R273:Y273" si="154">R274+R277</f>
        <v>646.02599999999995</v>
      </c>
      <c r="S273" s="3">
        <f t="shared" si="154"/>
        <v>646.02599999999995</v>
      </c>
      <c r="T273" s="3">
        <f t="shared" si="154"/>
        <v>872.63599999999997</v>
      </c>
      <c r="U273" s="3">
        <f t="shared" si="154"/>
        <v>872.63599999999997</v>
      </c>
      <c r="V273" s="3">
        <f t="shared" si="154"/>
        <v>0</v>
      </c>
      <c r="W273" s="3">
        <f t="shared" si="154"/>
        <v>0</v>
      </c>
      <c r="X273" s="3">
        <f t="shared" si="154"/>
        <v>0</v>
      </c>
      <c r="Y273" s="3">
        <f t="shared" si="154"/>
        <v>0</v>
      </c>
      <c r="Z273" s="3">
        <v>0</v>
      </c>
      <c r="AA273" s="3">
        <f>AA274+AA277</f>
        <v>0</v>
      </c>
      <c r="AB273" s="3">
        <f>AB274+AB277</f>
        <v>0</v>
      </c>
      <c r="AC273" s="3">
        <f t="shared" ref="AC273:AJ273" si="155">AC274+AC277</f>
        <v>0</v>
      </c>
      <c r="AD273" s="3">
        <f t="shared" si="155"/>
        <v>0</v>
      </c>
      <c r="AE273" s="3">
        <f t="shared" si="155"/>
        <v>0</v>
      </c>
      <c r="AF273" s="3">
        <f t="shared" si="155"/>
        <v>0</v>
      </c>
      <c r="AG273" s="3">
        <f t="shared" si="155"/>
        <v>0</v>
      </c>
      <c r="AH273" s="3">
        <f t="shared" si="155"/>
        <v>0</v>
      </c>
      <c r="AI273" s="3">
        <f t="shared" si="155"/>
        <v>0</v>
      </c>
      <c r="AJ273" s="3">
        <f t="shared" si="155"/>
        <v>0</v>
      </c>
      <c r="AK273" s="3">
        <f>P273-Q273</f>
        <v>3907.02</v>
      </c>
      <c r="AL273" s="3">
        <f>AK273</f>
        <v>3907.02</v>
      </c>
      <c r="AM273" s="3">
        <f>ROUND((Q273*100%/P273*100),2)</f>
        <v>0</v>
      </c>
      <c r="AN273" s="3">
        <f>AN274+AN277</f>
        <v>0</v>
      </c>
      <c r="AO273" s="3">
        <f>AO274+AO277</f>
        <v>0</v>
      </c>
      <c r="AP273" s="633" t="s">
        <v>256</v>
      </c>
      <c r="AQ273" s="3">
        <v>0</v>
      </c>
    </row>
    <row r="274" spans="1:44" ht="16.5" hidden="1" customHeight="1" x14ac:dyDescent="0.25">
      <c r="A274" s="1359"/>
      <c r="B274" s="42" t="s">
        <v>15</v>
      </c>
      <c r="C274" s="1661"/>
      <c r="D274" s="1661"/>
      <c r="E274" s="1661"/>
      <c r="F274" s="1661"/>
      <c r="G274" s="313"/>
      <c r="H274" s="1153"/>
      <c r="I274" s="1327"/>
      <c r="J274" s="1139"/>
      <c r="K274" s="47"/>
      <c r="L274" s="47">
        <v>5734.87</v>
      </c>
      <c r="M274" s="47">
        <v>2761.44</v>
      </c>
      <c r="N274" s="47">
        <v>105.99</v>
      </c>
      <c r="O274" s="47">
        <v>0</v>
      </c>
      <c r="P274" s="47">
        <v>0</v>
      </c>
      <c r="Q274" s="47">
        <f>SUM(Q275:Q277)</f>
        <v>1518.6619999999998</v>
      </c>
      <c r="R274" s="47">
        <f>S274</f>
        <v>646.02599999999995</v>
      </c>
      <c r="S274" s="47">
        <f>SUM(S275:S277)</f>
        <v>646.02599999999995</v>
      </c>
      <c r="T274" s="47">
        <f>SUM(T275:T277)</f>
        <v>872.63599999999997</v>
      </c>
      <c r="U274" s="47">
        <f>SUM(U275:U277)</f>
        <v>872.63599999999997</v>
      </c>
      <c r="V274" s="47">
        <f>SUM(V275:V277)</f>
        <v>0</v>
      </c>
      <c r="W274" s="47">
        <f>SUM(W275:W277)</f>
        <v>0</v>
      </c>
      <c r="X274" s="47">
        <v>0</v>
      </c>
      <c r="Y274" s="47">
        <f t="shared" ref="Y274:AE274" si="156">SUM(Y275:Y277)</f>
        <v>0</v>
      </c>
      <c r="Z274" s="96"/>
      <c r="AA274" s="47">
        <f t="shared" si="156"/>
        <v>0</v>
      </c>
      <c r="AB274" s="47">
        <f t="shared" si="156"/>
        <v>0</v>
      </c>
      <c r="AC274" s="47">
        <f t="shared" si="156"/>
        <v>0</v>
      </c>
      <c r="AD274" s="47">
        <f t="shared" si="156"/>
        <v>0</v>
      </c>
      <c r="AE274" s="47">
        <f t="shared" si="156"/>
        <v>0</v>
      </c>
      <c r="AF274" s="47">
        <f>SUM(AF275)</f>
        <v>0</v>
      </c>
      <c r="AG274" s="47">
        <f>SUM(AG275)</f>
        <v>0</v>
      </c>
      <c r="AH274" s="47">
        <f>SUM(AH275)</f>
        <v>0</v>
      </c>
      <c r="AI274" s="47">
        <f>SUM(AI275)</f>
        <v>0</v>
      </c>
      <c r="AJ274" s="47">
        <f>SUM(AJ275)</f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397"/>
      <c r="AQ274" s="96"/>
    </row>
    <row r="275" spans="1:44" s="266" customFormat="1" ht="16.5" hidden="1" customHeight="1" x14ac:dyDescent="0.25">
      <c r="A275" s="1359"/>
      <c r="B275" s="252" t="s">
        <v>228</v>
      </c>
      <c r="C275" s="363"/>
      <c r="D275" s="363"/>
      <c r="E275" s="363"/>
      <c r="F275" s="363"/>
      <c r="G275" s="363"/>
      <c r="H275" s="364"/>
      <c r="I275" s="1327"/>
      <c r="J275" s="258"/>
      <c r="K275" s="96"/>
      <c r="L275" s="96"/>
      <c r="M275" s="96"/>
      <c r="N275" s="96"/>
      <c r="O275" s="96"/>
      <c r="P275" s="47"/>
      <c r="Q275" s="96">
        <f>S275+U275</f>
        <v>1518.6619999999998</v>
      </c>
      <c r="R275" s="96">
        <v>0</v>
      </c>
      <c r="S275" s="96">
        <v>646.02599999999995</v>
      </c>
      <c r="T275" s="96">
        <f>U275</f>
        <v>872.63599999999997</v>
      </c>
      <c r="U275" s="96">
        <v>872.63599999999997</v>
      </c>
      <c r="V275" s="96"/>
      <c r="W275" s="96"/>
      <c r="X275" s="96">
        <v>0</v>
      </c>
      <c r="Y275" s="96">
        <v>0</v>
      </c>
      <c r="Z275" s="96"/>
      <c r="AA275" s="96">
        <v>0</v>
      </c>
      <c r="AB275" s="96">
        <v>0</v>
      </c>
      <c r="AC275" s="96"/>
      <c r="AD275" s="96"/>
      <c r="AE275" s="96">
        <v>0</v>
      </c>
      <c r="AF275" s="96">
        <f>SUM(AG275:AG275)</f>
        <v>0</v>
      </c>
      <c r="AG275" s="96"/>
      <c r="AH275" s="96"/>
      <c r="AI275" s="96"/>
      <c r="AJ275" s="96"/>
      <c r="AK275" s="96">
        <v>0</v>
      </c>
      <c r="AL275" s="96">
        <v>0</v>
      </c>
      <c r="AM275" s="96">
        <v>0</v>
      </c>
      <c r="AN275" s="96">
        <v>0</v>
      </c>
      <c r="AO275" s="96">
        <v>0</v>
      </c>
      <c r="AP275" s="405"/>
      <c r="AQ275" s="96"/>
    </row>
    <row r="276" spans="1:44" s="266" customFormat="1" ht="16.5" hidden="1" customHeight="1" x14ac:dyDescent="0.25">
      <c r="A276" s="1359"/>
      <c r="B276" s="252" t="s">
        <v>267</v>
      </c>
      <c r="C276" s="363"/>
      <c r="D276" s="363"/>
      <c r="E276" s="363"/>
      <c r="F276" s="363"/>
      <c r="G276" s="363"/>
      <c r="H276" s="364"/>
      <c r="I276" s="1327"/>
      <c r="J276" s="258"/>
      <c r="K276" s="96"/>
      <c r="L276" s="96"/>
      <c r="M276" s="96"/>
      <c r="N276" s="96"/>
      <c r="O276" s="96"/>
      <c r="P276" s="96">
        <f>R276+T276</f>
        <v>0</v>
      </c>
      <c r="Q276" s="96">
        <f>S276+U276</f>
        <v>0</v>
      </c>
      <c r="R276" s="96">
        <v>0</v>
      </c>
      <c r="S276" s="96">
        <v>0</v>
      </c>
      <c r="T276" s="96">
        <f>U276</f>
        <v>0</v>
      </c>
      <c r="U276" s="96">
        <v>0</v>
      </c>
      <c r="V276" s="96"/>
      <c r="W276" s="96"/>
      <c r="X276" s="96"/>
      <c r="Y276" s="96"/>
      <c r="Z276" s="96"/>
      <c r="AA276" s="96">
        <f>SUM(AB276:AD276)</f>
        <v>0</v>
      </c>
      <c r="AB276" s="96"/>
      <c r="AC276" s="96">
        <v>0</v>
      </c>
      <c r="AD276" s="96">
        <v>0</v>
      </c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405"/>
      <c r="AQ276" s="96"/>
    </row>
    <row r="277" spans="1:44" ht="0.75" hidden="1" customHeight="1" x14ac:dyDescent="0.25">
      <c r="A277" s="1361"/>
      <c r="B277" s="1" t="s">
        <v>16</v>
      </c>
      <c r="C277" s="1155"/>
      <c r="D277" s="1155"/>
      <c r="E277" s="1155"/>
      <c r="F277" s="1155"/>
      <c r="G277" s="1122">
        <v>2020</v>
      </c>
      <c r="H277" s="1122">
        <v>2021</v>
      </c>
      <c r="I277" s="1328"/>
      <c r="J277" s="6">
        <f>L277</f>
        <v>89140.68</v>
      </c>
      <c r="K277" s="6"/>
      <c r="L277" s="47">
        <v>89140.68</v>
      </c>
      <c r="M277" s="47">
        <v>0</v>
      </c>
      <c r="N277" s="47">
        <v>9523.69</v>
      </c>
      <c r="O277" s="47">
        <v>22469.279999999999</v>
      </c>
      <c r="P277" s="47">
        <v>2605.9899999999998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96"/>
      <c r="AA277" s="47">
        <v>0</v>
      </c>
      <c r="AB277" s="47">
        <v>0</v>
      </c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44" s="327" customFormat="1" ht="41.25" customHeight="1" x14ac:dyDescent="0.25">
      <c r="A278" s="1358" t="s">
        <v>193</v>
      </c>
      <c r="B278" s="772" t="s">
        <v>163</v>
      </c>
      <c r="C278" s="1660"/>
      <c r="D278" s="1660"/>
      <c r="E278" s="1660"/>
      <c r="F278" s="1660">
        <v>81</v>
      </c>
      <c r="G278" s="807"/>
      <c r="H278" s="807"/>
      <c r="I278" s="1326" t="s">
        <v>20</v>
      </c>
      <c r="J278" s="52">
        <f>L278</f>
        <v>5513.9</v>
      </c>
      <c r="K278" s="52"/>
      <c r="L278" s="3">
        <f t="shared" ref="L278:AA278" si="157">L279+L284</f>
        <v>5513.9</v>
      </c>
      <c r="M278" s="3">
        <f t="shared" si="157"/>
        <v>297.18</v>
      </c>
      <c r="N278" s="3">
        <f t="shared" si="157"/>
        <v>1639.85</v>
      </c>
      <c r="O278" s="3">
        <f t="shared" si="157"/>
        <v>0</v>
      </c>
      <c r="P278" s="3">
        <f t="shared" si="157"/>
        <v>0</v>
      </c>
      <c r="Q278" s="3">
        <f t="shared" si="157"/>
        <v>0</v>
      </c>
      <c r="R278" s="3">
        <f t="shared" si="157"/>
        <v>0</v>
      </c>
      <c r="S278" s="3">
        <f t="shared" si="157"/>
        <v>0</v>
      </c>
      <c r="T278" s="3">
        <f t="shared" si="157"/>
        <v>0</v>
      </c>
      <c r="U278" s="3">
        <f t="shared" si="157"/>
        <v>0</v>
      </c>
      <c r="V278" s="3">
        <f t="shared" si="157"/>
        <v>0</v>
      </c>
      <c r="W278" s="3">
        <f t="shared" si="157"/>
        <v>0</v>
      </c>
      <c r="X278" s="3">
        <f t="shared" si="157"/>
        <v>0</v>
      </c>
      <c r="Y278" s="3">
        <f t="shared" si="157"/>
        <v>0</v>
      </c>
      <c r="Z278" s="95">
        <v>0</v>
      </c>
      <c r="AA278" s="3">
        <f t="shared" si="157"/>
        <v>0</v>
      </c>
      <c r="AB278" s="3">
        <f>AB279+AB284</f>
        <v>0</v>
      </c>
      <c r="AC278" s="3">
        <f t="shared" ref="AC278:AJ278" si="158">AC279+AC284</f>
        <v>0</v>
      </c>
      <c r="AD278" s="3">
        <f t="shared" si="158"/>
        <v>0</v>
      </c>
      <c r="AE278" s="3">
        <f t="shared" si="158"/>
        <v>0</v>
      </c>
      <c r="AF278" s="3">
        <f t="shared" si="158"/>
        <v>0</v>
      </c>
      <c r="AG278" s="3">
        <f t="shared" si="158"/>
        <v>0</v>
      </c>
      <c r="AH278" s="3">
        <f t="shared" si="158"/>
        <v>0</v>
      </c>
      <c r="AI278" s="3">
        <f t="shared" si="158"/>
        <v>0</v>
      </c>
      <c r="AJ278" s="3">
        <f t="shared" si="158"/>
        <v>0</v>
      </c>
      <c r="AK278" s="3">
        <f>P278-Q278</f>
        <v>0</v>
      </c>
      <c r="AL278" s="3">
        <f>AK278</f>
        <v>0</v>
      </c>
      <c r="AM278" s="3">
        <v>0</v>
      </c>
      <c r="AN278" s="3">
        <f>AN279+AN284</f>
        <v>0</v>
      </c>
      <c r="AO278" s="3">
        <f>AO279+AO284</f>
        <v>0</v>
      </c>
      <c r="AP278" s="633" t="s">
        <v>256</v>
      </c>
      <c r="AQ278" s="95">
        <v>0</v>
      </c>
    </row>
    <row r="279" spans="1:44" ht="17.25" hidden="1" customHeight="1" x14ac:dyDescent="0.25">
      <c r="A279" s="1359"/>
      <c r="B279" s="1" t="s">
        <v>15</v>
      </c>
      <c r="C279" s="1661"/>
      <c r="D279" s="1661"/>
      <c r="E279" s="1661"/>
      <c r="F279" s="1661"/>
      <c r="G279" s="1122">
        <v>2021</v>
      </c>
      <c r="H279" s="1122">
        <v>2023</v>
      </c>
      <c r="I279" s="1327"/>
      <c r="J279" s="6">
        <f>L279</f>
        <v>594.36</v>
      </c>
      <c r="K279" s="6"/>
      <c r="L279" s="47">
        <v>594.36</v>
      </c>
      <c r="M279" s="47">
        <v>297.18</v>
      </c>
      <c r="N279" s="47">
        <v>0</v>
      </c>
      <c r="O279" s="47">
        <v>0</v>
      </c>
      <c r="P279" s="47">
        <v>0</v>
      </c>
      <c r="Q279" s="47">
        <f>SUM(Q281:Q283)</f>
        <v>0</v>
      </c>
      <c r="R279" s="47">
        <f t="shared" ref="R279:AE279" si="159">SUM(R281:R283)</f>
        <v>0</v>
      </c>
      <c r="S279" s="47">
        <f t="shared" si="159"/>
        <v>0</v>
      </c>
      <c r="T279" s="47">
        <f t="shared" si="159"/>
        <v>0</v>
      </c>
      <c r="U279" s="47">
        <f t="shared" si="159"/>
        <v>0</v>
      </c>
      <c r="V279" s="47">
        <f t="shared" si="159"/>
        <v>0</v>
      </c>
      <c r="W279" s="47">
        <f t="shared" si="159"/>
        <v>0</v>
      </c>
      <c r="X279" s="47">
        <v>0</v>
      </c>
      <c r="Y279" s="47">
        <f t="shared" si="159"/>
        <v>0</v>
      </c>
      <c r="Z279" s="96"/>
      <c r="AA279" s="47">
        <f t="shared" si="159"/>
        <v>0</v>
      </c>
      <c r="AB279" s="47">
        <f t="shared" si="159"/>
        <v>0</v>
      </c>
      <c r="AC279" s="47">
        <f t="shared" si="159"/>
        <v>0</v>
      </c>
      <c r="AD279" s="47">
        <f t="shared" si="159"/>
        <v>0</v>
      </c>
      <c r="AE279" s="47">
        <f t="shared" si="159"/>
        <v>0</v>
      </c>
      <c r="AF279" s="47">
        <f>AF283</f>
        <v>0</v>
      </c>
      <c r="AG279" s="47">
        <f>AG283</f>
        <v>0</v>
      </c>
      <c r="AH279" s="47">
        <f>AH283</f>
        <v>0</v>
      </c>
      <c r="AI279" s="47">
        <f>AI283</f>
        <v>0</v>
      </c>
      <c r="AJ279" s="47">
        <f>AJ283</f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19"/>
      <c r="AQ279" s="96"/>
    </row>
    <row r="280" spans="1:44" s="266" customFormat="1" ht="17.25" hidden="1" customHeight="1" x14ac:dyDescent="0.25">
      <c r="A280" s="1359"/>
      <c r="B280" s="102" t="s">
        <v>93</v>
      </c>
      <c r="C280" s="576"/>
      <c r="D280" s="576"/>
      <c r="E280" s="576"/>
      <c r="F280" s="576"/>
      <c r="G280" s="104"/>
      <c r="H280" s="104"/>
      <c r="I280" s="1327"/>
      <c r="J280" s="106"/>
      <c r="K280" s="106"/>
      <c r="L280" s="96"/>
      <c r="M280" s="96"/>
      <c r="N280" s="96"/>
      <c r="O280" s="96"/>
      <c r="P280" s="96">
        <f>R280</f>
        <v>0</v>
      </c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21"/>
      <c r="AQ280" s="96"/>
    </row>
    <row r="281" spans="1:44" s="266" customFormat="1" ht="17.25" hidden="1" customHeight="1" x14ac:dyDescent="0.25">
      <c r="A281" s="1359"/>
      <c r="B281" s="252" t="s">
        <v>225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44" s="266" customFormat="1" ht="17.25" hidden="1" customHeight="1" x14ac:dyDescent="0.25">
      <c r="A282" s="1359"/>
      <c r="B282" s="252" t="s">
        <v>226</v>
      </c>
      <c r="C282" s="363"/>
      <c r="D282" s="363"/>
      <c r="E282" s="363"/>
      <c r="F282" s="363"/>
      <c r="G282" s="363"/>
      <c r="H282" s="364"/>
      <c r="I282" s="1327"/>
      <c r="J282" s="258"/>
      <c r="K282" s="96"/>
      <c r="L282" s="96"/>
      <c r="M282" s="96"/>
      <c r="N282" s="96"/>
      <c r="O282" s="96"/>
      <c r="P282" s="47"/>
      <c r="Q282" s="96">
        <f>S282</f>
        <v>0</v>
      </c>
      <c r="R282" s="96">
        <f>S282</f>
        <v>0</v>
      </c>
      <c r="S282" s="96">
        <v>0</v>
      </c>
      <c r="T282" s="96"/>
      <c r="U282" s="96"/>
      <c r="V282" s="96"/>
      <c r="W282" s="96"/>
      <c r="X282" s="96">
        <v>0</v>
      </c>
      <c r="Y282" s="96">
        <v>0</v>
      </c>
      <c r="Z282" s="96"/>
      <c r="AA282" s="96">
        <f>AB282</f>
        <v>0</v>
      </c>
      <c r="AB282" s="96">
        <v>0</v>
      </c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405"/>
      <c r="AQ282" s="96"/>
    </row>
    <row r="283" spans="1:44" s="266" customFormat="1" ht="17.25" hidden="1" customHeight="1" x14ac:dyDescent="0.25">
      <c r="A283" s="1359"/>
      <c r="B283" s="252" t="s">
        <v>227</v>
      </c>
      <c r="C283" s="363"/>
      <c r="D283" s="363"/>
      <c r="E283" s="363"/>
      <c r="F283" s="363"/>
      <c r="G283" s="363"/>
      <c r="H283" s="364"/>
      <c r="I283" s="1327"/>
      <c r="J283" s="258"/>
      <c r="K283" s="96"/>
      <c r="L283" s="96"/>
      <c r="M283" s="96"/>
      <c r="N283" s="96"/>
      <c r="O283" s="96"/>
      <c r="P283" s="47"/>
      <c r="Q283" s="96">
        <f>Y283</f>
        <v>0</v>
      </c>
      <c r="R283" s="96"/>
      <c r="S283" s="96"/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05"/>
      <c r="AQ283" s="96"/>
    </row>
    <row r="284" spans="1:44" ht="15.75" hidden="1" customHeight="1" x14ac:dyDescent="0.25">
      <c r="A284" s="1361"/>
      <c r="B284" s="1" t="s">
        <v>32</v>
      </c>
      <c r="C284" s="1155"/>
      <c r="D284" s="1155"/>
      <c r="E284" s="1155"/>
      <c r="F284" s="1155"/>
      <c r="G284" s="1122">
        <v>2022</v>
      </c>
      <c r="H284" s="1122">
        <v>2025</v>
      </c>
      <c r="I284" s="1328"/>
      <c r="J284" s="6">
        <f>L284</f>
        <v>4919.54</v>
      </c>
      <c r="K284" s="6"/>
      <c r="L284" s="47">
        <v>4919.54</v>
      </c>
      <c r="M284" s="47">
        <v>0</v>
      </c>
      <c r="N284" s="47">
        <v>1639.85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96"/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19"/>
      <c r="AQ284" s="96"/>
    </row>
    <row r="285" spans="1:44" s="327" customFormat="1" ht="22.5" customHeight="1" x14ac:dyDescent="0.25">
      <c r="A285" s="1358" t="s">
        <v>194</v>
      </c>
      <c r="B285" s="780" t="s">
        <v>196</v>
      </c>
      <c r="C285" s="1111"/>
      <c r="D285" s="1111"/>
      <c r="E285" s="1111"/>
      <c r="F285" s="1111">
        <v>82</v>
      </c>
      <c r="G285" s="807"/>
      <c r="H285" s="807"/>
      <c r="I285" s="1326" t="s">
        <v>20</v>
      </c>
      <c r="J285" s="52">
        <f>L285</f>
        <v>12299.37</v>
      </c>
      <c r="K285" s="52"/>
      <c r="L285" s="3">
        <f>L287</f>
        <v>12299.37</v>
      </c>
      <c r="M285" s="3">
        <f t="shared" ref="M285:AO285" si="160">M287</f>
        <v>0</v>
      </c>
      <c r="N285" s="3">
        <f t="shared" si="160"/>
        <v>0</v>
      </c>
      <c r="O285" s="3">
        <f t="shared" si="160"/>
        <v>5371.98</v>
      </c>
      <c r="P285" s="3">
        <f t="shared" si="160"/>
        <v>0</v>
      </c>
      <c r="Q285" s="3">
        <f>Q286+Q287</f>
        <v>1818.26</v>
      </c>
      <c r="R285" s="3">
        <f t="shared" ref="R285:AA285" si="161">R286+R287</f>
        <v>0</v>
      </c>
      <c r="S285" s="3">
        <f t="shared" si="161"/>
        <v>0</v>
      </c>
      <c r="T285" s="3">
        <f t="shared" si="161"/>
        <v>0</v>
      </c>
      <c r="U285" s="3">
        <f t="shared" si="161"/>
        <v>0</v>
      </c>
      <c r="V285" s="3">
        <f t="shared" si="161"/>
        <v>0</v>
      </c>
      <c r="W285" s="3">
        <f t="shared" si="161"/>
        <v>0</v>
      </c>
      <c r="X285" s="3">
        <f t="shared" si="161"/>
        <v>0</v>
      </c>
      <c r="Y285" s="3">
        <f t="shared" si="161"/>
        <v>0</v>
      </c>
      <c r="Z285" s="3">
        <f t="shared" si="161"/>
        <v>0</v>
      </c>
      <c r="AA285" s="3">
        <f t="shared" si="161"/>
        <v>1870</v>
      </c>
      <c r="AB285" s="3">
        <f t="shared" si="160"/>
        <v>0</v>
      </c>
      <c r="AC285" s="3">
        <f t="shared" si="160"/>
        <v>0</v>
      </c>
      <c r="AD285" s="3">
        <f t="shared" si="160"/>
        <v>0</v>
      </c>
      <c r="AE285" s="3">
        <f t="shared" si="160"/>
        <v>0</v>
      </c>
      <c r="AF285" s="3">
        <f t="shared" si="160"/>
        <v>0</v>
      </c>
      <c r="AG285" s="3">
        <f t="shared" si="160"/>
        <v>0</v>
      </c>
      <c r="AH285" s="3">
        <f t="shared" si="160"/>
        <v>0</v>
      </c>
      <c r="AI285" s="3">
        <f t="shared" si="160"/>
        <v>0</v>
      </c>
      <c r="AJ285" s="3">
        <f t="shared" si="160"/>
        <v>0</v>
      </c>
      <c r="AK285" s="3">
        <f t="shared" si="160"/>
        <v>0</v>
      </c>
      <c r="AL285" s="3">
        <f t="shared" si="160"/>
        <v>0</v>
      </c>
      <c r="AM285" s="3">
        <f t="shared" si="160"/>
        <v>0</v>
      </c>
      <c r="AN285" s="3">
        <f t="shared" si="160"/>
        <v>0</v>
      </c>
      <c r="AO285" s="3">
        <f t="shared" si="160"/>
        <v>0</v>
      </c>
      <c r="AP285" s="834"/>
      <c r="AQ285" s="95">
        <v>0</v>
      </c>
    </row>
    <row r="286" spans="1:44" ht="15.75" customHeight="1" x14ac:dyDescent="0.25">
      <c r="A286" s="1359"/>
      <c r="B286" s="1" t="s">
        <v>39</v>
      </c>
      <c r="C286" s="1156"/>
      <c r="D286" s="1156"/>
      <c r="E286" s="1156"/>
      <c r="F286" s="1156"/>
      <c r="G286" s="1122"/>
      <c r="H286" s="1122"/>
      <c r="I286" s="1327"/>
      <c r="J286" s="6"/>
      <c r="K286" s="6"/>
      <c r="L286" s="47"/>
      <c r="M286" s="47"/>
      <c r="N286" s="47"/>
      <c r="O286" s="47"/>
      <c r="P286" s="47">
        <f>R286</f>
        <v>0</v>
      </c>
      <c r="Q286" s="47">
        <f>1205.01+613.25</f>
        <v>1818.26</v>
      </c>
      <c r="R286" s="47">
        <f>S286</f>
        <v>0</v>
      </c>
      <c r="S286" s="47">
        <v>0</v>
      </c>
      <c r="T286" s="47"/>
      <c r="U286" s="47"/>
      <c r="V286" s="47"/>
      <c r="W286" s="47"/>
      <c r="X286" s="47"/>
      <c r="Y286" s="47"/>
      <c r="Z286" s="47"/>
      <c r="AA286" s="47">
        <v>1870</v>
      </c>
      <c r="AB286" s="47">
        <v>0</v>
      </c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19"/>
      <c r="AQ286" s="47"/>
    </row>
    <row r="287" spans="1:44" ht="19.5" customHeight="1" x14ac:dyDescent="0.25">
      <c r="A287" s="1361"/>
      <c r="B287" s="1" t="s">
        <v>213</v>
      </c>
      <c r="C287" s="1155"/>
      <c r="D287" s="1155"/>
      <c r="E287" s="1155"/>
      <c r="F287" s="1155"/>
      <c r="G287" s="1122">
        <v>2024</v>
      </c>
      <c r="H287" s="1122">
        <v>2029</v>
      </c>
      <c r="I287" s="1328"/>
      <c r="J287" s="6">
        <f>L287</f>
        <v>12299.37</v>
      </c>
      <c r="K287" s="6"/>
      <c r="L287" s="47">
        <v>12299.37</v>
      </c>
      <c r="M287" s="47">
        <v>0</v>
      </c>
      <c r="N287" s="47">
        <v>0</v>
      </c>
      <c r="O287" s="47">
        <v>5371.98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4" s="327" customFormat="1" ht="24" customHeight="1" x14ac:dyDescent="0.25">
      <c r="A288" s="1358" t="s">
        <v>195</v>
      </c>
      <c r="B288" s="780" t="s">
        <v>197</v>
      </c>
      <c r="C288" s="1111"/>
      <c r="D288" s="1111"/>
      <c r="E288" s="1111"/>
      <c r="F288" s="1111">
        <v>83</v>
      </c>
      <c r="G288" s="807"/>
      <c r="H288" s="807"/>
      <c r="I288" s="1109"/>
      <c r="J288" s="52">
        <f>L288</f>
        <v>264150.86</v>
      </c>
      <c r="K288" s="52"/>
      <c r="L288" s="3">
        <f t="shared" ref="L288:Z288" si="162">L289+L293</f>
        <v>264150.86</v>
      </c>
      <c r="M288" s="3">
        <f t="shared" si="162"/>
        <v>263850.07</v>
      </c>
      <c r="N288" s="3">
        <f t="shared" si="162"/>
        <v>263850.07</v>
      </c>
      <c r="O288" s="3">
        <f t="shared" si="162"/>
        <v>263850.07</v>
      </c>
      <c r="P288" s="3">
        <f t="shared" si="162"/>
        <v>3.4</v>
      </c>
      <c r="Q288" s="3">
        <f t="shared" si="162"/>
        <v>96982.150580000001</v>
      </c>
      <c r="R288" s="3">
        <f t="shared" si="162"/>
        <v>21705.95</v>
      </c>
      <c r="S288" s="3">
        <f t="shared" si="162"/>
        <v>21705.95</v>
      </c>
      <c r="T288" s="3">
        <f t="shared" si="162"/>
        <v>21705.95</v>
      </c>
      <c r="U288" s="3">
        <f t="shared" si="162"/>
        <v>21709.350000000002</v>
      </c>
      <c r="V288" s="3">
        <f t="shared" si="162"/>
        <v>21705.95</v>
      </c>
      <c r="W288" s="3">
        <f t="shared" si="162"/>
        <v>21705.95</v>
      </c>
      <c r="X288" s="3">
        <f t="shared" si="162"/>
        <v>21705.95</v>
      </c>
      <c r="Y288" s="3">
        <f t="shared" si="162"/>
        <v>21705.95</v>
      </c>
      <c r="Z288" s="3">
        <f t="shared" si="162"/>
        <v>21705.95</v>
      </c>
      <c r="AA288" s="3">
        <f>AA289+AA293</f>
        <v>104358.10305000001</v>
      </c>
      <c r="AB288" s="3">
        <f>AB289+AB293</f>
        <v>17522.268</v>
      </c>
      <c r="AC288" s="3">
        <f>AC289+AC293</f>
        <v>17119.198000000004</v>
      </c>
      <c r="AD288" s="3">
        <f t="shared" ref="AD288:AO288" si="163">AD289</f>
        <v>63735.476889999998</v>
      </c>
      <c r="AE288" s="3">
        <f t="shared" si="163"/>
        <v>0</v>
      </c>
      <c r="AF288" s="3">
        <f t="shared" si="163"/>
        <v>0</v>
      </c>
      <c r="AG288" s="3">
        <f t="shared" si="163"/>
        <v>0</v>
      </c>
      <c r="AH288" s="3">
        <f t="shared" si="163"/>
        <v>0</v>
      </c>
      <c r="AI288" s="3">
        <f t="shared" si="163"/>
        <v>0</v>
      </c>
      <c r="AJ288" s="3">
        <f t="shared" si="163"/>
        <v>0</v>
      </c>
      <c r="AK288" s="3">
        <f t="shared" si="163"/>
        <v>0</v>
      </c>
      <c r="AL288" s="3">
        <f t="shared" si="163"/>
        <v>0</v>
      </c>
      <c r="AM288" s="3">
        <v>7.79</v>
      </c>
      <c r="AN288" s="3">
        <f t="shared" si="163"/>
        <v>0</v>
      </c>
      <c r="AO288" s="3">
        <f t="shared" si="163"/>
        <v>0</v>
      </c>
      <c r="AP288" s="834"/>
      <c r="AQ288" s="95">
        <f>116.245</f>
        <v>116.245</v>
      </c>
      <c r="AR288" s="835"/>
    </row>
    <row r="289" spans="1:79" ht="14.25" customHeight="1" x14ac:dyDescent="0.25">
      <c r="A289" s="1359"/>
      <c r="B289" s="1" t="s">
        <v>213</v>
      </c>
      <c r="C289" s="1155"/>
      <c r="D289" s="1155"/>
      <c r="E289" s="1155"/>
      <c r="F289" s="1155"/>
      <c r="G289" s="1122">
        <v>2026</v>
      </c>
      <c r="H289" s="1122">
        <v>2033</v>
      </c>
      <c r="I289" s="1122" t="s">
        <v>20</v>
      </c>
      <c r="J289" s="6">
        <f>L289</f>
        <v>300.79000000000002</v>
      </c>
      <c r="K289" s="6"/>
      <c r="L289" s="47">
        <v>300.79000000000002</v>
      </c>
      <c r="M289" s="47">
        <v>0</v>
      </c>
      <c r="N289" s="47">
        <v>0</v>
      </c>
      <c r="O289" s="47">
        <v>0</v>
      </c>
      <c r="P289" s="47">
        <v>3.4</v>
      </c>
      <c r="Q289" s="47">
        <f>SUM(Q290:Q292)</f>
        <v>73.191859999999991</v>
      </c>
      <c r="R289" s="47">
        <f t="shared" ref="R289:AA289" si="164">SUM(R290:R292)</f>
        <v>0</v>
      </c>
      <c r="S289" s="47">
        <f t="shared" si="164"/>
        <v>0</v>
      </c>
      <c r="T289" s="47">
        <f t="shared" si="164"/>
        <v>0</v>
      </c>
      <c r="U289" s="47">
        <f t="shared" si="164"/>
        <v>3.4</v>
      </c>
      <c r="V289" s="47">
        <f t="shared" si="164"/>
        <v>0</v>
      </c>
      <c r="W289" s="47">
        <f t="shared" si="164"/>
        <v>0</v>
      </c>
      <c r="X289" s="47">
        <f t="shared" si="164"/>
        <v>0</v>
      </c>
      <c r="Y289" s="47">
        <f t="shared" si="164"/>
        <v>0</v>
      </c>
      <c r="Z289" s="47">
        <f t="shared" si="164"/>
        <v>0</v>
      </c>
      <c r="AA289" s="47">
        <f t="shared" si="164"/>
        <v>62.801859999999998</v>
      </c>
      <c r="AB289" s="47">
        <v>0</v>
      </c>
      <c r="AC289" s="47">
        <v>0</v>
      </c>
      <c r="AD289" s="47">
        <f>SUM(AD290:AD293)</f>
        <v>63735.476889999998</v>
      </c>
      <c r="AE289" s="47">
        <f>SUM(AE290:AE293)</f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19"/>
      <c r="AQ289" s="96"/>
      <c r="AR289" s="600"/>
      <c r="AS289" s="600"/>
      <c r="AT289" s="600"/>
      <c r="AU289" s="600"/>
      <c r="AV289" s="600"/>
      <c r="AW289" s="600"/>
      <c r="AX289" s="600"/>
      <c r="AY289" s="600"/>
      <c r="AZ289" s="600"/>
      <c r="BA289" s="600"/>
      <c r="BB289" s="600"/>
      <c r="BC289" s="600"/>
      <c r="BD289" s="600"/>
      <c r="BE289" s="600"/>
      <c r="BF289" s="600"/>
      <c r="BG289" s="600"/>
      <c r="BH289" s="600"/>
      <c r="BI289" s="600"/>
      <c r="BJ289" s="600"/>
      <c r="BK289" s="600"/>
      <c r="BL289" s="600"/>
      <c r="BM289" s="600"/>
      <c r="BN289" s="600"/>
      <c r="BO289" s="600"/>
      <c r="BP289" s="600"/>
      <c r="BQ289" s="600"/>
      <c r="BR289" s="600"/>
      <c r="BS289" s="600"/>
      <c r="BT289" s="600"/>
      <c r="BU289" s="600"/>
      <c r="BV289" s="600"/>
      <c r="BW289" s="600"/>
      <c r="BX289" s="600"/>
      <c r="BY289" s="600"/>
      <c r="BZ289" s="600"/>
      <c r="CA289" s="600"/>
    </row>
    <row r="290" spans="1:79" s="266" customFormat="1" ht="15" hidden="1" customHeight="1" x14ac:dyDescent="0.25">
      <c r="A290" s="1664"/>
      <c r="B290" s="92" t="s">
        <v>454</v>
      </c>
      <c r="C290" s="653"/>
      <c r="D290" s="653"/>
      <c r="E290" s="653"/>
      <c r="F290" s="653"/>
      <c r="G290" s="262"/>
      <c r="H290" s="262"/>
      <c r="I290" s="368"/>
      <c r="J290" s="442"/>
      <c r="K290" s="442"/>
      <c r="L290" s="268"/>
      <c r="M290" s="268"/>
      <c r="N290" s="268"/>
      <c r="O290" s="268"/>
      <c r="P290" s="268">
        <f>R290</f>
        <v>0</v>
      </c>
      <c r="Q290" s="268">
        <v>10.39</v>
      </c>
      <c r="R290" s="268">
        <f>S290</f>
        <v>0</v>
      </c>
      <c r="S290" s="268">
        <v>0</v>
      </c>
      <c r="T290" s="268"/>
      <c r="U290" s="268"/>
      <c r="V290" s="268"/>
      <c r="W290" s="268"/>
      <c r="X290" s="268"/>
      <c r="Y290" s="268"/>
      <c r="Z290" s="268"/>
      <c r="AA290" s="96"/>
      <c r="AB290" s="268">
        <v>0</v>
      </c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418"/>
      <c r="AQ290" s="268"/>
      <c r="AR290" s="602"/>
      <c r="AS290" s="602"/>
      <c r="AT290" s="602"/>
      <c r="AU290" s="602"/>
      <c r="AV290" s="602"/>
      <c r="AW290" s="602"/>
      <c r="AX290" s="602"/>
      <c r="AY290" s="602"/>
      <c r="AZ290" s="602"/>
      <c r="BA290" s="602"/>
      <c r="BB290" s="602"/>
      <c r="BC290" s="602"/>
      <c r="BD290" s="602"/>
      <c r="BE290" s="602"/>
      <c r="BF290" s="602"/>
      <c r="BG290" s="602"/>
      <c r="BH290" s="602"/>
      <c r="BI290" s="602"/>
      <c r="BJ290" s="602"/>
      <c r="BK290" s="602"/>
      <c r="BL290" s="602"/>
      <c r="BM290" s="602"/>
      <c r="BN290" s="602"/>
      <c r="BO290" s="602"/>
      <c r="BP290" s="602"/>
      <c r="BQ290" s="602"/>
      <c r="BR290" s="602"/>
      <c r="BS290" s="602"/>
      <c r="BT290" s="602"/>
      <c r="BU290" s="602"/>
      <c r="BV290" s="602"/>
      <c r="BW290" s="602"/>
      <c r="BX290" s="602"/>
      <c r="BY290" s="602"/>
      <c r="BZ290" s="602"/>
      <c r="CA290" s="602"/>
    </row>
    <row r="291" spans="1:79" s="544" customFormat="1" hidden="1" x14ac:dyDescent="0.25">
      <c r="A291" s="1664"/>
      <c r="B291" s="102" t="s">
        <v>312</v>
      </c>
      <c r="C291" s="576"/>
      <c r="D291" s="576"/>
      <c r="E291" s="576"/>
      <c r="F291" s="576"/>
      <c r="G291" s="104"/>
      <c r="H291" s="104"/>
      <c r="I291" s="443"/>
      <c r="J291" s="106"/>
      <c r="K291" s="106"/>
      <c r="L291" s="96"/>
      <c r="M291" s="96"/>
      <c r="N291" s="96"/>
      <c r="O291" s="96"/>
      <c r="P291" s="96"/>
      <c r="Q291" s="96"/>
      <c r="R291" s="96"/>
      <c r="S291" s="96">
        <v>0</v>
      </c>
      <c r="T291" s="96"/>
      <c r="U291" s="96">
        <v>3.4</v>
      </c>
      <c r="V291" s="96"/>
      <c r="W291" s="96"/>
      <c r="X291" s="96"/>
      <c r="Y291" s="96"/>
      <c r="Z291" s="96"/>
      <c r="AA291" s="96"/>
      <c r="AB291" s="96">
        <v>0</v>
      </c>
      <c r="AC291" s="96">
        <v>3.4</v>
      </c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421"/>
      <c r="AQ291" s="96"/>
      <c r="AR291" s="602"/>
      <c r="AS291" s="602"/>
      <c r="AT291" s="602"/>
      <c r="AU291" s="602"/>
      <c r="AV291" s="602"/>
      <c r="AW291" s="602"/>
      <c r="AX291" s="602"/>
      <c r="AY291" s="602"/>
      <c r="AZ291" s="602"/>
      <c r="BA291" s="602"/>
      <c r="BB291" s="602"/>
      <c r="BC291" s="602"/>
      <c r="BD291" s="602"/>
      <c r="BE291" s="602"/>
      <c r="BF291" s="602"/>
      <c r="BG291" s="602"/>
      <c r="BH291" s="602"/>
      <c r="BI291" s="602"/>
      <c r="BJ291" s="602"/>
      <c r="BK291" s="602"/>
      <c r="BL291" s="602"/>
      <c r="BM291" s="602"/>
      <c r="BN291" s="602"/>
      <c r="BO291" s="602"/>
      <c r="BP291" s="602"/>
      <c r="BQ291" s="602"/>
      <c r="BR291" s="602"/>
      <c r="BS291" s="602"/>
      <c r="BT291" s="602"/>
      <c r="BU291" s="602"/>
      <c r="BV291" s="602"/>
      <c r="BW291" s="602"/>
      <c r="BX291" s="602"/>
      <c r="BY291" s="602"/>
      <c r="BZ291" s="602"/>
      <c r="CA291" s="622"/>
    </row>
    <row r="292" spans="1:79" s="48" customFormat="1" ht="25.5" hidden="1" customHeight="1" x14ac:dyDescent="0.25">
      <c r="A292" s="1664"/>
      <c r="B292" s="102" t="s">
        <v>470</v>
      </c>
      <c r="C292" s="576"/>
      <c r="D292" s="576"/>
      <c r="E292" s="576"/>
      <c r="F292" s="576"/>
      <c r="G292" s="104"/>
      <c r="H292" s="104"/>
      <c r="I292" s="619"/>
      <c r="J292" s="106"/>
      <c r="K292" s="106"/>
      <c r="L292" s="96"/>
      <c r="M292" s="96"/>
      <c r="N292" s="96"/>
      <c r="O292" s="96"/>
      <c r="P292" s="96">
        <f>R292+T292</f>
        <v>0</v>
      </c>
      <c r="Q292" s="96">
        <v>62.801859999999998</v>
      </c>
      <c r="R292" s="96"/>
      <c r="S292" s="96"/>
      <c r="T292" s="96">
        <v>0</v>
      </c>
      <c r="U292" s="96">
        <v>0</v>
      </c>
      <c r="V292" s="96">
        <f>W292</f>
        <v>0</v>
      </c>
      <c r="W292" s="96">
        <v>0</v>
      </c>
      <c r="X292" s="96"/>
      <c r="Y292" s="96">
        <v>0</v>
      </c>
      <c r="Z292" s="96"/>
      <c r="AA292" s="96">
        <v>62.801859999999998</v>
      </c>
      <c r="AB292" s="96"/>
      <c r="AC292" s="96">
        <v>0</v>
      </c>
      <c r="AD292" s="96">
        <v>0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21"/>
    </row>
    <row r="293" spans="1:79" s="48" customFormat="1" ht="15.75" customHeight="1" x14ac:dyDescent="0.25">
      <c r="A293" s="1664"/>
      <c r="B293" s="1" t="s">
        <v>415</v>
      </c>
      <c r="C293" s="1156"/>
      <c r="D293" s="1156"/>
      <c r="E293" s="1156"/>
      <c r="F293" s="1156"/>
      <c r="G293" s="1122"/>
      <c r="H293" s="1122"/>
      <c r="I293" s="23" t="s">
        <v>10</v>
      </c>
      <c r="J293" s="6"/>
      <c r="K293" s="6"/>
      <c r="L293" s="47">
        <v>263850.07</v>
      </c>
      <c r="M293" s="47">
        <v>263850.07</v>
      </c>
      <c r="N293" s="47">
        <v>263850.07</v>
      </c>
      <c r="O293" s="47">
        <v>263850.07</v>
      </c>
      <c r="P293" s="47">
        <v>0</v>
      </c>
      <c r="Q293" s="47">
        <f>SUM(Q294:Q297)</f>
        <v>96908.958719999995</v>
      </c>
      <c r="R293" s="47">
        <v>21705.95</v>
      </c>
      <c r="S293" s="47">
        <v>21705.95</v>
      </c>
      <c r="T293" s="47">
        <v>21705.95</v>
      </c>
      <c r="U293" s="47">
        <v>21705.95</v>
      </c>
      <c r="V293" s="47">
        <v>21705.95</v>
      </c>
      <c r="W293" s="47">
        <v>21705.95</v>
      </c>
      <c r="X293" s="47">
        <v>21705.95</v>
      </c>
      <c r="Y293" s="47">
        <v>21705.95</v>
      </c>
      <c r="Z293" s="47">
        <v>21705.95</v>
      </c>
      <c r="AA293" s="47">
        <f>SUM(AA294:AA297)</f>
        <v>104295.30119</v>
      </c>
      <c r="AB293" s="47">
        <f t="shared" ref="AB293:AJ293" si="165">SUM(AB294:AB297)</f>
        <v>17522.268</v>
      </c>
      <c r="AC293" s="47">
        <f t="shared" si="165"/>
        <v>17119.198000000004</v>
      </c>
      <c r="AD293" s="47">
        <f t="shared" si="165"/>
        <v>63735.476889999998</v>
      </c>
      <c r="AE293" s="47">
        <f t="shared" si="165"/>
        <v>0</v>
      </c>
      <c r="AF293" s="47">
        <f t="shared" si="165"/>
        <v>0</v>
      </c>
      <c r="AG293" s="47">
        <f t="shared" si="165"/>
        <v>0</v>
      </c>
      <c r="AH293" s="47">
        <f t="shared" si="165"/>
        <v>0</v>
      </c>
      <c r="AI293" s="47">
        <f t="shared" si="165"/>
        <v>0</v>
      </c>
      <c r="AJ293" s="47">
        <f t="shared" si="165"/>
        <v>0</v>
      </c>
      <c r="AK293" s="47">
        <f>AK294</f>
        <v>0</v>
      </c>
      <c r="AL293" s="47">
        <v>0</v>
      </c>
      <c r="AM293" s="47">
        <v>0</v>
      </c>
      <c r="AN293" s="47">
        <v>0</v>
      </c>
      <c r="AO293" s="47">
        <v>0</v>
      </c>
      <c r="AP293" s="419"/>
      <c r="AQ293" s="96"/>
      <c r="AR293" s="600"/>
      <c r="AS293" s="600"/>
      <c r="AT293" s="600"/>
      <c r="AU293" s="600"/>
      <c r="AV293" s="600"/>
      <c r="AW293" s="600"/>
      <c r="AX293" s="600"/>
      <c r="AY293" s="600"/>
      <c r="AZ293" s="600"/>
      <c r="BA293" s="600"/>
      <c r="BB293" s="600"/>
      <c r="BC293" s="600"/>
      <c r="BD293" s="600"/>
      <c r="BE293" s="600"/>
      <c r="BF293" s="600"/>
      <c r="BG293" s="600"/>
      <c r="BH293" s="600"/>
      <c r="BI293" s="600"/>
      <c r="BJ293" s="600"/>
      <c r="BK293" s="600"/>
      <c r="BL293" s="600"/>
      <c r="BM293" s="600"/>
      <c r="BN293" s="600"/>
      <c r="BO293" s="600"/>
      <c r="BP293" s="600"/>
      <c r="BQ293" s="600"/>
      <c r="BR293" s="600"/>
      <c r="BS293" s="600"/>
      <c r="BT293" s="600"/>
      <c r="BU293" s="600"/>
      <c r="BV293" s="600"/>
      <c r="BW293" s="600"/>
      <c r="BX293" s="600"/>
      <c r="BY293" s="600"/>
      <c r="BZ293" s="600"/>
      <c r="CA293" s="621"/>
    </row>
    <row r="294" spans="1:79" s="544" customFormat="1" hidden="1" x14ac:dyDescent="0.25">
      <c r="A294" s="1664"/>
      <c r="B294" s="102" t="s">
        <v>304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f>21662.59874+8211.12924+16706.17315+24031.27674+18770.21849</f>
        <v>89381.396359999999</v>
      </c>
      <c r="R294" s="96"/>
      <c r="S294" s="96">
        <v>17505.331999999999</v>
      </c>
      <c r="T294" s="96"/>
      <c r="U294" s="96">
        <v>17063.596000000001</v>
      </c>
      <c r="V294" s="96"/>
      <c r="W294" s="96">
        <v>63608.259890000001</v>
      </c>
      <c r="X294" s="96"/>
      <c r="Y294" s="96"/>
      <c r="Z294" s="96"/>
      <c r="AA294" s="96">
        <f>21662.59874+8211.12924+16706.17315+24031.27674+18770.21849</f>
        <v>89381.396359999999</v>
      </c>
      <c r="AB294" s="96">
        <v>17505.331999999999</v>
      </c>
      <c r="AC294" s="96">
        <v>17063.596000000001</v>
      </c>
      <c r="AD294" s="96">
        <v>63608.259890000001</v>
      </c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hidden="1" x14ac:dyDescent="0.25">
      <c r="A295" s="1664"/>
      <c r="B295" s="102" t="s">
        <v>305</v>
      </c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f>43.3252+16.42226+33.41235+48.06255</f>
        <v>141.22236000000001</v>
      </c>
      <c r="R295" s="96"/>
      <c r="S295" s="96">
        <v>16.936</v>
      </c>
      <c r="T295" s="96"/>
      <c r="U295" s="96">
        <v>35.421999999999997</v>
      </c>
      <c r="V295" s="96"/>
      <c r="W295" s="96">
        <f>127.21652+16.78083</f>
        <v>143.99735000000001</v>
      </c>
      <c r="X295" s="96"/>
      <c r="Y295" s="96"/>
      <c r="Z295" s="96"/>
      <c r="AA295" s="96">
        <f>43.3252+16.42226+33.41235+48.06255</f>
        <v>141.22236000000001</v>
      </c>
      <c r="AB295" s="96">
        <v>16.936</v>
      </c>
      <c r="AC295" s="96">
        <v>52.201999999999998</v>
      </c>
      <c r="AD295" s="96">
        <v>127.217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544" customFormat="1" hidden="1" x14ac:dyDescent="0.25">
      <c r="A296" s="1664"/>
      <c r="B296" s="102" t="s">
        <v>317</v>
      </c>
      <c r="C296" s="576"/>
      <c r="D296" s="576"/>
      <c r="E296" s="576"/>
      <c r="F296" s="576"/>
      <c r="G296" s="104"/>
      <c r="H296" s="104"/>
      <c r="I296" s="443"/>
      <c r="J296" s="106"/>
      <c r="K296" s="106"/>
      <c r="L296" s="96"/>
      <c r="M296" s="96"/>
      <c r="N296" s="96"/>
      <c r="O296" s="96"/>
      <c r="P296" s="96"/>
      <c r="Q296" s="96">
        <v>7386.34</v>
      </c>
      <c r="R296" s="96"/>
      <c r="S296" s="96"/>
      <c r="T296" s="96"/>
      <c r="U296" s="96">
        <v>9848.4549999999999</v>
      </c>
      <c r="V296" s="96"/>
      <c r="W296" s="96"/>
      <c r="X296" s="96"/>
      <c r="Y296" s="96"/>
      <c r="Z296" s="96"/>
      <c r="AA296" s="96">
        <v>14772.68247</v>
      </c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421"/>
      <c r="AQ296" s="96"/>
      <c r="AR296" s="602"/>
      <c r="AS296" s="602"/>
      <c r="AT296" s="602"/>
      <c r="AU296" s="602"/>
      <c r="AV296" s="602"/>
      <c r="AW296" s="602"/>
      <c r="AX296" s="602"/>
      <c r="AY296" s="602"/>
      <c r="AZ296" s="602"/>
      <c r="BA296" s="602"/>
      <c r="BB296" s="602"/>
      <c r="BC296" s="602"/>
      <c r="BD296" s="602"/>
      <c r="BE296" s="602"/>
      <c r="BF296" s="602"/>
      <c r="BG296" s="602"/>
      <c r="BH296" s="602"/>
      <c r="BI296" s="602"/>
      <c r="BJ296" s="602"/>
      <c r="BK296" s="602"/>
      <c r="BL296" s="602"/>
      <c r="BM296" s="602"/>
      <c r="BN296" s="602"/>
      <c r="BO296" s="602"/>
      <c r="BP296" s="602"/>
      <c r="BQ296" s="602"/>
      <c r="BR296" s="602"/>
      <c r="BS296" s="602"/>
      <c r="BT296" s="602"/>
      <c r="BU296" s="602"/>
      <c r="BV296" s="602"/>
      <c r="BW296" s="602"/>
      <c r="BX296" s="602"/>
      <c r="BY296" s="602"/>
      <c r="BZ296" s="602"/>
      <c r="CA296" s="622"/>
    </row>
    <row r="297" spans="1:79" s="544" customFormat="1" hidden="1" x14ac:dyDescent="0.25">
      <c r="A297" s="1665"/>
      <c r="B297" s="102"/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v>0</v>
      </c>
      <c r="R297" s="96"/>
      <c r="S297" s="96">
        <v>0</v>
      </c>
      <c r="T297" s="96"/>
      <c r="U297" s="96">
        <v>3.4</v>
      </c>
      <c r="V297" s="96"/>
      <c r="W297" s="96"/>
      <c r="X297" s="96"/>
      <c r="Y297" s="96"/>
      <c r="Z297" s="96"/>
      <c r="AA297" s="96">
        <v>0</v>
      </c>
      <c r="AB297" s="96">
        <v>0</v>
      </c>
      <c r="AC297" s="96">
        <v>3.4</v>
      </c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327" customFormat="1" ht="33" customHeight="1" x14ac:dyDescent="0.25">
      <c r="A298" s="1358" t="s">
        <v>194</v>
      </c>
      <c r="B298" s="780" t="s">
        <v>393</v>
      </c>
      <c r="C298" s="1111"/>
      <c r="D298" s="1111"/>
      <c r="E298" s="1111"/>
      <c r="F298" s="1111">
        <v>82</v>
      </c>
      <c r="G298" s="807"/>
      <c r="H298" s="807"/>
      <c r="I298" s="1326" t="s">
        <v>20</v>
      </c>
      <c r="J298" s="52">
        <f>L298</f>
        <v>12299.37</v>
      </c>
      <c r="K298" s="52"/>
      <c r="L298" s="3">
        <f>L300</f>
        <v>12299.37</v>
      </c>
      <c r="M298" s="3">
        <f t="shared" ref="M298:Y298" si="166">M300</f>
        <v>0</v>
      </c>
      <c r="N298" s="3">
        <f t="shared" si="166"/>
        <v>0</v>
      </c>
      <c r="O298" s="3">
        <f t="shared" si="166"/>
        <v>5371.98</v>
      </c>
      <c r="P298" s="3">
        <f>P299+P300</f>
        <v>2400.44</v>
      </c>
      <c r="Q298" s="3">
        <f t="shared" si="166"/>
        <v>0</v>
      </c>
      <c r="R298" s="3">
        <f t="shared" si="166"/>
        <v>0</v>
      </c>
      <c r="S298" s="3">
        <f t="shared" si="166"/>
        <v>0</v>
      </c>
      <c r="T298" s="3">
        <f t="shared" si="166"/>
        <v>0</v>
      </c>
      <c r="U298" s="3">
        <f t="shared" si="166"/>
        <v>0</v>
      </c>
      <c r="V298" s="3">
        <f t="shared" si="166"/>
        <v>0</v>
      </c>
      <c r="W298" s="3">
        <f t="shared" si="166"/>
        <v>0</v>
      </c>
      <c r="X298" s="3">
        <f t="shared" si="166"/>
        <v>0</v>
      </c>
      <c r="Y298" s="3">
        <f t="shared" si="166"/>
        <v>0</v>
      </c>
      <c r="Z298" s="95">
        <v>0</v>
      </c>
      <c r="AA298" s="3">
        <f t="shared" ref="AA298:AO298" si="167">AA300</f>
        <v>0</v>
      </c>
      <c r="AB298" s="3">
        <f t="shared" si="167"/>
        <v>0</v>
      </c>
      <c r="AC298" s="3">
        <f t="shared" si="167"/>
        <v>0</v>
      </c>
      <c r="AD298" s="3">
        <f t="shared" si="167"/>
        <v>0</v>
      </c>
      <c r="AE298" s="3">
        <f t="shared" si="167"/>
        <v>0</v>
      </c>
      <c r="AF298" s="3">
        <f t="shared" si="167"/>
        <v>0</v>
      </c>
      <c r="AG298" s="3">
        <f t="shared" si="167"/>
        <v>0</v>
      </c>
      <c r="AH298" s="3">
        <f t="shared" si="167"/>
        <v>0</v>
      </c>
      <c r="AI298" s="3">
        <f t="shared" si="167"/>
        <v>0</v>
      </c>
      <c r="AJ298" s="3">
        <f t="shared" si="167"/>
        <v>0</v>
      </c>
      <c r="AK298" s="3">
        <f t="shared" si="167"/>
        <v>0</v>
      </c>
      <c r="AL298" s="3">
        <f t="shared" si="167"/>
        <v>0</v>
      </c>
      <c r="AM298" s="3">
        <f t="shared" si="167"/>
        <v>0</v>
      </c>
      <c r="AN298" s="3">
        <f t="shared" si="167"/>
        <v>0</v>
      </c>
      <c r="AO298" s="3">
        <f t="shared" si="167"/>
        <v>0</v>
      </c>
      <c r="AP298" s="834"/>
      <c r="AQ298" s="95">
        <v>0</v>
      </c>
    </row>
    <row r="299" spans="1:79" ht="15.75" customHeight="1" x14ac:dyDescent="0.25">
      <c r="A299" s="1359"/>
      <c r="B299" s="1" t="s">
        <v>39</v>
      </c>
      <c r="C299" s="1156"/>
      <c r="D299" s="1156"/>
      <c r="E299" s="1156"/>
      <c r="F299" s="1156"/>
      <c r="G299" s="1122"/>
      <c r="H299" s="1122"/>
      <c r="I299" s="1327"/>
      <c r="J299" s="6"/>
      <c r="K299" s="6"/>
      <c r="L299" s="47"/>
      <c r="M299" s="47"/>
      <c r="N299" s="47"/>
      <c r="O299" s="47"/>
      <c r="P299" s="47">
        <v>2400.44</v>
      </c>
      <c r="Q299" s="47">
        <f>S299</f>
        <v>0</v>
      </c>
      <c r="R299" s="47">
        <f>S299</f>
        <v>0</v>
      </c>
      <c r="S299" s="47">
        <v>0</v>
      </c>
      <c r="T299" s="47"/>
      <c r="U299" s="47"/>
      <c r="V299" s="47"/>
      <c r="W299" s="47"/>
      <c r="X299" s="47"/>
      <c r="Y299" s="47"/>
      <c r="Z299" s="47"/>
      <c r="AA299" s="47">
        <v>0</v>
      </c>
      <c r="AB299" s="47">
        <v>0</v>
      </c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19"/>
      <c r="AQ299" s="47"/>
    </row>
    <row r="300" spans="1:79" ht="18.75" customHeight="1" x14ac:dyDescent="0.25">
      <c r="A300" s="1361"/>
      <c r="B300" s="1" t="s">
        <v>213</v>
      </c>
      <c r="C300" s="1155"/>
      <c r="D300" s="1155"/>
      <c r="E300" s="1155"/>
      <c r="F300" s="1155"/>
      <c r="G300" s="1122">
        <v>2024</v>
      </c>
      <c r="H300" s="1122">
        <v>2029</v>
      </c>
      <c r="I300" s="1328"/>
      <c r="J300" s="6">
        <f>L300</f>
        <v>12299.37</v>
      </c>
      <c r="K300" s="6"/>
      <c r="L300" s="47">
        <v>12299.37</v>
      </c>
      <c r="M300" s="47">
        <v>0</v>
      </c>
      <c r="N300" s="47">
        <v>0</v>
      </c>
      <c r="O300" s="47">
        <v>5371.98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>
        <v>0</v>
      </c>
      <c r="Z300" s="96"/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19"/>
      <c r="AQ300" s="96"/>
    </row>
    <row r="301" spans="1:79" ht="15.75" hidden="1" x14ac:dyDescent="0.25">
      <c r="B301" s="623" t="s">
        <v>96</v>
      </c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 t="s">
        <v>97</v>
      </c>
      <c r="U301" s="623"/>
      <c r="V301" s="623"/>
      <c r="W301" s="623"/>
      <c r="AB301" s="623" t="s">
        <v>97</v>
      </c>
      <c r="AO301" s="623"/>
      <c r="AP301" s="623"/>
    </row>
    <row r="302" spans="1:79" ht="15.75" hidden="1" x14ac:dyDescent="0.25">
      <c r="B302" s="623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/>
      <c r="U302" s="623"/>
      <c r="AB302" s="623"/>
      <c r="AC302" s="626" t="s">
        <v>98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99</v>
      </c>
      <c r="AN302" s="623"/>
      <c r="AO302" s="623"/>
      <c r="AP302" s="623"/>
    </row>
    <row r="303" spans="1:79" ht="15.75" hidden="1" x14ac:dyDescent="0.25">
      <c r="B303" s="623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4"/>
      <c r="Q303" s="623"/>
      <c r="S303" s="623"/>
      <c r="T303" s="623"/>
      <c r="W303" s="623" t="s">
        <v>98</v>
      </c>
      <c r="AB303" s="623"/>
      <c r="AD303" s="623"/>
      <c r="AE303" s="623"/>
      <c r="AF303" s="623"/>
      <c r="AG303" s="623"/>
      <c r="AH303" s="623"/>
      <c r="AI303" s="623"/>
      <c r="AJ303" s="623"/>
      <c r="AK303" s="623"/>
      <c r="AL303" s="623"/>
      <c r="AM303" s="623"/>
      <c r="AN303" s="623"/>
      <c r="AO303" s="623"/>
      <c r="AP303" s="623"/>
    </row>
    <row r="304" spans="1:79" ht="15.75" hidden="1" x14ac:dyDescent="0.25">
      <c r="B304" s="623" t="s">
        <v>94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95</v>
      </c>
      <c r="W304" s="623"/>
      <c r="AB304" s="623" t="s">
        <v>95</v>
      </c>
      <c r="AC304" s="626" t="s">
        <v>100</v>
      </c>
      <c r="AD304" s="623"/>
      <c r="AE304" s="623"/>
      <c r="AF304" s="623"/>
      <c r="AG304" s="623"/>
      <c r="AH304" s="623"/>
      <c r="AI304" s="623"/>
      <c r="AJ304" s="623"/>
      <c r="AK304" s="623"/>
      <c r="AL304" s="623"/>
      <c r="AM304" s="623" t="s">
        <v>101</v>
      </c>
      <c r="AN304" s="623"/>
    </row>
    <row r="305" spans="1:43" ht="15.75" hidden="1" x14ac:dyDescent="0.25">
      <c r="W305" s="623"/>
      <c r="AJ305" s="623"/>
    </row>
    <row r="306" spans="1:43" ht="15.75" hidden="1" x14ac:dyDescent="0.25">
      <c r="W306" s="623" t="s">
        <v>100</v>
      </c>
      <c r="AJ306" s="623" t="s">
        <v>101</v>
      </c>
    </row>
    <row r="307" spans="1:43" s="624" customFormat="1" ht="4.5" hidden="1" customHeight="1" x14ac:dyDescent="0.25">
      <c r="B307" s="624" t="s">
        <v>242</v>
      </c>
      <c r="T307" s="624" t="s">
        <v>151</v>
      </c>
      <c r="X307" s="627"/>
      <c r="Y307" s="627"/>
      <c r="Z307" s="627"/>
      <c r="AB307" s="624" t="s">
        <v>151</v>
      </c>
      <c r="AP307" s="628"/>
      <c r="AQ307" s="627"/>
    </row>
    <row r="308" spans="1:43" s="327" customFormat="1" ht="29.25" customHeight="1" x14ac:dyDescent="0.25">
      <c r="A308" s="1358" t="s">
        <v>194</v>
      </c>
      <c r="B308" s="780" t="s">
        <v>394</v>
      </c>
      <c r="C308" s="1111"/>
      <c r="D308" s="1111"/>
      <c r="E308" s="1111"/>
      <c r="F308" s="1111">
        <v>82</v>
      </c>
      <c r="G308" s="807"/>
      <c r="H308" s="807"/>
      <c r="I308" s="1326" t="s">
        <v>20</v>
      </c>
      <c r="J308" s="52">
        <f>L308</f>
        <v>12299.37</v>
      </c>
      <c r="K308" s="52"/>
      <c r="L308" s="3">
        <f>L310</f>
        <v>12299.37</v>
      </c>
      <c r="M308" s="3">
        <f t="shared" ref="M308:Y308" si="168">M310</f>
        <v>0</v>
      </c>
      <c r="N308" s="3">
        <f t="shared" si="168"/>
        <v>0</v>
      </c>
      <c r="O308" s="3">
        <f t="shared" si="168"/>
        <v>5371.98</v>
      </c>
      <c r="P308" s="3">
        <f>P309+P310</f>
        <v>2804.27</v>
      </c>
      <c r="Q308" s="3">
        <f t="shared" si="168"/>
        <v>0</v>
      </c>
      <c r="R308" s="3">
        <f t="shared" si="168"/>
        <v>0</v>
      </c>
      <c r="S308" s="3">
        <f t="shared" si="168"/>
        <v>0</v>
      </c>
      <c r="T308" s="3">
        <f t="shared" si="168"/>
        <v>0</v>
      </c>
      <c r="U308" s="3">
        <f t="shared" si="168"/>
        <v>0</v>
      </c>
      <c r="V308" s="3">
        <f t="shared" si="168"/>
        <v>0</v>
      </c>
      <c r="W308" s="3">
        <f t="shared" si="168"/>
        <v>0</v>
      </c>
      <c r="X308" s="3">
        <f t="shared" si="168"/>
        <v>0</v>
      </c>
      <c r="Y308" s="3">
        <f t="shared" si="168"/>
        <v>0</v>
      </c>
      <c r="Z308" s="95">
        <v>0</v>
      </c>
      <c r="AA308" s="3">
        <f t="shared" ref="AA308:AO308" si="169">AA310</f>
        <v>0</v>
      </c>
      <c r="AB308" s="3">
        <f t="shared" si="169"/>
        <v>0</v>
      </c>
      <c r="AC308" s="3">
        <f t="shared" si="169"/>
        <v>0</v>
      </c>
      <c r="AD308" s="3">
        <f t="shared" si="169"/>
        <v>0</v>
      </c>
      <c r="AE308" s="3">
        <f t="shared" si="169"/>
        <v>0</v>
      </c>
      <c r="AF308" s="3">
        <f t="shared" si="169"/>
        <v>0</v>
      </c>
      <c r="AG308" s="3">
        <f t="shared" si="169"/>
        <v>0</v>
      </c>
      <c r="AH308" s="3">
        <f t="shared" si="169"/>
        <v>0</v>
      </c>
      <c r="AI308" s="3">
        <f t="shared" si="169"/>
        <v>0</v>
      </c>
      <c r="AJ308" s="3">
        <f t="shared" si="169"/>
        <v>0</v>
      </c>
      <c r="AK308" s="3">
        <f t="shared" si="169"/>
        <v>0</v>
      </c>
      <c r="AL308" s="3">
        <f t="shared" si="169"/>
        <v>0</v>
      </c>
      <c r="AM308" s="3">
        <f t="shared" si="169"/>
        <v>0</v>
      </c>
      <c r="AN308" s="3">
        <f t="shared" si="169"/>
        <v>0</v>
      </c>
      <c r="AO308" s="3">
        <f t="shared" si="169"/>
        <v>0</v>
      </c>
      <c r="AP308" s="834"/>
      <c r="AQ308" s="95">
        <v>0</v>
      </c>
    </row>
    <row r="309" spans="1:43" ht="15.75" customHeight="1" x14ac:dyDescent="0.25">
      <c r="A309" s="1359"/>
      <c r="B309" s="1" t="s">
        <v>39</v>
      </c>
      <c r="C309" s="1156"/>
      <c r="D309" s="1156"/>
      <c r="E309" s="1156"/>
      <c r="F309" s="1156"/>
      <c r="G309" s="1122"/>
      <c r="H309" s="1122"/>
      <c r="I309" s="1327"/>
      <c r="J309" s="6"/>
      <c r="K309" s="6"/>
      <c r="L309" s="47"/>
      <c r="M309" s="47"/>
      <c r="N309" s="47"/>
      <c r="O309" s="47"/>
      <c r="P309" s="47">
        <v>2804.27</v>
      </c>
      <c r="Q309" s="47">
        <f>S309</f>
        <v>0</v>
      </c>
      <c r="R309" s="47">
        <f>S309</f>
        <v>0</v>
      </c>
      <c r="S309" s="47">
        <v>0</v>
      </c>
      <c r="T309" s="47"/>
      <c r="U309" s="47"/>
      <c r="V309" s="47"/>
      <c r="W309" s="47"/>
      <c r="X309" s="47"/>
      <c r="Y309" s="47"/>
      <c r="Z309" s="47"/>
      <c r="AA309" s="47">
        <v>0</v>
      </c>
      <c r="AB309" s="47">
        <v>0</v>
      </c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19"/>
      <c r="AQ309" s="47"/>
    </row>
    <row r="310" spans="1:43" ht="19.5" customHeight="1" x14ac:dyDescent="0.25">
      <c r="A310" s="1361"/>
      <c r="B310" s="1" t="s">
        <v>213</v>
      </c>
      <c r="C310" s="1155"/>
      <c r="D310" s="1155"/>
      <c r="E310" s="1155"/>
      <c r="F310" s="1155"/>
      <c r="G310" s="1122">
        <v>2024</v>
      </c>
      <c r="H310" s="1122">
        <v>2029</v>
      </c>
      <c r="I310" s="1328"/>
      <c r="J310" s="6">
        <f>L310</f>
        <v>12299.37</v>
      </c>
      <c r="K310" s="6"/>
      <c r="L310" s="47">
        <v>12299.37</v>
      </c>
      <c r="M310" s="47">
        <v>0</v>
      </c>
      <c r="N310" s="47">
        <v>0</v>
      </c>
      <c r="O310" s="47">
        <v>5371.98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96"/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19"/>
      <c r="AQ310" s="96"/>
    </row>
    <row r="311" spans="1:43" s="327" customFormat="1" ht="29.25" customHeight="1" x14ac:dyDescent="0.25">
      <c r="A311" s="1358" t="s">
        <v>194</v>
      </c>
      <c r="B311" s="780" t="s">
        <v>459</v>
      </c>
      <c r="C311" s="1111"/>
      <c r="D311" s="1111"/>
      <c r="E311" s="1111"/>
      <c r="F311" s="1111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70">M313</f>
        <v>0</v>
      </c>
      <c r="N311" s="3">
        <f t="shared" si="170"/>
        <v>0</v>
      </c>
      <c r="O311" s="3">
        <f t="shared" si="170"/>
        <v>5371.98</v>
      </c>
      <c r="P311" s="3">
        <f>P312+P313</f>
        <v>377.92</v>
      </c>
      <c r="Q311" s="3">
        <f t="shared" si="170"/>
        <v>0</v>
      </c>
      <c r="R311" s="3">
        <f t="shared" si="170"/>
        <v>0</v>
      </c>
      <c r="S311" s="3">
        <f t="shared" si="170"/>
        <v>0</v>
      </c>
      <c r="T311" s="3">
        <f t="shared" si="170"/>
        <v>0</v>
      </c>
      <c r="U311" s="3">
        <f t="shared" si="170"/>
        <v>0</v>
      </c>
      <c r="V311" s="3">
        <f t="shared" si="170"/>
        <v>0</v>
      </c>
      <c r="W311" s="3">
        <f t="shared" si="170"/>
        <v>0</v>
      </c>
      <c r="X311" s="3">
        <f t="shared" si="170"/>
        <v>0</v>
      </c>
      <c r="Y311" s="3">
        <f t="shared" si="170"/>
        <v>0</v>
      </c>
      <c r="Z311" s="95">
        <v>0</v>
      </c>
      <c r="AA311" s="3">
        <f t="shared" ref="AA311:AO311" si="171">AA313</f>
        <v>0</v>
      </c>
      <c r="AB311" s="3">
        <f t="shared" si="171"/>
        <v>0</v>
      </c>
      <c r="AC311" s="3">
        <f t="shared" si="171"/>
        <v>0</v>
      </c>
      <c r="AD311" s="3">
        <f t="shared" si="171"/>
        <v>0</v>
      </c>
      <c r="AE311" s="3">
        <f t="shared" si="171"/>
        <v>0</v>
      </c>
      <c r="AF311" s="3">
        <f t="shared" si="171"/>
        <v>0</v>
      </c>
      <c r="AG311" s="3">
        <f t="shared" si="171"/>
        <v>0</v>
      </c>
      <c r="AH311" s="3">
        <f t="shared" si="171"/>
        <v>0</v>
      </c>
      <c r="AI311" s="3">
        <f t="shared" si="171"/>
        <v>0</v>
      </c>
      <c r="AJ311" s="3">
        <f t="shared" si="171"/>
        <v>0</v>
      </c>
      <c r="AK311" s="3">
        <f t="shared" si="171"/>
        <v>0</v>
      </c>
      <c r="AL311" s="3">
        <f t="shared" si="171"/>
        <v>0</v>
      </c>
      <c r="AM311" s="3">
        <f t="shared" si="171"/>
        <v>0</v>
      </c>
      <c r="AN311" s="3">
        <f t="shared" si="171"/>
        <v>0</v>
      </c>
      <c r="AO311" s="3">
        <f t="shared" si="171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1156"/>
      <c r="D312" s="1156"/>
      <c r="E312" s="1156"/>
      <c r="F312" s="1156"/>
      <c r="G312" s="1122"/>
      <c r="H312" s="1122"/>
      <c r="I312" s="1327"/>
      <c r="J312" s="6"/>
      <c r="K312" s="6"/>
      <c r="L312" s="47"/>
      <c r="M312" s="47"/>
      <c r="N312" s="47"/>
      <c r="O312" s="47"/>
      <c r="P312" s="47">
        <v>377.92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1155"/>
      <c r="D313" s="1155"/>
      <c r="E313" s="1155"/>
      <c r="F313" s="1155"/>
      <c r="G313" s="1122">
        <v>2024</v>
      </c>
      <c r="H313" s="1122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</sheetData>
  <mergeCells count="199">
    <mergeCell ref="A1:AP1"/>
    <mergeCell ref="E3:F3"/>
    <mergeCell ref="M3:O3"/>
    <mergeCell ref="R3:S3"/>
    <mergeCell ref="T3:U3"/>
    <mergeCell ref="V3:W3"/>
    <mergeCell ref="X3:Y3"/>
    <mergeCell ref="AF3:AJ3"/>
    <mergeCell ref="AL3:AO3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I68:I71"/>
    <mergeCell ref="J68:J71"/>
    <mergeCell ref="A78:A81"/>
    <mergeCell ref="B78:H81"/>
    <mergeCell ref="A82:A83"/>
    <mergeCell ref="I82:I83"/>
    <mergeCell ref="A65:A67"/>
    <mergeCell ref="B65:H67"/>
    <mergeCell ref="A68:A71"/>
    <mergeCell ref="C68:C71"/>
    <mergeCell ref="D68:D71"/>
    <mergeCell ref="E68:E71"/>
    <mergeCell ref="F68:F71"/>
    <mergeCell ref="A96:A98"/>
    <mergeCell ref="I96:I97"/>
    <mergeCell ref="A99:A100"/>
    <mergeCell ref="I99:I100"/>
    <mergeCell ref="A102:A107"/>
    <mergeCell ref="I102:I107"/>
    <mergeCell ref="C86:C91"/>
    <mergeCell ref="D86:D91"/>
    <mergeCell ref="E86:E91"/>
    <mergeCell ref="F86:F91"/>
    <mergeCell ref="I86:I91"/>
    <mergeCell ref="A93:A95"/>
    <mergeCell ref="I93:I94"/>
    <mergeCell ref="A120:A124"/>
    <mergeCell ref="I120:I124"/>
    <mergeCell ref="A125:A126"/>
    <mergeCell ref="I125:I126"/>
    <mergeCell ref="A128:A131"/>
    <mergeCell ref="B128:H131"/>
    <mergeCell ref="A108:A112"/>
    <mergeCell ref="I108:I112"/>
    <mergeCell ref="A113:A114"/>
    <mergeCell ref="I113:I114"/>
    <mergeCell ref="A116:A119"/>
    <mergeCell ref="I116:I119"/>
    <mergeCell ref="A148:A152"/>
    <mergeCell ref="I148:I152"/>
    <mergeCell ref="J148:J152"/>
    <mergeCell ref="A155:H159"/>
    <mergeCell ref="A160:A163"/>
    <mergeCell ref="B160:H163"/>
    <mergeCell ref="A138:A142"/>
    <mergeCell ref="I138:I142"/>
    <mergeCell ref="J138:J142"/>
    <mergeCell ref="A143:A147"/>
    <mergeCell ref="I143:I147"/>
    <mergeCell ref="J143:J147"/>
    <mergeCell ref="H164:H165"/>
    <mergeCell ref="I164:I165"/>
    <mergeCell ref="J164:J165"/>
    <mergeCell ref="K164:K165"/>
    <mergeCell ref="A167:A170"/>
    <mergeCell ref="F167:F170"/>
    <mergeCell ref="I167:I170"/>
    <mergeCell ref="A164:A165"/>
    <mergeCell ref="C164:C165"/>
    <mergeCell ref="D164:D165"/>
    <mergeCell ref="E164:E165"/>
    <mergeCell ref="F164:F165"/>
    <mergeCell ref="G164:G165"/>
    <mergeCell ref="K171:K172"/>
    <mergeCell ref="A180:A181"/>
    <mergeCell ref="I180:I181"/>
    <mergeCell ref="A171:A172"/>
    <mergeCell ref="C171:C172"/>
    <mergeCell ref="D171:D172"/>
    <mergeCell ref="E171:E172"/>
    <mergeCell ref="F171:F172"/>
    <mergeCell ref="G171:G172"/>
    <mergeCell ref="A184:A185"/>
    <mergeCell ref="I184:I185"/>
    <mergeCell ref="A187:A188"/>
    <mergeCell ref="I187:I188"/>
    <mergeCell ref="A204:A207"/>
    <mergeCell ref="B204:H207"/>
    <mergeCell ref="H171:H172"/>
    <mergeCell ref="I171:I172"/>
    <mergeCell ref="J171:J172"/>
    <mergeCell ref="J208:J212"/>
    <mergeCell ref="A213:A214"/>
    <mergeCell ref="I213:I214"/>
    <mergeCell ref="I219:I220"/>
    <mergeCell ref="I225:I226"/>
    <mergeCell ref="I227:I228"/>
    <mergeCell ref="A208:A212"/>
    <mergeCell ref="C208:C212"/>
    <mergeCell ref="D208:D212"/>
    <mergeCell ref="E208:E212"/>
    <mergeCell ref="F208:F212"/>
    <mergeCell ref="I208:I212"/>
    <mergeCell ref="H238:H241"/>
    <mergeCell ref="I238:I241"/>
    <mergeCell ref="J238:J241"/>
    <mergeCell ref="A245:A248"/>
    <mergeCell ref="B245:H248"/>
    <mergeCell ref="A249:A251"/>
    <mergeCell ref="I249:I250"/>
    <mergeCell ref="I229:I230"/>
    <mergeCell ref="A231:A234"/>
    <mergeCell ref="B231:H234"/>
    <mergeCell ref="I235:I236"/>
    <mergeCell ref="A238:A241"/>
    <mergeCell ref="C238:C241"/>
    <mergeCell ref="D238:D241"/>
    <mergeCell ref="E238:E241"/>
    <mergeCell ref="F238:F241"/>
    <mergeCell ref="G238:G241"/>
    <mergeCell ref="I267:I268"/>
    <mergeCell ref="J267:J268"/>
    <mergeCell ref="A269:A272"/>
    <mergeCell ref="C269:C270"/>
    <mergeCell ref="D269:D270"/>
    <mergeCell ref="E269:E270"/>
    <mergeCell ref="F269:F270"/>
    <mergeCell ref="I269:I272"/>
    <mergeCell ref="A252:A256"/>
    <mergeCell ref="I252:I256"/>
    <mergeCell ref="A257:A258"/>
    <mergeCell ref="I257:I258"/>
    <mergeCell ref="I264:I265"/>
    <mergeCell ref="A267:A268"/>
    <mergeCell ref="C267:C268"/>
    <mergeCell ref="D267:D268"/>
    <mergeCell ref="E267:E268"/>
    <mergeCell ref="F267:F268"/>
    <mergeCell ref="A278:A284"/>
    <mergeCell ref="C278:C279"/>
    <mergeCell ref="D278:D279"/>
    <mergeCell ref="E278:E279"/>
    <mergeCell ref="F278:F279"/>
    <mergeCell ref="I278:I284"/>
    <mergeCell ref="A273:A277"/>
    <mergeCell ref="C273:C274"/>
    <mergeCell ref="D273:D274"/>
    <mergeCell ref="E273:E274"/>
    <mergeCell ref="F273:F274"/>
    <mergeCell ref="I273:I277"/>
    <mergeCell ref="A311:A313"/>
    <mergeCell ref="I311:I313"/>
    <mergeCell ref="A285:A287"/>
    <mergeCell ref="I285:I287"/>
    <mergeCell ref="A288:A297"/>
    <mergeCell ref="A298:A300"/>
    <mergeCell ref="I298:I300"/>
    <mergeCell ref="A308:A310"/>
    <mergeCell ref="I308:I310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3" max="16383" man="1"/>
    <brk id="251" max="16383" man="1"/>
  </rowBreaks>
  <colBreaks count="1" manualBreakCount="1">
    <brk id="4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5"/>
  <sheetViews>
    <sheetView topLeftCell="B1" zoomScale="150" zoomScaleNormal="150" zoomScaleSheetLayoutView="140" workbookViewId="0">
      <pane xSplit="14" ySplit="9" topLeftCell="P10" activePane="bottomRight" state="frozen"/>
      <selection activeCell="B1" sqref="B1"/>
      <selection pane="topRight" activeCell="P1" sqref="P1"/>
      <selection pane="bottomLeft" activeCell="B10" sqref="B10"/>
      <selection pane="bottomRight" activeCell="AA157" sqref="AA157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475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188" t="s">
        <v>3</v>
      </c>
      <c r="B3" s="1188" t="s">
        <v>4</v>
      </c>
      <c r="C3" s="1169" t="s">
        <v>6</v>
      </c>
      <c r="D3" s="1169" t="s">
        <v>14</v>
      </c>
      <c r="E3" s="1530" t="s">
        <v>5</v>
      </c>
      <c r="F3" s="1532"/>
      <c r="G3" s="1169" t="s">
        <v>1</v>
      </c>
      <c r="H3" s="1169" t="s">
        <v>2</v>
      </c>
      <c r="I3" s="1169" t="s">
        <v>0</v>
      </c>
      <c r="J3" s="1169" t="s">
        <v>51</v>
      </c>
      <c r="K3" s="1169" t="s">
        <v>52</v>
      </c>
      <c r="L3" s="1169" t="s">
        <v>275</v>
      </c>
      <c r="M3" s="1530" t="s">
        <v>8</v>
      </c>
      <c r="N3" s="1531"/>
      <c r="O3" s="1532"/>
      <c r="P3" s="1186" t="s">
        <v>437</v>
      </c>
      <c r="Q3" s="1186" t="s">
        <v>476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477</v>
      </c>
      <c r="AB3" s="1186"/>
      <c r="AC3" s="1186"/>
      <c r="AD3" s="1186"/>
      <c r="AE3" s="1186"/>
      <c r="AF3" s="1508" t="s">
        <v>307</v>
      </c>
      <c r="AG3" s="1515"/>
      <c r="AH3" s="1515"/>
      <c r="AI3" s="1515"/>
      <c r="AJ3" s="1516"/>
      <c r="AK3" s="1168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170">
        <v>3</v>
      </c>
      <c r="Q4" s="606">
        <v>4</v>
      </c>
      <c r="R4" s="1170">
        <v>7</v>
      </c>
      <c r="S4" s="1170">
        <v>8</v>
      </c>
      <c r="T4" s="606">
        <v>9</v>
      </c>
      <c r="U4" s="606">
        <v>10</v>
      </c>
      <c r="V4" s="606">
        <v>11</v>
      </c>
      <c r="W4" s="606">
        <v>12</v>
      </c>
      <c r="X4" s="1170">
        <v>13</v>
      </c>
      <c r="Y4" s="1170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A5" si="1">P10+P157</f>
        <v>518864.81400000007</v>
      </c>
      <c r="Q5" s="679">
        <f t="shared" si="1"/>
        <v>102900.42189000001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118876.87151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317305.54000000004</v>
      </c>
      <c r="AL5" s="679">
        <f t="shared" si="2"/>
        <v>317305.54000000004</v>
      </c>
      <c r="AM5" s="679">
        <f>ROUND((Q5*100%/P5*100),2)</f>
        <v>19.829999999999998</v>
      </c>
      <c r="AN5" s="679">
        <f t="shared" si="2"/>
        <v>0</v>
      </c>
      <c r="AO5" s="679">
        <f t="shared" si="2"/>
        <v>0</v>
      </c>
      <c r="AP5" s="938"/>
      <c r="AQ5" s="679">
        <f>AQ10+AQ157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J11+J158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ref="P6:AA6" si="4">P11+P158</f>
        <v>264162.01</v>
      </c>
      <c r="Q6" s="3">
        <f t="shared" si="4"/>
        <v>0</v>
      </c>
      <c r="R6" s="3">
        <f t="shared" si="4"/>
        <v>1128.182</v>
      </c>
      <c r="S6" s="3">
        <f t="shared" si="4"/>
        <v>4128.1819999999998</v>
      </c>
      <c r="T6" s="3">
        <f t="shared" si="4"/>
        <v>31.5</v>
      </c>
      <c r="U6" s="3">
        <f t="shared" si="4"/>
        <v>2236.8380000000002</v>
      </c>
      <c r="V6" s="3">
        <f t="shared" si="4"/>
        <v>0</v>
      </c>
      <c r="W6" s="3">
        <f t="shared" si="4"/>
        <v>0</v>
      </c>
      <c r="X6" s="3">
        <f t="shared" si="4"/>
        <v>0</v>
      </c>
      <c r="Y6" s="3">
        <f t="shared" si="4"/>
        <v>0</v>
      </c>
      <c r="Z6" s="95">
        <f t="shared" si="4"/>
        <v>0</v>
      </c>
      <c r="AA6" s="3">
        <f t="shared" si="4"/>
        <v>0</v>
      </c>
      <c r="AB6" s="3">
        <f t="shared" ref="AB6:AL6" si="5">AB11+AB158</f>
        <v>3015.1369999999997</v>
      </c>
      <c r="AC6" s="3">
        <f t="shared" si="5"/>
        <v>0</v>
      </c>
      <c r="AD6" s="3">
        <f t="shared" si="5"/>
        <v>31.5</v>
      </c>
      <c r="AE6" s="3">
        <f t="shared" si="5"/>
        <v>0</v>
      </c>
      <c r="AF6" s="3">
        <f t="shared" si="5"/>
        <v>0</v>
      </c>
      <c r="AG6" s="3">
        <f t="shared" si="5"/>
        <v>0</v>
      </c>
      <c r="AH6" s="3">
        <f t="shared" si="5"/>
        <v>0</v>
      </c>
      <c r="AI6" s="3">
        <f t="shared" si="5"/>
        <v>0</v>
      </c>
      <c r="AJ6" s="3">
        <f t="shared" si="5"/>
        <v>0</v>
      </c>
      <c r="AK6" s="3">
        <f t="shared" si="5"/>
        <v>192946.75</v>
      </c>
      <c r="AL6" s="3">
        <f t="shared" si="5"/>
        <v>192946.75</v>
      </c>
      <c r="AM6" s="385">
        <f>ROUND((Q6*100%/P6*100),2)</f>
        <v>0</v>
      </c>
      <c r="AN6" s="3">
        <f t="shared" ref="AN6:AO9" si="6">AN11+AN158</f>
        <v>0</v>
      </c>
      <c r="AO6" s="3">
        <f t="shared" si="6"/>
        <v>0</v>
      </c>
      <c r="AP6" s="632"/>
      <c r="AQ6" s="95">
        <f>AQ11+AQ158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ref="P7:AA7" si="7">P12+P159</f>
        <v>175498.53000000003</v>
      </c>
      <c r="Q7" s="3">
        <f t="shared" si="7"/>
        <v>2536.4518600000001</v>
      </c>
      <c r="R7" s="3">
        <f t="shared" si="7"/>
        <v>12156.708000000001</v>
      </c>
      <c r="S7" s="3">
        <f t="shared" si="7"/>
        <v>12573.374</v>
      </c>
      <c r="T7" s="3">
        <f t="shared" si="7"/>
        <v>22089.049000000003</v>
      </c>
      <c r="U7" s="3">
        <f t="shared" si="7"/>
        <v>21847.228999999999</v>
      </c>
      <c r="V7" s="3">
        <f t="shared" si="7"/>
        <v>6338.5969999999998</v>
      </c>
      <c r="W7" s="3">
        <f t="shared" si="7"/>
        <v>7317.3669999999993</v>
      </c>
      <c r="X7" s="3">
        <f t="shared" si="7"/>
        <v>0</v>
      </c>
      <c r="Y7" s="3">
        <f t="shared" si="7"/>
        <v>0</v>
      </c>
      <c r="Z7" s="95">
        <f t="shared" si="7"/>
        <v>0</v>
      </c>
      <c r="AA7" s="3">
        <f t="shared" si="7"/>
        <v>2588.1920300000002</v>
      </c>
      <c r="AB7" s="3">
        <f t="shared" ref="AB7:AL7" si="8">AB12+AB159</f>
        <v>40.5</v>
      </c>
      <c r="AC7" s="3">
        <f t="shared" si="8"/>
        <v>4148.6930000000002</v>
      </c>
      <c r="AD7" s="3">
        <f t="shared" si="8"/>
        <v>72764.314890000009</v>
      </c>
      <c r="AE7" s="3">
        <f t="shared" si="8"/>
        <v>0</v>
      </c>
      <c r="AF7" s="3">
        <f t="shared" si="8"/>
        <v>0</v>
      </c>
      <c r="AG7" s="3">
        <f t="shared" si="8"/>
        <v>0</v>
      </c>
      <c r="AH7" s="3">
        <f t="shared" si="8"/>
        <v>0</v>
      </c>
      <c r="AI7" s="3">
        <f t="shared" si="8"/>
        <v>0</v>
      </c>
      <c r="AJ7" s="3">
        <f t="shared" si="8"/>
        <v>0</v>
      </c>
      <c r="AK7" s="3">
        <f t="shared" si="8"/>
        <v>124358.79000000001</v>
      </c>
      <c r="AL7" s="3">
        <f t="shared" si="8"/>
        <v>124358.79000000001</v>
      </c>
      <c r="AM7" s="385">
        <f>ROUND((Q7*100%/P7*100),2)</f>
        <v>1.45</v>
      </c>
      <c r="AN7" s="3">
        <f t="shared" si="6"/>
        <v>0</v>
      </c>
      <c r="AO7" s="3">
        <f t="shared" si="6"/>
        <v>0</v>
      </c>
      <c r="AP7" s="632"/>
      <c r="AQ7" s="95">
        <f>AQ12+AQ159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ref="P8:AA8" si="9">P13+P160</f>
        <v>0</v>
      </c>
      <c r="Q8" s="3">
        <f t="shared" si="9"/>
        <v>99508.413549999997</v>
      </c>
      <c r="R8" s="3">
        <f t="shared" si="9"/>
        <v>21705.95</v>
      </c>
      <c r="S8" s="3">
        <f t="shared" si="9"/>
        <v>21705.95</v>
      </c>
      <c r="T8" s="3">
        <f t="shared" si="9"/>
        <v>67610.615609999993</v>
      </c>
      <c r="U8" s="3">
        <f t="shared" si="9"/>
        <v>67610.615609999993</v>
      </c>
      <c r="V8" s="3">
        <f t="shared" si="9"/>
        <v>50383.255000000005</v>
      </c>
      <c r="W8" s="3">
        <f t="shared" si="9"/>
        <v>50383.255000000005</v>
      </c>
      <c r="X8" s="3">
        <f t="shared" si="9"/>
        <v>21705.95</v>
      </c>
      <c r="Y8" s="3">
        <f t="shared" si="9"/>
        <v>21705.95</v>
      </c>
      <c r="Z8" s="95">
        <f t="shared" si="9"/>
        <v>0</v>
      </c>
      <c r="AA8" s="3">
        <f t="shared" si="9"/>
        <v>114281.09724999999</v>
      </c>
      <c r="AB8" s="3">
        <f t="shared" ref="AB8:AL8" si="10">AB13+AB160</f>
        <v>17522.268</v>
      </c>
      <c r="AC8" s="3">
        <f t="shared" si="10"/>
        <v>32106.996000000003</v>
      </c>
      <c r="AD8" s="3">
        <f t="shared" si="10"/>
        <v>0</v>
      </c>
      <c r="AE8" s="3">
        <f t="shared" si="10"/>
        <v>0</v>
      </c>
      <c r="AF8" s="3">
        <f t="shared" si="10"/>
        <v>0</v>
      </c>
      <c r="AG8" s="3">
        <f t="shared" si="10"/>
        <v>0</v>
      </c>
      <c r="AH8" s="3">
        <f t="shared" si="10"/>
        <v>0</v>
      </c>
      <c r="AI8" s="3">
        <f t="shared" si="10"/>
        <v>0</v>
      </c>
      <c r="AJ8" s="3">
        <f t="shared" si="10"/>
        <v>0</v>
      </c>
      <c r="AK8" s="3">
        <f t="shared" si="10"/>
        <v>0</v>
      </c>
      <c r="AL8" s="3">
        <f t="shared" si="10"/>
        <v>0</v>
      </c>
      <c r="AM8" s="385">
        <v>0</v>
      </c>
      <c r="AN8" s="3">
        <f t="shared" si="6"/>
        <v>0</v>
      </c>
      <c r="AO8" s="3">
        <f t="shared" si="6"/>
        <v>0</v>
      </c>
      <c r="AP8" s="632"/>
      <c r="AQ8" s="95">
        <f>AQ13+AQ160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ref="P9:AA9" si="11">P14+P161</f>
        <v>0</v>
      </c>
      <c r="Q9" s="3">
        <f t="shared" si="11"/>
        <v>0</v>
      </c>
      <c r="R9" s="3">
        <f t="shared" si="11"/>
        <v>37814.324000000001</v>
      </c>
      <c r="S9" s="3">
        <f t="shared" si="11"/>
        <v>37814.324000000001</v>
      </c>
      <c r="T9" s="3">
        <f t="shared" si="11"/>
        <v>0</v>
      </c>
      <c r="U9" s="3">
        <f t="shared" si="11"/>
        <v>0</v>
      </c>
      <c r="V9" s="3">
        <f t="shared" si="11"/>
        <v>0</v>
      </c>
      <c r="W9" s="3">
        <f t="shared" si="11"/>
        <v>0</v>
      </c>
      <c r="X9" s="3">
        <f t="shared" si="11"/>
        <v>0</v>
      </c>
      <c r="Y9" s="3">
        <f t="shared" si="11"/>
        <v>0</v>
      </c>
      <c r="Z9" s="95">
        <f t="shared" si="11"/>
        <v>0</v>
      </c>
      <c r="AA9" s="3">
        <f t="shared" si="11"/>
        <v>0</v>
      </c>
      <c r="AB9" s="3">
        <f t="shared" ref="AB9:AL9" si="12">AB14+AB161</f>
        <v>0</v>
      </c>
      <c r="AC9" s="3">
        <f t="shared" si="12"/>
        <v>0</v>
      </c>
      <c r="AD9" s="3">
        <f t="shared" si="12"/>
        <v>0</v>
      </c>
      <c r="AE9" s="3">
        <f t="shared" si="12"/>
        <v>0</v>
      </c>
      <c r="AF9" s="3">
        <f t="shared" si="12"/>
        <v>0</v>
      </c>
      <c r="AG9" s="3">
        <f t="shared" si="12"/>
        <v>0</v>
      </c>
      <c r="AH9" s="3">
        <f t="shared" si="12"/>
        <v>0</v>
      </c>
      <c r="AI9" s="3">
        <f t="shared" si="12"/>
        <v>0</v>
      </c>
      <c r="AJ9" s="3">
        <f t="shared" si="12"/>
        <v>0</v>
      </c>
      <c r="AK9" s="3">
        <f t="shared" si="12"/>
        <v>0</v>
      </c>
      <c r="AL9" s="3">
        <f t="shared" si="12"/>
        <v>0</v>
      </c>
      <c r="AM9" s="385">
        <v>0</v>
      </c>
      <c r="AN9" s="3">
        <f t="shared" si="6"/>
        <v>0</v>
      </c>
      <c r="AO9" s="3">
        <f t="shared" si="6"/>
        <v>0</v>
      </c>
      <c r="AP9" s="632"/>
      <c r="AQ9" s="95">
        <f>AQ14+AQ161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13">J11+J12+J13+J14</f>
        <v>1940430.69</v>
      </c>
      <c r="K10" s="922">
        <f t="shared" si="13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13"/>
        <v>363282.47</v>
      </c>
      <c r="O10" s="922">
        <f t="shared" si="13"/>
        <v>116582.55</v>
      </c>
      <c r="P10" s="923">
        <f>P19+P33+P36+P47+P58+P68+P82+P86+P93+P96+P99+P102+P108+P113+P116+P120+P125+P140+P40+P62+P132+P136+P72+P76+P145+P150</f>
        <v>226122.614</v>
      </c>
      <c r="Q10" s="923">
        <f t="shared" ref="Q10:Z10" si="14">Q19+Q33+Q36+Q47+Q58+Q68+Q82+Q86+Q93+Q96+Q99+Q102+Q108+Q113+Q116+Q120+Q125+Q140+Q40+Q62+Q132+Q136+Q72+Q76+Q145+Q150</f>
        <v>572.55647999999997</v>
      </c>
      <c r="R10" s="923">
        <f t="shared" si="14"/>
        <v>49571.563999999998</v>
      </c>
      <c r="S10" s="923">
        <f t="shared" si="14"/>
        <v>49988.229999999996</v>
      </c>
      <c r="T10" s="923">
        <f t="shared" si="14"/>
        <v>65950.61860999999</v>
      </c>
      <c r="U10" s="923">
        <f t="shared" si="14"/>
        <v>65705.398609999989</v>
      </c>
      <c r="V10" s="923">
        <f t="shared" si="14"/>
        <v>2007.1869999999999</v>
      </c>
      <c r="W10" s="923">
        <f t="shared" si="14"/>
        <v>2047.0429999999999</v>
      </c>
      <c r="X10" s="923">
        <f t="shared" si="14"/>
        <v>0</v>
      </c>
      <c r="Y10" s="923">
        <f t="shared" si="14"/>
        <v>0</v>
      </c>
      <c r="Z10" s="923">
        <f t="shared" si="14"/>
        <v>0</v>
      </c>
      <c r="AA10" s="923">
        <f>AA19+AA33+AA36+AA47+AA58+AA68+AA82+AA86+AA93+AA96+AA99+AA102+AA108+AA113+AA116+AA120+AA125+AA140+AA40+AA62+AA132+AA136+AA72+AA76+AA145+AA150</f>
        <v>1724.5822300000002</v>
      </c>
      <c r="AB10" s="923">
        <f t="shared" ref="AB10:AO10" si="15">AB11+AB12+AB13+AB14</f>
        <v>106.83</v>
      </c>
      <c r="AC10" s="923">
        <f t="shared" si="15"/>
        <v>914.28300000000002</v>
      </c>
      <c r="AD10" s="923">
        <f t="shared" si="15"/>
        <v>3005.3339999999998</v>
      </c>
      <c r="AE10" s="923">
        <f t="shared" si="15"/>
        <v>0</v>
      </c>
      <c r="AF10" s="923">
        <f t="shared" si="15"/>
        <v>0</v>
      </c>
      <c r="AG10" s="923">
        <f t="shared" si="15"/>
        <v>0</v>
      </c>
      <c r="AH10" s="923">
        <f t="shared" si="15"/>
        <v>0</v>
      </c>
      <c r="AI10" s="923">
        <f t="shared" si="15"/>
        <v>0</v>
      </c>
      <c r="AJ10" s="923">
        <f t="shared" si="15"/>
        <v>0</v>
      </c>
      <c r="AK10" s="923">
        <f t="shared" si="15"/>
        <v>170052.3</v>
      </c>
      <c r="AL10" s="923">
        <f t="shared" si="15"/>
        <v>170052.3</v>
      </c>
      <c r="AM10" s="923" t="e">
        <f t="shared" si="15"/>
        <v>#DIV/0!</v>
      </c>
      <c r="AN10" s="923">
        <f t="shared" si="15"/>
        <v>0</v>
      </c>
      <c r="AO10" s="923">
        <f t="shared" si="15"/>
        <v>0</v>
      </c>
      <c r="AP10" s="924"/>
      <c r="AQ10" s="923">
        <f>AQ19+AQ33+AQ36+AQ47+AQ58+AQ68+AQ82+AQ86+AQ93+AQ96+AQ99+AQ102+AQ108+AQ113+AQ116+AQ120+AQ125+AQ140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16">J15+J128</f>
        <v>977955.46</v>
      </c>
      <c r="K11" s="47">
        <f t="shared" si="16"/>
        <v>251829.19999999995</v>
      </c>
      <c r="L11" s="47">
        <f t="shared" si="16"/>
        <v>750480.15999999992</v>
      </c>
      <c r="M11" s="47">
        <f t="shared" si="16"/>
        <v>96658.23</v>
      </c>
      <c r="N11" s="47">
        <f t="shared" si="16"/>
        <v>83716.939999999988</v>
      </c>
      <c r="O11" s="47">
        <f t="shared" si="16"/>
        <v>78886.680000000008</v>
      </c>
      <c r="P11" s="47">
        <f t="shared" si="16"/>
        <v>164000</v>
      </c>
      <c r="Q11" s="47">
        <f t="shared" si="16"/>
        <v>0</v>
      </c>
      <c r="R11" s="47">
        <f t="shared" si="16"/>
        <v>384.71</v>
      </c>
      <c r="S11" s="47">
        <f t="shared" si="16"/>
        <v>384.71</v>
      </c>
      <c r="T11" s="47">
        <f t="shared" si="16"/>
        <v>0</v>
      </c>
      <c r="U11" s="47">
        <f t="shared" si="16"/>
        <v>0</v>
      </c>
      <c r="V11" s="47">
        <f t="shared" si="16"/>
        <v>0</v>
      </c>
      <c r="W11" s="47">
        <f t="shared" si="16"/>
        <v>0</v>
      </c>
      <c r="X11" s="47">
        <f t="shared" si="16"/>
        <v>0</v>
      </c>
      <c r="Y11" s="47">
        <f t="shared" si="16"/>
        <v>0</v>
      </c>
      <c r="Z11" s="96"/>
      <c r="AA11" s="47">
        <f t="shared" ref="AA11:AO11" si="17">AA15+AA128</f>
        <v>0</v>
      </c>
      <c r="AB11" s="47">
        <f t="shared" si="17"/>
        <v>66.33</v>
      </c>
      <c r="AC11" s="47">
        <f t="shared" si="17"/>
        <v>0</v>
      </c>
      <c r="AD11" s="47">
        <f t="shared" si="17"/>
        <v>0</v>
      </c>
      <c r="AE11" s="47">
        <f t="shared" si="17"/>
        <v>0</v>
      </c>
      <c r="AF11" s="47">
        <f t="shared" si="17"/>
        <v>0</v>
      </c>
      <c r="AG11" s="47">
        <f t="shared" si="17"/>
        <v>0</v>
      </c>
      <c r="AH11" s="47">
        <f t="shared" si="17"/>
        <v>0</v>
      </c>
      <c r="AI11" s="47">
        <f t="shared" si="17"/>
        <v>0</v>
      </c>
      <c r="AJ11" s="47">
        <f t="shared" si="17"/>
        <v>0</v>
      </c>
      <c r="AK11" s="47">
        <f t="shared" si="17"/>
        <v>164000</v>
      </c>
      <c r="AL11" s="47">
        <f t="shared" si="17"/>
        <v>164000</v>
      </c>
      <c r="AM11" s="47">
        <f t="shared" si="17"/>
        <v>0</v>
      </c>
      <c r="AN11" s="47">
        <f t="shared" si="17"/>
        <v>0</v>
      </c>
      <c r="AO11" s="47">
        <f t="shared" si="17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J16+J44+J52+J65+J79+J129</f>
        <v>236854.15</v>
      </c>
      <c r="K12" s="47">
        <f>K16+K65+K129</f>
        <v>0</v>
      </c>
      <c r="L12" s="47">
        <f t="shared" ref="L12:Y12" si="18">L16+L44+L52+L65+L79+L129</f>
        <v>230331.37</v>
      </c>
      <c r="M12" s="47">
        <f t="shared" si="18"/>
        <v>24568.73</v>
      </c>
      <c r="N12" s="47">
        <f t="shared" si="18"/>
        <v>46592.61</v>
      </c>
      <c r="O12" s="47">
        <f t="shared" si="18"/>
        <v>37695.869999999995</v>
      </c>
      <c r="P12" s="47">
        <f t="shared" si="18"/>
        <v>43488.07</v>
      </c>
      <c r="Q12" s="47">
        <f t="shared" si="18"/>
        <v>115</v>
      </c>
      <c r="R12" s="47">
        <f t="shared" si="18"/>
        <v>11372.53</v>
      </c>
      <c r="S12" s="47">
        <f t="shared" si="18"/>
        <v>11789.196</v>
      </c>
      <c r="T12" s="47">
        <f t="shared" si="18"/>
        <v>18085.953000000001</v>
      </c>
      <c r="U12" s="47">
        <f t="shared" si="18"/>
        <v>17840.733</v>
      </c>
      <c r="V12" s="47">
        <f t="shared" si="18"/>
        <v>2007.1869999999999</v>
      </c>
      <c r="W12" s="47">
        <f t="shared" si="18"/>
        <v>2047.0429999999999</v>
      </c>
      <c r="X12" s="47">
        <f t="shared" si="18"/>
        <v>0</v>
      </c>
      <c r="Y12" s="47">
        <f t="shared" si="18"/>
        <v>0</v>
      </c>
      <c r="Z12" s="96"/>
      <c r="AA12" s="47">
        <f t="shared" ref="AA12:AO12" si="19">AA16+AA44+AA52+AA65+AA79+AA129</f>
        <v>115</v>
      </c>
      <c r="AB12" s="47">
        <f t="shared" si="19"/>
        <v>40.5</v>
      </c>
      <c r="AC12" s="47">
        <f t="shared" si="19"/>
        <v>907.08299999999997</v>
      </c>
      <c r="AD12" s="47">
        <f t="shared" si="19"/>
        <v>3005.3339999999998</v>
      </c>
      <c r="AE12" s="47">
        <f t="shared" si="19"/>
        <v>0</v>
      </c>
      <c r="AF12" s="47">
        <f t="shared" si="19"/>
        <v>0</v>
      </c>
      <c r="AG12" s="47">
        <f t="shared" si="19"/>
        <v>0</v>
      </c>
      <c r="AH12" s="47">
        <f t="shared" si="19"/>
        <v>0</v>
      </c>
      <c r="AI12" s="47">
        <f t="shared" si="19"/>
        <v>0</v>
      </c>
      <c r="AJ12" s="47">
        <f t="shared" si="19"/>
        <v>0</v>
      </c>
      <c r="AK12" s="47">
        <f t="shared" si="19"/>
        <v>6052.3000000000011</v>
      </c>
      <c r="AL12" s="47">
        <f t="shared" si="19"/>
        <v>6052.3000000000011</v>
      </c>
      <c r="AM12" s="47" t="e">
        <f t="shared" si="19"/>
        <v>#DIV/0!</v>
      </c>
      <c r="AN12" s="47">
        <f t="shared" si="19"/>
        <v>0</v>
      </c>
      <c r="AO12" s="47">
        <f t="shared" si="19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20">J17+J66+J130+J45</f>
        <v>23417.360000000001</v>
      </c>
      <c r="K13" s="47">
        <f t="shared" si="20"/>
        <v>0</v>
      </c>
      <c r="L13" s="47">
        <f t="shared" si="20"/>
        <v>172003.82</v>
      </c>
      <c r="M13" s="47">
        <f t="shared" si="20"/>
        <v>135504.01</v>
      </c>
      <c r="N13" s="47">
        <f t="shared" si="20"/>
        <v>36499.81</v>
      </c>
      <c r="O13" s="47">
        <f t="shared" si="20"/>
        <v>0</v>
      </c>
      <c r="P13" s="47">
        <f t="shared" si="20"/>
        <v>0</v>
      </c>
      <c r="Q13" s="47">
        <f t="shared" si="20"/>
        <v>0</v>
      </c>
      <c r="R13" s="47">
        <f t="shared" si="20"/>
        <v>0</v>
      </c>
      <c r="S13" s="47">
        <f t="shared" si="20"/>
        <v>0</v>
      </c>
      <c r="T13" s="47">
        <f t="shared" si="20"/>
        <v>45904.665609999996</v>
      </c>
      <c r="U13" s="47">
        <f t="shared" si="20"/>
        <v>45904.665609999996</v>
      </c>
      <c r="V13" s="47">
        <f t="shared" si="20"/>
        <v>0</v>
      </c>
      <c r="W13" s="47">
        <f t="shared" si="20"/>
        <v>0</v>
      </c>
      <c r="X13" s="47">
        <f t="shared" si="20"/>
        <v>0</v>
      </c>
      <c r="Y13" s="47">
        <f t="shared" si="20"/>
        <v>0</v>
      </c>
      <c r="Z13" s="96"/>
      <c r="AA13" s="47">
        <f t="shared" ref="AA13:AO13" si="21">AA17+AA66+AA130+AA45</f>
        <v>0</v>
      </c>
      <c r="AB13" s="47">
        <f t="shared" si="21"/>
        <v>0</v>
      </c>
      <c r="AC13" s="47">
        <f t="shared" si="21"/>
        <v>7.2</v>
      </c>
      <c r="AD13" s="47">
        <f t="shared" si="21"/>
        <v>0</v>
      </c>
      <c r="AE13" s="47">
        <f t="shared" si="21"/>
        <v>0</v>
      </c>
      <c r="AF13" s="47">
        <f t="shared" si="21"/>
        <v>0</v>
      </c>
      <c r="AG13" s="47">
        <f t="shared" si="21"/>
        <v>0</v>
      </c>
      <c r="AH13" s="47">
        <f t="shared" si="21"/>
        <v>0</v>
      </c>
      <c r="AI13" s="47">
        <f t="shared" si="21"/>
        <v>0</v>
      </c>
      <c r="AJ13" s="47">
        <f t="shared" si="21"/>
        <v>0</v>
      </c>
      <c r="AK13" s="47">
        <f t="shared" si="21"/>
        <v>0</v>
      </c>
      <c r="AL13" s="47">
        <f t="shared" si="21"/>
        <v>0</v>
      </c>
      <c r="AM13" s="47">
        <f t="shared" si="21"/>
        <v>0</v>
      </c>
      <c r="AN13" s="47">
        <f t="shared" si="21"/>
        <v>0</v>
      </c>
      <c r="AO13" s="47">
        <f t="shared" si="21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22">J18+J67+J131</f>
        <v>702203.72</v>
      </c>
      <c r="K14" s="607">
        <f t="shared" si="22"/>
        <v>702203.72</v>
      </c>
      <c r="L14" s="607">
        <f t="shared" si="22"/>
        <v>789617.84</v>
      </c>
      <c r="M14" s="607">
        <f t="shared" si="22"/>
        <v>348941.19</v>
      </c>
      <c r="N14" s="607">
        <f t="shared" si="22"/>
        <v>196473.11</v>
      </c>
      <c r="O14" s="607">
        <f t="shared" si="22"/>
        <v>0</v>
      </c>
      <c r="P14" s="607">
        <f t="shared" si="22"/>
        <v>0</v>
      </c>
      <c r="Q14" s="607">
        <f t="shared" si="22"/>
        <v>0</v>
      </c>
      <c r="R14" s="607">
        <f t="shared" si="22"/>
        <v>37814.324000000001</v>
      </c>
      <c r="S14" s="607">
        <f t="shared" si="22"/>
        <v>37814.324000000001</v>
      </c>
      <c r="T14" s="607">
        <f t="shared" si="22"/>
        <v>0</v>
      </c>
      <c r="U14" s="607">
        <f t="shared" si="22"/>
        <v>0</v>
      </c>
      <c r="V14" s="607">
        <f t="shared" si="22"/>
        <v>0</v>
      </c>
      <c r="W14" s="607">
        <f t="shared" si="22"/>
        <v>0</v>
      </c>
      <c r="X14" s="607">
        <f t="shared" si="22"/>
        <v>0</v>
      </c>
      <c r="Y14" s="607">
        <f t="shared" si="22"/>
        <v>0</v>
      </c>
      <c r="Z14" s="674"/>
      <c r="AA14" s="607">
        <f t="shared" ref="AA14:AO14" si="23">AA18+AA67+AA131</f>
        <v>0</v>
      </c>
      <c r="AB14" s="607">
        <f t="shared" si="23"/>
        <v>0</v>
      </c>
      <c r="AC14" s="607">
        <f t="shared" si="23"/>
        <v>0</v>
      </c>
      <c r="AD14" s="607">
        <f t="shared" si="23"/>
        <v>0</v>
      </c>
      <c r="AE14" s="607">
        <f t="shared" si="23"/>
        <v>0</v>
      </c>
      <c r="AF14" s="607">
        <f t="shared" si="23"/>
        <v>0</v>
      </c>
      <c r="AG14" s="607">
        <f t="shared" si="23"/>
        <v>0</v>
      </c>
      <c r="AH14" s="607">
        <f t="shared" si="23"/>
        <v>0</v>
      </c>
      <c r="AI14" s="607">
        <f t="shared" si="23"/>
        <v>0</v>
      </c>
      <c r="AJ14" s="607">
        <f t="shared" si="23"/>
        <v>0</v>
      </c>
      <c r="AK14" s="607">
        <f t="shared" si="23"/>
        <v>0</v>
      </c>
      <c r="AL14" s="607">
        <f t="shared" si="23"/>
        <v>0</v>
      </c>
      <c r="AM14" s="607">
        <f t="shared" si="23"/>
        <v>0</v>
      </c>
      <c r="AN14" s="607">
        <f t="shared" si="23"/>
        <v>0</v>
      </c>
      <c r="AO14" s="607">
        <f t="shared" si="23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24">J20+J33+J36</f>
        <v>977955.46</v>
      </c>
      <c r="K15" s="47">
        <f t="shared" si="24"/>
        <v>251829.19999999995</v>
      </c>
      <c r="L15" s="47">
        <f t="shared" si="24"/>
        <v>750480.15999999992</v>
      </c>
      <c r="M15" s="47">
        <f t="shared" si="24"/>
        <v>96658.23</v>
      </c>
      <c r="N15" s="47">
        <f t="shared" si="24"/>
        <v>83716.939999999988</v>
      </c>
      <c r="O15" s="47">
        <f t="shared" si="24"/>
        <v>78886.680000000008</v>
      </c>
      <c r="P15" s="47">
        <f t="shared" si="24"/>
        <v>164000</v>
      </c>
      <c r="Q15" s="47">
        <f t="shared" si="24"/>
        <v>0</v>
      </c>
      <c r="R15" s="47">
        <f t="shared" si="24"/>
        <v>384.71</v>
      </c>
      <c r="S15" s="47">
        <f t="shared" si="24"/>
        <v>384.71</v>
      </c>
      <c r="T15" s="47">
        <f t="shared" si="24"/>
        <v>0</v>
      </c>
      <c r="U15" s="47">
        <f t="shared" si="24"/>
        <v>0</v>
      </c>
      <c r="V15" s="47">
        <f t="shared" si="24"/>
        <v>0</v>
      </c>
      <c r="W15" s="47">
        <f t="shared" si="24"/>
        <v>0</v>
      </c>
      <c r="X15" s="47">
        <f t="shared" si="24"/>
        <v>0</v>
      </c>
      <c r="Y15" s="47">
        <f t="shared" si="24"/>
        <v>0</v>
      </c>
      <c r="Z15" s="96"/>
      <c r="AA15" s="47">
        <f t="shared" ref="AA15:AO15" si="25">AA20+AA33+AA36</f>
        <v>0</v>
      </c>
      <c r="AB15" s="47">
        <f t="shared" si="25"/>
        <v>66.33</v>
      </c>
      <c r="AC15" s="47">
        <f t="shared" si="25"/>
        <v>0</v>
      </c>
      <c r="AD15" s="47">
        <f t="shared" si="25"/>
        <v>0</v>
      </c>
      <c r="AE15" s="47">
        <f t="shared" si="25"/>
        <v>0</v>
      </c>
      <c r="AF15" s="47">
        <f t="shared" si="25"/>
        <v>0</v>
      </c>
      <c r="AG15" s="47">
        <f t="shared" si="25"/>
        <v>0</v>
      </c>
      <c r="AH15" s="47">
        <f t="shared" si="25"/>
        <v>0</v>
      </c>
      <c r="AI15" s="47">
        <f t="shared" si="25"/>
        <v>0</v>
      </c>
      <c r="AJ15" s="47">
        <f t="shared" si="25"/>
        <v>0</v>
      </c>
      <c r="AK15" s="47">
        <f t="shared" si="25"/>
        <v>164000</v>
      </c>
      <c r="AL15" s="47">
        <f t="shared" si="25"/>
        <v>164000</v>
      </c>
      <c r="AM15" s="47">
        <f t="shared" si="25"/>
        <v>0</v>
      </c>
      <c r="AN15" s="47">
        <f t="shared" si="25"/>
        <v>0</v>
      </c>
      <c r="AO15" s="47">
        <f t="shared" si="25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26">R30</f>
        <v>0</v>
      </c>
      <c r="S17" s="47">
        <f t="shared" si="26"/>
        <v>0</v>
      </c>
      <c r="T17" s="47">
        <f t="shared" si="26"/>
        <v>45904.665609999996</v>
      </c>
      <c r="U17" s="47">
        <f>U30</f>
        <v>45904.665609999996</v>
      </c>
      <c r="V17" s="47">
        <f t="shared" si="26"/>
        <v>0</v>
      </c>
      <c r="W17" s="47">
        <f t="shared" si="26"/>
        <v>0</v>
      </c>
      <c r="X17" s="47">
        <f t="shared" si="26"/>
        <v>0</v>
      </c>
      <c r="Y17" s="47">
        <f t="shared" si="26"/>
        <v>0</v>
      </c>
      <c r="Z17" s="96"/>
      <c r="AA17" s="47">
        <f t="shared" si="26"/>
        <v>0</v>
      </c>
      <c r="AB17" s="47">
        <f t="shared" si="26"/>
        <v>0</v>
      </c>
      <c r="AC17" s="47">
        <f t="shared" si="26"/>
        <v>0</v>
      </c>
      <c r="AD17" s="47">
        <f t="shared" si="26"/>
        <v>0</v>
      </c>
      <c r="AE17" s="47">
        <f t="shared" si="26"/>
        <v>0</v>
      </c>
      <c r="AF17" s="47">
        <f t="shared" si="26"/>
        <v>0</v>
      </c>
      <c r="AG17" s="47">
        <f t="shared" si="26"/>
        <v>0</v>
      </c>
      <c r="AH17" s="47">
        <f t="shared" si="26"/>
        <v>0</v>
      </c>
      <c r="AI17" s="47">
        <f t="shared" si="26"/>
        <v>0</v>
      </c>
      <c r="AJ17" s="47">
        <f t="shared" si="26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7">J28</f>
        <v>702203.72</v>
      </c>
      <c r="K18" s="47">
        <f t="shared" si="27"/>
        <v>702203.72</v>
      </c>
      <c r="L18" s="47">
        <f t="shared" si="27"/>
        <v>789617.84</v>
      </c>
      <c r="M18" s="47">
        <f t="shared" si="27"/>
        <v>348941.19</v>
      </c>
      <c r="N18" s="47">
        <f t="shared" si="27"/>
        <v>196473.11</v>
      </c>
      <c r="O18" s="47">
        <f t="shared" si="27"/>
        <v>0</v>
      </c>
      <c r="P18" s="47">
        <f t="shared" si="27"/>
        <v>0</v>
      </c>
      <c r="Q18" s="47">
        <f t="shared" si="27"/>
        <v>0</v>
      </c>
      <c r="R18" s="47">
        <f t="shared" si="27"/>
        <v>37814.324000000001</v>
      </c>
      <c r="S18" s="47">
        <f t="shared" si="27"/>
        <v>37814.324000000001</v>
      </c>
      <c r="T18" s="47">
        <f t="shared" si="27"/>
        <v>0</v>
      </c>
      <c r="U18" s="47">
        <f t="shared" si="27"/>
        <v>0</v>
      </c>
      <c r="V18" s="47">
        <f t="shared" si="27"/>
        <v>0</v>
      </c>
      <c r="W18" s="47">
        <f t="shared" si="27"/>
        <v>0</v>
      </c>
      <c r="X18" s="47">
        <f t="shared" si="27"/>
        <v>0</v>
      </c>
      <c r="Y18" s="47">
        <f t="shared" si="27"/>
        <v>0</v>
      </c>
      <c r="Z18" s="96"/>
      <c r="AA18" s="47">
        <f t="shared" si="27"/>
        <v>0</v>
      </c>
      <c r="AB18" s="47">
        <f t="shared" si="27"/>
        <v>0</v>
      </c>
      <c r="AC18" s="47">
        <f t="shared" si="27"/>
        <v>0</v>
      </c>
      <c r="AD18" s="47">
        <f t="shared" si="27"/>
        <v>0</v>
      </c>
      <c r="AE18" s="47">
        <f t="shared" si="27"/>
        <v>0</v>
      </c>
      <c r="AF18" s="47">
        <f t="shared" si="27"/>
        <v>0</v>
      </c>
      <c r="AG18" s="47">
        <f t="shared" si="27"/>
        <v>0</v>
      </c>
      <c r="AH18" s="47">
        <f t="shared" si="27"/>
        <v>0</v>
      </c>
      <c r="AI18" s="47">
        <f t="shared" si="27"/>
        <v>0</v>
      </c>
      <c r="AJ18" s="47">
        <f t="shared" si="27"/>
        <v>0</v>
      </c>
      <c r="AK18" s="47">
        <f t="shared" si="27"/>
        <v>0</v>
      </c>
      <c r="AL18" s="47">
        <f t="shared" si="27"/>
        <v>0</v>
      </c>
      <c r="AM18" s="47">
        <f t="shared" si="27"/>
        <v>0</v>
      </c>
      <c r="AN18" s="47">
        <f t="shared" si="27"/>
        <v>0</v>
      </c>
      <c r="AO18" s="47">
        <f t="shared" si="27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8">L20+L28+L30</f>
        <v>1083165.3899999999</v>
      </c>
      <c r="M19" s="318">
        <f t="shared" si="28"/>
        <v>560860.31000000006</v>
      </c>
      <c r="N19" s="318">
        <f t="shared" si="28"/>
        <v>232972.91999999998</v>
      </c>
      <c r="O19" s="318">
        <f t="shared" si="28"/>
        <v>0</v>
      </c>
      <c r="P19" s="318">
        <f t="shared" si="28"/>
        <v>0</v>
      </c>
      <c r="Q19" s="318">
        <f>Q20+Q28+Q30</f>
        <v>0</v>
      </c>
      <c r="R19" s="318">
        <f t="shared" ref="R19:X19" si="29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9"/>
        <v>0</v>
      </c>
      <c r="W19" s="318">
        <f t="shared" si="29"/>
        <v>0</v>
      </c>
      <c r="X19" s="318">
        <f t="shared" si="29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30">AB20+AB28</f>
        <v>66.33</v>
      </c>
      <c r="AC19" s="318">
        <f t="shared" si="30"/>
        <v>0</v>
      </c>
      <c r="AD19" s="318">
        <f t="shared" si="30"/>
        <v>0</v>
      </c>
      <c r="AE19" s="318">
        <f t="shared" si="30"/>
        <v>0</v>
      </c>
      <c r="AF19" s="318">
        <f t="shared" si="30"/>
        <v>0</v>
      </c>
      <c r="AG19" s="318">
        <f t="shared" si="30"/>
        <v>0</v>
      </c>
      <c r="AH19" s="318">
        <f t="shared" si="30"/>
        <v>0</v>
      </c>
      <c r="AI19" s="318">
        <f t="shared" si="30"/>
        <v>0</v>
      </c>
      <c r="AJ19" s="318">
        <f t="shared" si="30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157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31">SUM(R21:R27)</f>
        <v>384.71</v>
      </c>
      <c r="S20" s="47">
        <f t="shared" si="31"/>
        <v>384.71</v>
      </c>
      <c r="T20" s="47">
        <f t="shared" si="31"/>
        <v>0</v>
      </c>
      <c r="U20" s="47">
        <f t="shared" si="31"/>
        <v>0</v>
      </c>
      <c r="V20" s="47">
        <f t="shared" si="31"/>
        <v>0</v>
      </c>
      <c r="W20" s="47">
        <f>SUM(W21:W27)</f>
        <v>0</v>
      </c>
      <c r="X20" s="47">
        <f t="shared" si="31"/>
        <v>0</v>
      </c>
      <c r="Y20" s="47">
        <f t="shared" si="31"/>
        <v>0</v>
      </c>
      <c r="Z20" s="96"/>
      <c r="AA20" s="47">
        <f t="shared" ref="AA20:AJ20" si="32">SUM(AA21:AA27)</f>
        <v>0</v>
      </c>
      <c r="AB20" s="47">
        <f t="shared" si="32"/>
        <v>66.33</v>
      </c>
      <c r="AC20" s="47">
        <f t="shared" si="32"/>
        <v>0</v>
      </c>
      <c r="AD20" s="47">
        <f t="shared" si="32"/>
        <v>0</v>
      </c>
      <c r="AE20" s="47">
        <f t="shared" si="32"/>
        <v>0</v>
      </c>
      <c r="AF20" s="47">
        <f t="shared" si="32"/>
        <v>0</v>
      </c>
      <c r="AG20" s="47">
        <f t="shared" si="32"/>
        <v>0</v>
      </c>
      <c r="AH20" s="47">
        <f t="shared" si="32"/>
        <v>0</v>
      </c>
      <c r="AI20" s="47">
        <f t="shared" si="32"/>
        <v>0</v>
      </c>
      <c r="AJ20" s="47">
        <f t="shared" si="32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33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33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33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34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33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34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33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34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33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34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33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1165"/>
      <c r="D28" s="1165"/>
      <c r="E28" s="1165"/>
      <c r="F28" s="1210"/>
      <c r="G28" s="1165"/>
      <c r="H28" s="1165"/>
      <c r="I28" s="23" t="s">
        <v>9</v>
      </c>
      <c r="J28" s="1203">
        <f>K28</f>
        <v>702203.72</v>
      </c>
      <c r="K28" s="1203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35">SUM(T29:T29)</f>
        <v>0</v>
      </c>
      <c r="U28" s="71">
        <f t="shared" si="35"/>
        <v>0</v>
      </c>
      <c r="V28" s="71">
        <f t="shared" si="35"/>
        <v>0</v>
      </c>
      <c r="W28" s="71">
        <f t="shared" si="35"/>
        <v>0</v>
      </c>
      <c r="X28" s="71">
        <v>0</v>
      </c>
      <c r="Y28" s="71">
        <f t="shared" si="35"/>
        <v>0</v>
      </c>
      <c r="Z28" s="100"/>
      <c r="AA28" s="71">
        <f t="shared" si="35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35"/>
        <v>0</v>
      </c>
      <c r="AG28" s="71">
        <f t="shared" si="35"/>
        <v>0</v>
      </c>
      <c r="AH28" s="71">
        <f t="shared" si="35"/>
        <v>0</v>
      </c>
      <c r="AI28" s="71">
        <f t="shared" si="35"/>
        <v>0</v>
      </c>
      <c r="AJ28" s="71">
        <f t="shared" si="35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209"/>
      <c r="B30" s="801"/>
      <c r="C30" s="1165"/>
      <c r="D30" s="1165"/>
      <c r="E30" s="1165"/>
      <c r="F30" s="1210"/>
      <c r="G30" s="1165"/>
      <c r="H30" s="1165"/>
      <c r="I30" s="1161" t="s">
        <v>10</v>
      </c>
      <c r="J30" s="1204"/>
      <c r="K30" s="1204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36">SUM(R31:R32)</f>
        <v>0</v>
      </c>
      <c r="S30" s="47">
        <f t="shared" si="36"/>
        <v>0</v>
      </c>
      <c r="T30" s="47">
        <f t="shared" si="36"/>
        <v>45904.665609999996</v>
      </c>
      <c r="U30" s="47">
        <f t="shared" si="36"/>
        <v>45904.665609999996</v>
      </c>
      <c r="V30" s="47">
        <f t="shared" si="36"/>
        <v>0</v>
      </c>
      <c r="W30" s="47">
        <f t="shared" si="36"/>
        <v>0</v>
      </c>
      <c r="X30" s="47">
        <v>0</v>
      </c>
      <c r="Y30" s="47">
        <f t="shared" si="36"/>
        <v>0</v>
      </c>
      <c r="Z30" s="96"/>
      <c r="AA30" s="47">
        <f t="shared" si="36"/>
        <v>0</v>
      </c>
      <c r="AB30" s="47">
        <f t="shared" si="36"/>
        <v>0</v>
      </c>
      <c r="AC30" s="47">
        <f t="shared" si="36"/>
        <v>0</v>
      </c>
      <c r="AD30" s="47">
        <f t="shared" si="36"/>
        <v>0</v>
      </c>
      <c r="AE30" s="47">
        <f t="shared" si="36"/>
        <v>0</v>
      </c>
      <c r="AF30" s="47">
        <f t="shared" si="36"/>
        <v>0</v>
      </c>
      <c r="AG30" s="47">
        <f t="shared" si="36"/>
        <v>0</v>
      </c>
      <c r="AH30" s="47">
        <f t="shared" si="36"/>
        <v>0</v>
      </c>
      <c r="AI30" s="47">
        <f t="shared" si="36"/>
        <v>0</v>
      </c>
      <c r="AJ30" s="47">
        <f t="shared" si="36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209"/>
      <c r="B31" s="37" t="s">
        <v>219</v>
      </c>
      <c r="C31" s="1165"/>
      <c r="D31" s="1165"/>
      <c r="E31" s="1165"/>
      <c r="F31" s="1210"/>
      <c r="G31" s="1165"/>
      <c r="H31" s="1165"/>
      <c r="I31" s="1161"/>
      <c r="J31" s="1204"/>
      <c r="K31" s="1204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209"/>
      <c r="B32" s="37" t="s">
        <v>220</v>
      </c>
      <c r="C32" s="1165"/>
      <c r="D32" s="1165"/>
      <c r="E32" s="1165"/>
      <c r="F32" s="1210"/>
      <c r="G32" s="1165"/>
      <c r="H32" s="1165"/>
      <c r="I32" s="1161"/>
      <c r="J32" s="1204"/>
      <c r="K32" s="1204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7">Q35</f>
        <v>0</v>
      </c>
      <c r="R33" s="70">
        <f t="shared" si="37"/>
        <v>0</v>
      </c>
      <c r="S33" s="70">
        <f t="shared" si="37"/>
        <v>0</v>
      </c>
      <c r="T33" s="70">
        <f t="shared" si="37"/>
        <v>0</v>
      </c>
      <c r="U33" s="70">
        <f t="shared" si="37"/>
        <v>0</v>
      </c>
      <c r="V33" s="70">
        <f t="shared" si="37"/>
        <v>0</v>
      </c>
      <c r="W33" s="70">
        <f t="shared" si="37"/>
        <v>0</v>
      </c>
      <c r="X33" s="70">
        <f t="shared" si="37"/>
        <v>0</v>
      </c>
      <c r="Y33" s="70">
        <f t="shared" si="37"/>
        <v>0</v>
      </c>
      <c r="Z33" s="679">
        <v>0</v>
      </c>
      <c r="AA33" s="70">
        <f t="shared" si="37"/>
        <v>0</v>
      </c>
      <c r="AB33" s="70">
        <f t="shared" si="37"/>
        <v>0</v>
      </c>
      <c r="AC33" s="70">
        <f t="shared" si="37"/>
        <v>0</v>
      </c>
      <c r="AD33" s="70">
        <f t="shared" si="37"/>
        <v>0</v>
      </c>
      <c r="AE33" s="70">
        <f t="shared" si="37"/>
        <v>0</v>
      </c>
      <c r="AF33" s="70">
        <f t="shared" si="37"/>
        <v>0</v>
      </c>
      <c r="AG33" s="70">
        <f t="shared" si="37"/>
        <v>0</v>
      </c>
      <c r="AH33" s="70">
        <f t="shared" si="37"/>
        <v>0</v>
      </c>
      <c r="AI33" s="70">
        <f t="shared" si="37"/>
        <v>0</v>
      </c>
      <c r="AJ33" s="70">
        <f t="shared" si="37"/>
        <v>0</v>
      </c>
      <c r="AK33" s="3">
        <f>P33-Q33</f>
        <v>74000</v>
      </c>
      <c r="AL33" s="3">
        <f>AK33</f>
        <v>74000</v>
      </c>
      <c r="AM33" s="70">
        <f t="shared" si="37"/>
        <v>0</v>
      </c>
      <c r="AN33" s="70">
        <f t="shared" si="37"/>
        <v>0</v>
      </c>
      <c r="AO33" s="70">
        <f t="shared" si="37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171"/>
      <c r="H34" s="1171"/>
      <c r="I34" s="1327"/>
      <c r="J34" s="1628"/>
      <c r="K34" s="1628"/>
      <c r="L34" s="1190">
        <v>10164.5</v>
      </c>
      <c r="M34" s="1190">
        <v>0</v>
      </c>
      <c r="N34" s="1190">
        <v>4946.26</v>
      </c>
      <c r="O34" s="1190">
        <v>0</v>
      </c>
      <c r="P34" s="1190">
        <v>0</v>
      </c>
      <c r="Q34" s="1190">
        <v>0</v>
      </c>
      <c r="R34" s="1190">
        <v>0</v>
      </c>
      <c r="S34" s="1190">
        <v>0</v>
      </c>
      <c r="T34" s="1190">
        <v>0</v>
      </c>
      <c r="U34" s="1190">
        <v>0</v>
      </c>
      <c r="V34" s="1190">
        <v>0</v>
      </c>
      <c r="W34" s="1190">
        <v>0</v>
      </c>
      <c r="X34" s="1190">
        <v>0</v>
      </c>
      <c r="Y34" s="1190">
        <v>0</v>
      </c>
      <c r="Z34" s="258"/>
      <c r="AA34" s="1190">
        <v>0</v>
      </c>
      <c r="AB34" s="1190">
        <v>0</v>
      </c>
      <c r="AC34" s="1190">
        <v>0</v>
      </c>
      <c r="AD34" s="1190">
        <v>0</v>
      </c>
      <c r="AE34" s="1190">
        <v>0</v>
      </c>
      <c r="AF34" s="1190">
        <v>0</v>
      </c>
      <c r="AG34" s="1190">
        <v>0</v>
      </c>
      <c r="AH34" s="1190">
        <v>0</v>
      </c>
      <c r="AI34" s="1190">
        <v>0</v>
      </c>
      <c r="AJ34" s="1190">
        <v>0</v>
      </c>
      <c r="AK34" s="288">
        <v>0</v>
      </c>
      <c r="AL34" s="288">
        <v>0</v>
      </c>
      <c r="AM34" s="1190">
        <v>0</v>
      </c>
      <c r="AN34" s="1190">
        <v>0</v>
      </c>
      <c r="AO34" s="1190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171">
        <v>2020</v>
      </c>
      <c r="H35" s="1171">
        <v>2021</v>
      </c>
      <c r="I35" s="1328"/>
      <c r="J35" s="1629"/>
      <c r="K35" s="1629"/>
      <c r="L35" s="1190">
        <v>250336.75</v>
      </c>
      <c r="M35" s="1190">
        <v>0</v>
      </c>
      <c r="N35" s="1190">
        <v>64997.45</v>
      </c>
      <c r="O35" s="1190">
        <v>69943.710000000006</v>
      </c>
      <c r="P35" s="1190">
        <v>74000</v>
      </c>
      <c r="Q35" s="1190">
        <v>0</v>
      </c>
      <c r="R35" s="1190">
        <v>0</v>
      </c>
      <c r="S35" s="1190">
        <v>0</v>
      </c>
      <c r="T35" s="1190">
        <v>0</v>
      </c>
      <c r="U35" s="1190">
        <v>0</v>
      </c>
      <c r="V35" s="1190">
        <v>0</v>
      </c>
      <c r="W35" s="1190">
        <v>0</v>
      </c>
      <c r="X35" s="1190">
        <v>0</v>
      </c>
      <c r="Y35" s="1190">
        <v>0</v>
      </c>
      <c r="Z35" s="258"/>
      <c r="AA35" s="1190">
        <v>0</v>
      </c>
      <c r="AB35" s="1190">
        <v>0</v>
      </c>
      <c r="AC35" s="1190">
        <v>0</v>
      </c>
      <c r="AD35" s="1190">
        <v>0</v>
      </c>
      <c r="AE35" s="1190">
        <v>0</v>
      </c>
      <c r="AF35" s="1190">
        <v>0</v>
      </c>
      <c r="AG35" s="1190">
        <v>0</v>
      </c>
      <c r="AH35" s="1190">
        <v>0</v>
      </c>
      <c r="AI35" s="1190">
        <v>0</v>
      </c>
      <c r="AJ35" s="1190">
        <v>0</v>
      </c>
      <c r="AK35" s="1190">
        <v>0</v>
      </c>
      <c r="AL35" s="1190">
        <v>0</v>
      </c>
      <c r="AM35" s="1190">
        <v>0</v>
      </c>
      <c r="AN35" s="1190">
        <v>0</v>
      </c>
      <c r="AO35" s="1190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8">M37+M39</f>
        <v>20243.12</v>
      </c>
      <c r="N36" s="318">
        <f t="shared" si="38"/>
        <v>13773.23</v>
      </c>
      <c r="O36" s="318">
        <f t="shared" si="38"/>
        <v>8942.9699999999993</v>
      </c>
      <c r="P36" s="318">
        <f t="shared" si="38"/>
        <v>90000</v>
      </c>
      <c r="Q36" s="318">
        <f t="shared" si="38"/>
        <v>0</v>
      </c>
      <c r="R36" s="318">
        <f t="shared" si="38"/>
        <v>0</v>
      </c>
      <c r="S36" s="318">
        <f t="shared" si="38"/>
        <v>0</v>
      </c>
      <c r="T36" s="318">
        <f t="shared" si="38"/>
        <v>0</v>
      </c>
      <c r="U36" s="318">
        <f t="shared" si="38"/>
        <v>0</v>
      </c>
      <c r="V36" s="318">
        <f t="shared" si="38"/>
        <v>0</v>
      </c>
      <c r="W36" s="318">
        <f t="shared" si="38"/>
        <v>0</v>
      </c>
      <c r="X36" s="318">
        <f t="shared" si="38"/>
        <v>0</v>
      </c>
      <c r="Y36" s="318">
        <f t="shared" si="38"/>
        <v>0</v>
      </c>
      <c r="Z36" s="372">
        <v>0</v>
      </c>
      <c r="AA36" s="318">
        <f t="shared" si="38"/>
        <v>0</v>
      </c>
      <c r="AB36" s="318">
        <f t="shared" si="38"/>
        <v>0</v>
      </c>
      <c r="AC36" s="318">
        <f t="shared" si="38"/>
        <v>0</v>
      </c>
      <c r="AD36" s="318">
        <f t="shared" si="38"/>
        <v>0</v>
      </c>
      <c r="AE36" s="318">
        <f t="shared" si="38"/>
        <v>0</v>
      </c>
      <c r="AF36" s="318">
        <f t="shared" si="38"/>
        <v>0</v>
      </c>
      <c r="AG36" s="318">
        <f t="shared" si="38"/>
        <v>0</v>
      </c>
      <c r="AH36" s="318">
        <f t="shared" si="38"/>
        <v>0</v>
      </c>
      <c r="AI36" s="318">
        <f t="shared" si="38"/>
        <v>0</v>
      </c>
      <c r="AJ36" s="318">
        <f t="shared" si="38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8"/>
        <v>0</v>
      </c>
      <c r="AO36" s="318">
        <f t="shared" si="38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171">
        <v>2019</v>
      </c>
      <c r="H37" s="1171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185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171">
        <v>2020</v>
      </c>
      <c r="H39" s="1171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178"/>
      <c r="J40" s="3"/>
      <c r="K40" s="1181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9">SUM(R41:R42)</f>
        <v>0</v>
      </c>
      <c r="S40" s="318">
        <f t="shared" si="39"/>
        <v>0</v>
      </c>
      <c r="T40" s="318">
        <f t="shared" si="39"/>
        <v>0</v>
      </c>
      <c r="U40" s="318">
        <f t="shared" si="39"/>
        <v>0</v>
      </c>
      <c r="V40" s="318">
        <f t="shared" si="39"/>
        <v>0</v>
      </c>
      <c r="W40" s="318">
        <f t="shared" si="39"/>
        <v>0</v>
      </c>
      <c r="X40" s="318">
        <f t="shared" si="39"/>
        <v>0</v>
      </c>
      <c r="Y40" s="318">
        <f t="shared" si="39"/>
        <v>0</v>
      </c>
      <c r="Z40" s="318">
        <f t="shared" si="39"/>
        <v>0</v>
      </c>
      <c r="AA40" s="318">
        <f t="shared" si="39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209"/>
      <c r="B41" s="42" t="s">
        <v>15</v>
      </c>
      <c r="C41" s="768"/>
      <c r="D41" s="768"/>
      <c r="E41" s="768"/>
      <c r="F41" s="769"/>
      <c r="G41" s="335"/>
      <c r="H41" s="770"/>
      <c r="I41" s="1164"/>
      <c r="J41" s="47"/>
      <c r="K41" s="1190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185"/>
      <c r="AQ41" s="268"/>
    </row>
    <row r="42" spans="1:43" ht="15" customHeight="1" x14ac:dyDescent="0.25">
      <c r="A42" s="1209"/>
      <c r="B42" s="42" t="s">
        <v>16</v>
      </c>
      <c r="C42" s="768"/>
      <c r="D42" s="768"/>
      <c r="E42" s="768"/>
      <c r="F42" s="769"/>
      <c r="G42" s="335"/>
      <c r="H42" s="770"/>
      <c r="I42" s="1164"/>
      <c r="J42" s="47"/>
      <c r="K42" s="1190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185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185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40">M47</f>
        <v>0</v>
      </c>
      <c r="N44" s="47">
        <f t="shared" si="40"/>
        <v>0</v>
      </c>
      <c r="O44" s="47">
        <f t="shared" si="40"/>
        <v>0</v>
      </c>
      <c r="P44" s="47">
        <f t="shared" si="40"/>
        <v>0</v>
      </c>
      <c r="Q44" s="47">
        <f t="shared" si="40"/>
        <v>0</v>
      </c>
      <c r="R44" s="47">
        <f t="shared" si="40"/>
        <v>0</v>
      </c>
      <c r="S44" s="47">
        <f t="shared" si="40"/>
        <v>0</v>
      </c>
      <c r="T44" s="47">
        <f t="shared" si="40"/>
        <v>0</v>
      </c>
      <c r="U44" s="47">
        <f t="shared" si="40"/>
        <v>7.2</v>
      </c>
      <c r="V44" s="47">
        <f t="shared" si="40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185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41">J47</f>
        <v>23417.360000000001</v>
      </c>
      <c r="K45" s="47">
        <f t="shared" si="41"/>
        <v>0</v>
      </c>
      <c r="L45" s="47">
        <v>0</v>
      </c>
      <c r="M45" s="4">
        <f t="shared" si="41"/>
        <v>0</v>
      </c>
      <c r="N45" s="4">
        <f t="shared" si="41"/>
        <v>0</v>
      </c>
      <c r="O45" s="4">
        <f t="shared" si="41"/>
        <v>0</v>
      </c>
      <c r="P45" s="4">
        <v>0</v>
      </c>
      <c r="Q45" s="4">
        <v>0</v>
      </c>
      <c r="R45" s="4">
        <f t="shared" si="41"/>
        <v>0</v>
      </c>
      <c r="S45" s="4">
        <f t="shared" si="41"/>
        <v>0</v>
      </c>
      <c r="T45" s="4">
        <f t="shared" si="41"/>
        <v>0</v>
      </c>
      <c r="U45" s="4">
        <v>0</v>
      </c>
      <c r="V45" s="4">
        <f t="shared" si="41"/>
        <v>0</v>
      </c>
      <c r="W45" s="4">
        <f t="shared" si="41"/>
        <v>0</v>
      </c>
      <c r="X45" s="4">
        <f t="shared" si="41"/>
        <v>0</v>
      </c>
      <c r="Y45" s="4">
        <f t="shared" si="41"/>
        <v>0</v>
      </c>
      <c r="Z45" s="268"/>
      <c r="AA45" s="4">
        <f t="shared" si="41"/>
        <v>0</v>
      </c>
      <c r="AB45" s="4">
        <f t="shared" si="41"/>
        <v>0</v>
      </c>
      <c r="AC45" s="4">
        <f t="shared" si="41"/>
        <v>7.2</v>
      </c>
      <c r="AD45" s="4">
        <f t="shared" si="41"/>
        <v>0</v>
      </c>
      <c r="AE45" s="4">
        <f t="shared" si="41"/>
        <v>0</v>
      </c>
      <c r="AF45" s="4">
        <f t="shared" si="41"/>
        <v>0</v>
      </c>
      <c r="AG45" s="4">
        <f t="shared" si="41"/>
        <v>0</v>
      </c>
      <c r="AH45" s="4">
        <f t="shared" si="41"/>
        <v>0</v>
      </c>
      <c r="AI45" s="4">
        <f t="shared" si="41"/>
        <v>0</v>
      </c>
      <c r="AJ45" s="4">
        <f t="shared" si="41"/>
        <v>0</v>
      </c>
      <c r="AK45" s="4">
        <f t="shared" si="41"/>
        <v>0</v>
      </c>
      <c r="AL45" s="4">
        <f t="shared" si="41"/>
        <v>0</v>
      </c>
      <c r="AM45" s="4">
        <f t="shared" si="41"/>
        <v>0</v>
      </c>
      <c r="AN45" s="4">
        <f t="shared" si="41"/>
        <v>0</v>
      </c>
      <c r="AO45" s="4">
        <f t="shared" si="41"/>
        <v>0</v>
      </c>
      <c r="AP45" s="1185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185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173">
        <v>900</v>
      </c>
      <c r="D47" s="35">
        <v>28000</v>
      </c>
      <c r="E47" s="1173"/>
      <c r="F47" s="1184"/>
      <c r="G47" s="1176"/>
      <c r="H47" s="1176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42">R48+R51</f>
        <v>0</v>
      </c>
      <c r="S47" s="70">
        <f t="shared" si="42"/>
        <v>0</v>
      </c>
      <c r="T47" s="70">
        <f t="shared" si="42"/>
        <v>0</v>
      </c>
      <c r="U47" s="70">
        <f t="shared" si="42"/>
        <v>7.2</v>
      </c>
      <c r="V47" s="70">
        <f t="shared" si="42"/>
        <v>0</v>
      </c>
      <c r="W47" s="70">
        <f t="shared" si="42"/>
        <v>0</v>
      </c>
      <c r="X47" s="70">
        <f t="shared" si="42"/>
        <v>0</v>
      </c>
      <c r="Y47" s="70">
        <f t="shared" si="42"/>
        <v>0</v>
      </c>
      <c r="Z47" s="679">
        <v>0</v>
      </c>
      <c r="AA47" s="70">
        <v>0</v>
      </c>
      <c r="AB47" s="70">
        <f t="shared" si="42"/>
        <v>0</v>
      </c>
      <c r="AC47" s="70">
        <f t="shared" si="42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157" t="s">
        <v>15</v>
      </c>
      <c r="C48" s="1179"/>
      <c r="D48" s="577"/>
      <c r="E48" s="1179"/>
      <c r="F48" s="1188"/>
      <c r="G48" s="1163"/>
      <c r="H48" s="1163"/>
      <c r="I48" s="1448"/>
      <c r="J48" s="1628"/>
      <c r="K48" s="1628"/>
      <c r="L48" s="1190">
        <v>521.89</v>
      </c>
      <c r="M48" s="1190"/>
      <c r="N48" s="1190">
        <v>0</v>
      </c>
      <c r="O48" s="1208"/>
      <c r="P48" s="1190">
        <v>0</v>
      </c>
      <c r="Q48" s="1190">
        <v>0</v>
      </c>
      <c r="R48" s="1190">
        <f t="shared" ref="R48:Z48" si="43">R49+R50</f>
        <v>0</v>
      </c>
      <c r="S48" s="1190">
        <f t="shared" si="43"/>
        <v>0</v>
      </c>
      <c r="T48" s="1190">
        <f t="shared" si="43"/>
        <v>0</v>
      </c>
      <c r="U48" s="1190">
        <f t="shared" si="43"/>
        <v>7.2</v>
      </c>
      <c r="V48" s="1190">
        <f t="shared" si="43"/>
        <v>0</v>
      </c>
      <c r="W48" s="1190">
        <f t="shared" si="43"/>
        <v>0</v>
      </c>
      <c r="X48" s="1190">
        <f t="shared" si="43"/>
        <v>0</v>
      </c>
      <c r="Y48" s="1190">
        <f t="shared" si="43"/>
        <v>0</v>
      </c>
      <c r="Z48" s="1190">
        <f t="shared" si="43"/>
        <v>0</v>
      </c>
      <c r="AA48" s="1190">
        <v>0</v>
      </c>
      <c r="AB48" s="1190">
        <f t="shared" ref="AB48:AC48" si="44">AB49</f>
        <v>0</v>
      </c>
      <c r="AC48" s="1190">
        <f t="shared" si="44"/>
        <v>7.2</v>
      </c>
      <c r="AD48" s="1190"/>
      <c r="AE48" s="1190"/>
      <c r="AF48" s="1190"/>
      <c r="AG48" s="1190"/>
      <c r="AH48" s="1190"/>
      <c r="AI48" s="1190"/>
      <c r="AJ48" s="1190"/>
      <c r="AK48" s="288"/>
      <c r="AL48" s="288"/>
      <c r="AM48" s="1190"/>
      <c r="AN48" s="1190"/>
      <c r="AO48" s="1190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157" t="s">
        <v>16</v>
      </c>
      <c r="C51" s="1179"/>
      <c r="D51" s="1179"/>
      <c r="E51" s="1179"/>
      <c r="F51" s="1188"/>
      <c r="G51" s="1163">
        <v>2020</v>
      </c>
      <c r="H51" s="1163">
        <v>2020</v>
      </c>
      <c r="I51" s="1449"/>
      <c r="J51" s="1629"/>
      <c r="K51" s="1629"/>
      <c r="L51" s="1190">
        <v>4152.18</v>
      </c>
      <c r="M51" s="1190">
        <v>0</v>
      </c>
      <c r="N51" s="1190">
        <v>0</v>
      </c>
      <c r="O51" s="1190">
        <v>0</v>
      </c>
      <c r="P51" s="1190">
        <v>0</v>
      </c>
      <c r="Q51" s="1190">
        <v>0</v>
      </c>
      <c r="R51" s="1190">
        <v>0</v>
      </c>
      <c r="S51" s="1190">
        <v>0</v>
      </c>
      <c r="T51" s="1190">
        <v>0</v>
      </c>
      <c r="U51" s="1190">
        <v>0</v>
      </c>
      <c r="V51" s="1190">
        <v>0</v>
      </c>
      <c r="W51" s="1190">
        <v>0</v>
      </c>
      <c r="X51" s="1190">
        <v>0</v>
      </c>
      <c r="Y51" s="1190">
        <v>0</v>
      </c>
      <c r="Z51" s="258"/>
      <c r="AA51" s="1190">
        <v>0</v>
      </c>
      <c r="AB51" s="1190">
        <v>0</v>
      </c>
      <c r="AC51" s="1190">
        <v>0</v>
      </c>
      <c r="AD51" s="1190">
        <v>0</v>
      </c>
      <c r="AE51" s="1190">
        <v>0</v>
      </c>
      <c r="AF51" s="1190">
        <v>0</v>
      </c>
      <c r="AG51" s="1190">
        <f t="shared" ref="AG51:AJ52" si="45">AG54+AG57</f>
        <v>0</v>
      </c>
      <c r="AH51" s="1190">
        <f t="shared" si="45"/>
        <v>0</v>
      </c>
      <c r="AI51" s="1190">
        <f t="shared" si="45"/>
        <v>0</v>
      </c>
      <c r="AJ51" s="1190">
        <f t="shared" si="45"/>
        <v>0</v>
      </c>
      <c r="AK51" s="1190">
        <v>0</v>
      </c>
      <c r="AL51" s="1190">
        <v>0</v>
      </c>
      <c r="AM51" s="1190">
        <v>0</v>
      </c>
      <c r="AN51" s="1190">
        <v>0</v>
      </c>
      <c r="AO51" s="1190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205">
        <f>L52</f>
        <v>924.64</v>
      </c>
      <c r="K52" s="1205">
        <v>0</v>
      </c>
      <c r="L52" s="1190">
        <f>L58</f>
        <v>924.64</v>
      </c>
      <c r="M52" s="1190">
        <f t="shared" ref="M52:AO52" si="46">M55+M58</f>
        <v>0</v>
      </c>
      <c r="N52" s="1190">
        <f t="shared" si="46"/>
        <v>0</v>
      </c>
      <c r="O52" s="1190">
        <f t="shared" si="46"/>
        <v>0</v>
      </c>
      <c r="P52" s="1190">
        <f t="shared" si="46"/>
        <v>725.37</v>
      </c>
      <c r="Q52" s="1190">
        <f t="shared" si="46"/>
        <v>0</v>
      </c>
      <c r="R52" s="1190">
        <f t="shared" si="46"/>
        <v>0</v>
      </c>
      <c r="S52" s="1190">
        <f t="shared" si="46"/>
        <v>0</v>
      </c>
      <c r="T52" s="1190">
        <f t="shared" si="46"/>
        <v>0</v>
      </c>
      <c r="U52" s="1190">
        <f t="shared" si="46"/>
        <v>0</v>
      </c>
      <c r="V52" s="1190">
        <f t="shared" si="46"/>
        <v>131</v>
      </c>
      <c r="W52" s="1190">
        <f t="shared" si="46"/>
        <v>131</v>
      </c>
      <c r="X52" s="1190">
        <f t="shared" si="46"/>
        <v>0</v>
      </c>
      <c r="Y52" s="1190">
        <f t="shared" si="46"/>
        <v>0</v>
      </c>
      <c r="Z52" s="258"/>
      <c r="AA52" s="1190">
        <f t="shared" si="46"/>
        <v>0</v>
      </c>
      <c r="AB52" s="1190">
        <f t="shared" si="46"/>
        <v>0</v>
      </c>
      <c r="AC52" s="1190">
        <f t="shared" si="46"/>
        <v>0</v>
      </c>
      <c r="AD52" s="1190">
        <f t="shared" si="46"/>
        <v>200</v>
      </c>
      <c r="AE52" s="1190">
        <f t="shared" si="46"/>
        <v>0</v>
      </c>
      <c r="AF52" s="1190">
        <f t="shared" si="46"/>
        <v>0</v>
      </c>
      <c r="AG52" s="1190">
        <f t="shared" si="45"/>
        <v>0</v>
      </c>
      <c r="AH52" s="1190">
        <f t="shared" si="45"/>
        <v>0</v>
      </c>
      <c r="AI52" s="1190">
        <f t="shared" si="45"/>
        <v>0</v>
      </c>
      <c r="AJ52" s="1190">
        <f t="shared" si="45"/>
        <v>0</v>
      </c>
      <c r="AK52" s="1190">
        <f t="shared" si="46"/>
        <v>725.37</v>
      </c>
      <c r="AL52" s="1190">
        <f t="shared" si="46"/>
        <v>725.37</v>
      </c>
      <c r="AM52" s="1190">
        <f t="shared" si="46"/>
        <v>0</v>
      </c>
      <c r="AN52" s="1190">
        <f t="shared" si="46"/>
        <v>0</v>
      </c>
      <c r="AO52" s="1190">
        <f t="shared" si="46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205">
        <f>L53</f>
        <v>0</v>
      </c>
      <c r="K53" s="1205">
        <v>0</v>
      </c>
      <c r="L53" s="1190">
        <v>0</v>
      </c>
      <c r="M53" s="1190">
        <v>0</v>
      </c>
      <c r="N53" s="1190">
        <v>0</v>
      </c>
      <c r="O53" s="1208">
        <v>0</v>
      </c>
      <c r="P53" s="1190">
        <v>0</v>
      </c>
      <c r="Q53" s="1190">
        <v>0</v>
      </c>
      <c r="R53" s="1190">
        <v>0</v>
      </c>
      <c r="S53" s="1190">
        <v>0</v>
      </c>
      <c r="T53" s="1190">
        <v>0</v>
      </c>
      <c r="U53" s="1190">
        <v>0</v>
      </c>
      <c r="V53" s="1190">
        <v>0</v>
      </c>
      <c r="W53" s="1190">
        <v>0</v>
      </c>
      <c r="X53" s="1190">
        <v>0</v>
      </c>
      <c r="Y53" s="1190">
        <v>0</v>
      </c>
      <c r="Z53" s="258"/>
      <c r="AA53" s="1190">
        <v>0</v>
      </c>
      <c r="AB53" s="1190">
        <v>0</v>
      </c>
      <c r="AC53" s="1190">
        <v>0</v>
      </c>
      <c r="AD53" s="1190">
        <v>0</v>
      </c>
      <c r="AE53" s="1190">
        <v>0</v>
      </c>
      <c r="AF53" s="1190">
        <v>0</v>
      </c>
      <c r="AG53" s="1190">
        <v>0</v>
      </c>
      <c r="AH53" s="1190">
        <v>0</v>
      </c>
      <c r="AI53" s="1190">
        <v>0</v>
      </c>
      <c r="AJ53" s="1190">
        <v>0</v>
      </c>
      <c r="AK53" s="1190">
        <v>0</v>
      </c>
      <c r="AL53" s="1190">
        <v>0</v>
      </c>
      <c r="AM53" s="1190">
        <v>0</v>
      </c>
      <c r="AN53" s="1190">
        <v>0</v>
      </c>
      <c r="AO53" s="1190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205">
        <f>L54</f>
        <v>0</v>
      </c>
      <c r="K54" s="1205">
        <v>0</v>
      </c>
      <c r="L54" s="1190">
        <v>0</v>
      </c>
      <c r="M54" s="1190">
        <v>0</v>
      </c>
      <c r="N54" s="1190">
        <v>0</v>
      </c>
      <c r="O54" s="1208">
        <v>0</v>
      </c>
      <c r="P54" s="1190">
        <v>0</v>
      </c>
      <c r="Q54" s="1190">
        <v>0</v>
      </c>
      <c r="R54" s="1190">
        <v>0</v>
      </c>
      <c r="S54" s="1190">
        <v>0</v>
      </c>
      <c r="T54" s="1190">
        <v>0</v>
      </c>
      <c r="U54" s="1190">
        <v>0</v>
      </c>
      <c r="V54" s="1190">
        <v>0</v>
      </c>
      <c r="W54" s="1190">
        <v>0</v>
      </c>
      <c r="X54" s="1190">
        <v>0</v>
      </c>
      <c r="Y54" s="1190">
        <v>0</v>
      </c>
      <c r="Z54" s="258"/>
      <c r="AA54" s="1190">
        <v>0</v>
      </c>
      <c r="AB54" s="1190">
        <v>0</v>
      </c>
      <c r="AC54" s="1190">
        <v>0</v>
      </c>
      <c r="AD54" s="1190">
        <v>0</v>
      </c>
      <c r="AE54" s="1190">
        <v>0</v>
      </c>
      <c r="AF54" s="1190">
        <v>0</v>
      </c>
      <c r="AG54" s="1190">
        <v>0</v>
      </c>
      <c r="AH54" s="1190">
        <v>0</v>
      </c>
      <c r="AI54" s="1190">
        <v>0</v>
      </c>
      <c r="AJ54" s="1190">
        <v>0</v>
      </c>
      <c r="AK54" s="1190">
        <v>0</v>
      </c>
      <c r="AL54" s="1190">
        <v>0</v>
      </c>
      <c r="AM54" s="1190">
        <v>0</v>
      </c>
      <c r="AN54" s="1190">
        <v>0</v>
      </c>
      <c r="AO54" s="1190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179"/>
      <c r="H55" s="1179"/>
      <c r="I55" s="1374" t="s">
        <v>20</v>
      </c>
      <c r="J55" s="1205">
        <f>L55</f>
        <v>0</v>
      </c>
      <c r="K55" s="1205"/>
      <c r="L55" s="1190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7">R56+R57</f>
        <v>0</v>
      </c>
      <c r="S55" s="71">
        <f t="shared" si="47"/>
        <v>0</v>
      </c>
      <c r="T55" s="71">
        <f t="shared" si="47"/>
        <v>0</v>
      </c>
      <c r="U55" s="71">
        <f t="shared" si="47"/>
        <v>0</v>
      </c>
      <c r="V55" s="71">
        <f t="shared" si="47"/>
        <v>0</v>
      </c>
      <c r="W55" s="71">
        <f t="shared" si="47"/>
        <v>0</v>
      </c>
      <c r="X55" s="71">
        <f t="shared" si="47"/>
        <v>0</v>
      </c>
      <c r="Y55" s="71">
        <f t="shared" si="47"/>
        <v>0</v>
      </c>
      <c r="Z55" s="100"/>
      <c r="AA55" s="71">
        <f t="shared" si="47"/>
        <v>0</v>
      </c>
      <c r="AB55" s="71">
        <f t="shared" si="47"/>
        <v>0</v>
      </c>
      <c r="AC55" s="71">
        <f t="shared" si="47"/>
        <v>0</v>
      </c>
      <c r="AD55" s="71">
        <f t="shared" si="47"/>
        <v>0</v>
      </c>
      <c r="AE55" s="71">
        <f t="shared" si="47"/>
        <v>0</v>
      </c>
      <c r="AF55" s="71">
        <f t="shared" si="47"/>
        <v>0</v>
      </c>
      <c r="AG55" s="71">
        <f t="shared" si="47"/>
        <v>0</v>
      </c>
      <c r="AH55" s="71">
        <f t="shared" si="47"/>
        <v>0</v>
      </c>
      <c r="AI55" s="71">
        <f t="shared" si="47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7"/>
        <v>0</v>
      </c>
      <c r="AO55" s="71">
        <f t="shared" si="47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179">
        <v>2019</v>
      </c>
      <c r="H56" s="1179">
        <v>2019</v>
      </c>
      <c r="I56" s="1391"/>
      <c r="J56" s="1205">
        <f t="shared" ref="J56:J61" si="48">L56</f>
        <v>0</v>
      </c>
      <c r="K56" s="1205"/>
      <c r="L56" s="1190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171">
        <v>2019</v>
      </c>
      <c r="H57" s="1171">
        <v>2019</v>
      </c>
      <c r="I57" s="1375"/>
      <c r="J57" s="1205">
        <f t="shared" si="48"/>
        <v>0</v>
      </c>
      <c r="K57" s="1164"/>
      <c r="L57" s="1190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171"/>
      <c r="H58" s="1171"/>
      <c r="I58" s="1374" t="s">
        <v>20</v>
      </c>
      <c r="J58" s="1205">
        <f t="shared" si="48"/>
        <v>924.64</v>
      </c>
      <c r="K58" s="1164"/>
      <c r="L58" s="1190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9">R59+R61</f>
        <v>0</v>
      </c>
      <c r="S58" s="318">
        <f t="shared" si="49"/>
        <v>0</v>
      </c>
      <c r="T58" s="318">
        <f t="shared" si="49"/>
        <v>0</v>
      </c>
      <c r="U58" s="318">
        <f t="shared" si="49"/>
        <v>0</v>
      </c>
      <c r="V58" s="318">
        <f t="shared" si="49"/>
        <v>131</v>
      </c>
      <c r="W58" s="318">
        <f t="shared" si="49"/>
        <v>131</v>
      </c>
      <c r="X58" s="318">
        <f t="shared" si="49"/>
        <v>0</v>
      </c>
      <c r="Y58" s="318">
        <f t="shared" si="49"/>
        <v>0</v>
      </c>
      <c r="Z58" s="372">
        <v>0</v>
      </c>
      <c r="AA58" s="318">
        <v>0</v>
      </c>
      <c r="AB58" s="4">
        <f t="shared" si="49"/>
        <v>0</v>
      </c>
      <c r="AC58" s="4">
        <f t="shared" si="49"/>
        <v>0</v>
      </c>
      <c r="AD58" s="4">
        <f t="shared" si="49"/>
        <v>200</v>
      </c>
      <c r="AE58" s="4">
        <f t="shared" si="49"/>
        <v>0</v>
      </c>
      <c r="AF58" s="4">
        <f t="shared" si="49"/>
        <v>0</v>
      </c>
      <c r="AG58" s="4">
        <f t="shared" si="49"/>
        <v>0</v>
      </c>
      <c r="AH58" s="4">
        <f t="shared" si="49"/>
        <v>0</v>
      </c>
      <c r="AI58" s="4">
        <f t="shared" si="49"/>
        <v>0</v>
      </c>
      <c r="AJ58" s="4">
        <f t="shared" si="49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9"/>
        <v>0</v>
      </c>
      <c r="AO58" s="4">
        <f t="shared" si="49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171">
        <v>2019</v>
      </c>
      <c r="H59" s="1171">
        <v>2019</v>
      </c>
      <c r="I59" s="1391"/>
      <c r="J59" s="1205">
        <f t="shared" si="48"/>
        <v>250</v>
      </c>
      <c r="K59" s="1164"/>
      <c r="L59" s="1190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50">R60</f>
        <v>0</v>
      </c>
      <c r="S59" s="4">
        <f t="shared" si="50"/>
        <v>0</v>
      </c>
      <c r="T59" s="4">
        <f t="shared" si="50"/>
        <v>0</v>
      </c>
      <c r="U59" s="4">
        <f t="shared" si="50"/>
        <v>0</v>
      </c>
      <c r="V59" s="4">
        <f t="shared" si="50"/>
        <v>131</v>
      </c>
      <c r="W59" s="4">
        <f t="shared" si="50"/>
        <v>131</v>
      </c>
      <c r="X59" s="4">
        <f t="shared" si="50"/>
        <v>0</v>
      </c>
      <c r="Y59" s="4">
        <f t="shared" si="50"/>
        <v>0</v>
      </c>
      <c r="Z59" s="268"/>
      <c r="AA59" s="4">
        <v>0</v>
      </c>
      <c r="AB59" s="4">
        <f t="shared" si="50"/>
        <v>0</v>
      </c>
      <c r="AC59" s="4">
        <f t="shared" si="50"/>
        <v>0</v>
      </c>
      <c r="AD59" s="4">
        <f t="shared" si="50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185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171">
        <v>2019</v>
      </c>
      <c r="H61" s="1171">
        <v>2019</v>
      </c>
      <c r="I61" s="1375"/>
      <c r="J61" s="1205">
        <f t="shared" si="48"/>
        <v>674.64</v>
      </c>
      <c r="K61" s="1164"/>
      <c r="L61" s="1190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178"/>
      <c r="L62" s="1181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51">SUM(R63:R64)</f>
        <v>0</v>
      </c>
      <c r="S62" s="318">
        <f t="shared" si="51"/>
        <v>0</v>
      </c>
      <c r="T62" s="318">
        <f t="shared" si="51"/>
        <v>0</v>
      </c>
      <c r="U62" s="318">
        <f t="shared" si="51"/>
        <v>0</v>
      </c>
      <c r="V62" s="318">
        <f t="shared" si="51"/>
        <v>0</v>
      </c>
      <c r="W62" s="318">
        <f t="shared" si="51"/>
        <v>0</v>
      </c>
      <c r="X62" s="318">
        <f t="shared" si="51"/>
        <v>0</v>
      </c>
      <c r="Y62" s="318">
        <f t="shared" si="51"/>
        <v>0</v>
      </c>
      <c r="Z62" s="318">
        <f t="shared" si="51"/>
        <v>0</v>
      </c>
      <c r="AA62" s="318">
        <f t="shared" si="51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209"/>
      <c r="B63" s="42" t="s">
        <v>15</v>
      </c>
      <c r="C63" s="341"/>
      <c r="D63" s="341"/>
      <c r="E63" s="771"/>
      <c r="F63" s="691"/>
      <c r="G63" s="335"/>
      <c r="H63" s="770"/>
      <c r="I63" s="1182"/>
      <c r="J63" s="1205"/>
      <c r="K63" s="1164"/>
      <c r="L63" s="1190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209"/>
      <c r="B64" s="42" t="s">
        <v>32</v>
      </c>
      <c r="C64" s="341"/>
      <c r="D64" s="341"/>
      <c r="E64" s="771"/>
      <c r="F64" s="691"/>
      <c r="G64" s="335"/>
      <c r="H64" s="770"/>
      <c r="I64" s="1182"/>
      <c r="J64" s="1205"/>
      <c r="K64" s="1164"/>
      <c r="L64" s="1190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52">J68</f>
        <v>18824.2</v>
      </c>
      <c r="K65" s="47">
        <f t="shared" si="52"/>
        <v>0</v>
      </c>
      <c r="L65" s="47">
        <f t="shared" si="52"/>
        <v>5710.74</v>
      </c>
      <c r="M65" s="47">
        <f t="shared" si="52"/>
        <v>893.45</v>
      </c>
      <c r="N65" s="47">
        <f t="shared" si="52"/>
        <v>1051.49</v>
      </c>
      <c r="O65" s="47">
        <f t="shared" si="52"/>
        <v>11206.2</v>
      </c>
      <c r="P65" s="47">
        <f t="shared" si="52"/>
        <v>192.06</v>
      </c>
      <c r="Q65" s="47">
        <f t="shared" si="52"/>
        <v>75</v>
      </c>
      <c r="R65" s="47">
        <f t="shared" si="52"/>
        <v>0</v>
      </c>
      <c r="S65" s="47">
        <f t="shared" si="52"/>
        <v>0</v>
      </c>
      <c r="T65" s="47">
        <f t="shared" si="52"/>
        <v>0</v>
      </c>
      <c r="U65" s="47">
        <f t="shared" si="52"/>
        <v>0</v>
      </c>
      <c r="V65" s="47">
        <f t="shared" si="52"/>
        <v>0</v>
      </c>
      <c r="W65" s="47">
        <f t="shared" si="52"/>
        <v>0</v>
      </c>
      <c r="X65" s="47">
        <f t="shared" si="52"/>
        <v>0</v>
      </c>
      <c r="Y65" s="47">
        <f t="shared" si="52"/>
        <v>0</v>
      </c>
      <c r="Z65" s="96"/>
      <c r="AA65" s="47">
        <f t="shared" si="52"/>
        <v>75</v>
      </c>
      <c r="AB65" s="47">
        <f t="shared" si="52"/>
        <v>0</v>
      </c>
      <c r="AC65" s="47">
        <f t="shared" si="52"/>
        <v>0</v>
      </c>
      <c r="AD65" s="47">
        <f t="shared" si="52"/>
        <v>0</v>
      </c>
      <c r="AE65" s="47">
        <f t="shared" si="52"/>
        <v>0</v>
      </c>
      <c r="AF65" s="47">
        <f t="shared" si="52"/>
        <v>0</v>
      </c>
      <c r="AG65" s="47">
        <f t="shared" si="52"/>
        <v>0</v>
      </c>
      <c r="AH65" s="47">
        <f t="shared" si="52"/>
        <v>0</v>
      </c>
      <c r="AI65" s="47">
        <f t="shared" si="52"/>
        <v>0</v>
      </c>
      <c r="AJ65" s="47">
        <f t="shared" si="52"/>
        <v>0</v>
      </c>
      <c r="AK65" s="47">
        <f t="shared" si="52"/>
        <v>117.06</v>
      </c>
      <c r="AL65" s="47">
        <f t="shared" si="52"/>
        <v>117.06</v>
      </c>
      <c r="AM65" s="47">
        <f t="shared" si="52"/>
        <v>39.049999999999997</v>
      </c>
      <c r="AN65" s="47">
        <f t="shared" si="52"/>
        <v>0</v>
      </c>
      <c r="AO65" s="47">
        <f t="shared" si="52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176"/>
      <c r="H68" s="1176"/>
      <c r="I68" s="1326" t="s">
        <v>20</v>
      </c>
      <c r="J68" s="1640">
        <v>18824.2</v>
      </c>
      <c r="K68" s="3">
        <v>0</v>
      </c>
      <c r="L68" s="3">
        <f t="shared" ref="L68:P68" si="53">L69+L71</f>
        <v>5710.74</v>
      </c>
      <c r="M68" s="3">
        <f t="shared" si="53"/>
        <v>893.45</v>
      </c>
      <c r="N68" s="3">
        <f t="shared" si="53"/>
        <v>1051.49</v>
      </c>
      <c r="O68" s="3">
        <f t="shared" si="53"/>
        <v>11206.2</v>
      </c>
      <c r="P68" s="3">
        <f t="shared" si="53"/>
        <v>192.06</v>
      </c>
      <c r="Q68" s="3">
        <f>SUM(Q69:Q71)</f>
        <v>75</v>
      </c>
      <c r="R68" s="3">
        <f t="shared" ref="R68:AA68" si="54">SUM(R69:R71)</f>
        <v>0</v>
      </c>
      <c r="S68" s="3">
        <f t="shared" si="54"/>
        <v>0</v>
      </c>
      <c r="T68" s="3">
        <f t="shared" si="54"/>
        <v>0</v>
      </c>
      <c r="U68" s="3">
        <f t="shared" si="54"/>
        <v>0</v>
      </c>
      <c r="V68" s="3">
        <f t="shared" si="54"/>
        <v>0</v>
      </c>
      <c r="W68" s="3">
        <f t="shared" si="54"/>
        <v>0</v>
      </c>
      <c r="X68" s="3">
        <f t="shared" si="54"/>
        <v>0</v>
      </c>
      <c r="Y68" s="3">
        <f t="shared" si="54"/>
        <v>0</v>
      </c>
      <c r="Z68" s="3">
        <f t="shared" si="54"/>
        <v>0</v>
      </c>
      <c r="AA68" s="3">
        <f t="shared" si="54"/>
        <v>75</v>
      </c>
      <c r="AB68" s="3">
        <f t="shared" ref="AB68:AO68" si="55">AB69+AB71</f>
        <v>0</v>
      </c>
      <c r="AC68" s="3">
        <f t="shared" si="55"/>
        <v>0</v>
      </c>
      <c r="AD68" s="3">
        <f t="shared" si="55"/>
        <v>0</v>
      </c>
      <c r="AE68" s="3">
        <f t="shared" si="55"/>
        <v>0</v>
      </c>
      <c r="AF68" s="3">
        <f t="shared" si="55"/>
        <v>0</v>
      </c>
      <c r="AG68" s="3">
        <f t="shared" si="55"/>
        <v>0</v>
      </c>
      <c r="AH68" s="3">
        <f t="shared" si="55"/>
        <v>0</v>
      </c>
      <c r="AI68" s="3">
        <f t="shared" si="55"/>
        <v>0</v>
      </c>
      <c r="AJ68" s="3">
        <f t="shared" si="55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55"/>
        <v>0</v>
      </c>
      <c r="AO68" s="3">
        <f t="shared" si="55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157" t="s">
        <v>15</v>
      </c>
      <c r="C69" s="1327"/>
      <c r="D69" s="1327"/>
      <c r="E69" s="1327"/>
      <c r="F69" s="1327"/>
      <c r="G69" s="1163">
        <v>2019</v>
      </c>
      <c r="H69" s="1163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56">SUM(R70)</f>
        <v>0</v>
      </c>
      <c r="S69" s="47">
        <f t="shared" si="56"/>
        <v>0</v>
      </c>
      <c r="T69" s="47">
        <f t="shared" si="56"/>
        <v>0</v>
      </c>
      <c r="U69" s="47">
        <f t="shared" si="56"/>
        <v>0</v>
      </c>
      <c r="V69" s="47">
        <f t="shared" si="56"/>
        <v>0</v>
      </c>
      <c r="W69" s="47">
        <f t="shared" si="56"/>
        <v>0</v>
      </c>
      <c r="X69" s="47">
        <v>0</v>
      </c>
      <c r="Y69" s="47">
        <f t="shared" si="56"/>
        <v>0</v>
      </c>
      <c r="Z69" s="96"/>
      <c r="AA69" s="47">
        <v>75</v>
      </c>
      <c r="AB69" s="47">
        <f t="shared" si="56"/>
        <v>0</v>
      </c>
      <c r="AC69" s="47">
        <v>0</v>
      </c>
      <c r="AD69" s="47">
        <v>0</v>
      </c>
      <c r="AE69" s="47">
        <v>0</v>
      </c>
      <c r="AF69" s="47">
        <f t="shared" si="56"/>
        <v>0</v>
      </c>
      <c r="AG69" s="47">
        <f t="shared" si="56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157" t="s">
        <v>16</v>
      </c>
      <c r="C71" s="1327"/>
      <c r="D71" s="1327"/>
      <c r="E71" s="1327"/>
      <c r="F71" s="1327"/>
      <c r="G71" s="1163">
        <v>2020</v>
      </c>
      <c r="H71" s="1163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172"/>
      <c r="B72" s="609" t="s">
        <v>403</v>
      </c>
      <c r="C72" s="341"/>
      <c r="D72" s="341"/>
      <c r="E72" s="341"/>
      <c r="F72" s="341"/>
      <c r="G72" s="1176"/>
      <c r="H72" s="1176"/>
      <c r="I72" s="1164"/>
      <c r="J72" s="1207"/>
      <c r="K72" s="3">
        <v>0</v>
      </c>
      <c r="L72" s="3">
        <f>L73+L78</f>
        <v>0</v>
      </c>
      <c r="M72" s="3">
        <f>M73+M78</f>
        <v>0</v>
      </c>
      <c r="N72" s="3">
        <f>N73+N78</f>
        <v>0</v>
      </c>
      <c r="O72" s="3">
        <f>O73+O78</f>
        <v>0</v>
      </c>
      <c r="P72" s="3">
        <f>P73+P78</f>
        <v>0</v>
      </c>
      <c r="Q72" s="3">
        <f>SUM(Q73)</f>
        <v>35.672149999999995</v>
      </c>
      <c r="R72" s="3">
        <f t="shared" ref="R72:AA72" si="57">SUM(R73)</f>
        <v>0</v>
      </c>
      <c r="S72" s="3">
        <f t="shared" si="57"/>
        <v>0</v>
      </c>
      <c r="T72" s="3">
        <f t="shared" si="57"/>
        <v>0</v>
      </c>
      <c r="U72" s="3">
        <f t="shared" si="57"/>
        <v>0</v>
      </c>
      <c r="V72" s="3">
        <f t="shared" si="57"/>
        <v>0</v>
      </c>
      <c r="W72" s="3">
        <f t="shared" si="57"/>
        <v>0</v>
      </c>
      <c r="X72" s="3">
        <f t="shared" si="57"/>
        <v>0</v>
      </c>
      <c r="Y72" s="3">
        <f t="shared" si="57"/>
        <v>0</v>
      </c>
      <c r="Z72" s="3">
        <f t="shared" si="57"/>
        <v>0</v>
      </c>
      <c r="AA72" s="3">
        <f t="shared" si="57"/>
        <v>35.672149999999995</v>
      </c>
      <c r="AB72" s="3">
        <f t="shared" ref="AB72:AJ72" si="58">AB73+AB78</f>
        <v>0</v>
      </c>
      <c r="AC72" s="3">
        <f t="shared" si="58"/>
        <v>0</v>
      </c>
      <c r="AD72" s="3">
        <f t="shared" si="58"/>
        <v>0</v>
      </c>
      <c r="AE72" s="3">
        <f t="shared" si="58"/>
        <v>0</v>
      </c>
      <c r="AF72" s="3">
        <f t="shared" si="58"/>
        <v>0</v>
      </c>
      <c r="AG72" s="3">
        <f t="shared" si="58"/>
        <v>0</v>
      </c>
      <c r="AH72" s="3">
        <f t="shared" si="58"/>
        <v>0</v>
      </c>
      <c r="AI72" s="3">
        <f t="shared" si="58"/>
        <v>0</v>
      </c>
      <c r="AJ72" s="3">
        <f t="shared" si="58"/>
        <v>0</v>
      </c>
      <c r="AK72" s="3">
        <f>P72-Q72</f>
        <v>-35.672149999999995</v>
      </c>
      <c r="AL72" s="3">
        <f>AK72</f>
        <v>-35.672149999999995</v>
      </c>
      <c r="AM72" s="318" t="e">
        <f>ROUND((Q72*100%/P72*100),2)</f>
        <v>#DIV/0!</v>
      </c>
      <c r="AN72" s="3">
        <f>AN73+AN78</f>
        <v>0</v>
      </c>
      <c r="AO72" s="3">
        <f>AO73+AO78</f>
        <v>0</v>
      </c>
      <c r="AP72" s="633" t="s">
        <v>272</v>
      </c>
      <c r="AQ72" s="95">
        <v>40</v>
      </c>
    </row>
    <row r="73" spans="1:43" ht="15.75" customHeight="1" x14ac:dyDescent="0.25">
      <c r="A73" s="1172"/>
      <c r="B73" s="42" t="s">
        <v>16</v>
      </c>
      <c r="C73" s="341"/>
      <c r="D73" s="341"/>
      <c r="E73" s="341"/>
      <c r="F73" s="341"/>
      <c r="G73" s="313"/>
      <c r="H73" s="1196"/>
      <c r="I73" s="1164"/>
      <c r="J73" s="1207"/>
      <c r="K73" s="4"/>
      <c r="L73" s="47"/>
      <c r="M73" s="47"/>
      <c r="N73" s="47"/>
      <c r="O73" s="47"/>
      <c r="P73" s="47">
        <v>0</v>
      </c>
      <c r="Q73" s="47">
        <f>SUM(Q74:Q75)</f>
        <v>35.672149999999995</v>
      </c>
      <c r="R73" s="47">
        <f t="shared" ref="R73:AA73" si="59">SUM(R74:R75)</f>
        <v>0</v>
      </c>
      <c r="S73" s="47">
        <f t="shared" si="59"/>
        <v>0</v>
      </c>
      <c r="T73" s="47">
        <f t="shared" si="59"/>
        <v>0</v>
      </c>
      <c r="U73" s="47">
        <f t="shared" si="59"/>
        <v>0</v>
      </c>
      <c r="V73" s="47">
        <f t="shared" si="59"/>
        <v>0</v>
      </c>
      <c r="W73" s="47">
        <f t="shared" si="59"/>
        <v>0</v>
      </c>
      <c r="X73" s="47">
        <f t="shared" si="59"/>
        <v>0</v>
      </c>
      <c r="Y73" s="47">
        <f t="shared" si="59"/>
        <v>0</v>
      </c>
      <c r="Z73" s="47">
        <f t="shared" si="59"/>
        <v>0</v>
      </c>
      <c r="AA73" s="47">
        <f t="shared" si="59"/>
        <v>35.672149999999995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451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34.092149999999997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34.092149999999997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327" customFormat="1" ht="28.5" customHeight="1" x14ac:dyDescent="0.25">
      <c r="A76" s="1172"/>
      <c r="B76" s="609" t="s">
        <v>404</v>
      </c>
      <c r="C76" s="341"/>
      <c r="D76" s="341"/>
      <c r="E76" s="341"/>
      <c r="F76" s="341"/>
      <c r="G76" s="1176"/>
      <c r="H76" s="1176"/>
      <c r="I76" s="1164"/>
      <c r="J76" s="1207"/>
      <c r="K76" s="3">
        <v>0</v>
      </c>
      <c r="L76" s="3">
        <f>L77+L80</f>
        <v>0</v>
      </c>
      <c r="M76" s="3">
        <f>M77+M80</f>
        <v>0</v>
      </c>
      <c r="N76" s="3">
        <f>N77+N80</f>
        <v>0</v>
      </c>
      <c r="O76" s="3">
        <f>O77+O80</f>
        <v>0</v>
      </c>
      <c r="P76" s="3">
        <f>P77+P80</f>
        <v>0</v>
      </c>
      <c r="Q76" s="3">
        <f>SUM(Q77)</f>
        <v>0</v>
      </c>
      <c r="R76" s="3">
        <f t="shared" ref="R76:AA76" si="60">SUM(R77)</f>
        <v>0</v>
      </c>
      <c r="S76" s="3">
        <f t="shared" si="60"/>
        <v>0</v>
      </c>
      <c r="T76" s="3">
        <f t="shared" si="60"/>
        <v>0</v>
      </c>
      <c r="U76" s="3">
        <f t="shared" si="60"/>
        <v>0</v>
      </c>
      <c r="V76" s="3">
        <f t="shared" si="60"/>
        <v>0</v>
      </c>
      <c r="W76" s="3">
        <f t="shared" si="60"/>
        <v>0</v>
      </c>
      <c r="X76" s="3">
        <f t="shared" si="60"/>
        <v>0</v>
      </c>
      <c r="Y76" s="3">
        <f t="shared" si="60"/>
        <v>0</v>
      </c>
      <c r="Z76" s="3">
        <f t="shared" si="60"/>
        <v>0</v>
      </c>
      <c r="AA76" s="3">
        <f t="shared" si="60"/>
        <v>0</v>
      </c>
      <c r="AB76" s="3">
        <f t="shared" ref="AB76:AJ76" si="61">AB77+AB80</f>
        <v>0</v>
      </c>
      <c r="AC76" s="3">
        <f t="shared" si="61"/>
        <v>0</v>
      </c>
      <c r="AD76" s="3">
        <f t="shared" si="61"/>
        <v>0</v>
      </c>
      <c r="AE76" s="3">
        <f t="shared" si="61"/>
        <v>0</v>
      </c>
      <c r="AF76" s="3">
        <f t="shared" si="61"/>
        <v>0</v>
      </c>
      <c r="AG76" s="3">
        <f t="shared" si="61"/>
        <v>0</v>
      </c>
      <c r="AH76" s="3">
        <f t="shared" si="61"/>
        <v>0</v>
      </c>
      <c r="AI76" s="3">
        <f t="shared" si="61"/>
        <v>0</v>
      </c>
      <c r="AJ76" s="3">
        <f t="shared" si="61"/>
        <v>0</v>
      </c>
      <c r="AK76" s="3">
        <f>P76-Q76</f>
        <v>0</v>
      </c>
      <c r="AL76" s="3">
        <f>AK76</f>
        <v>0</v>
      </c>
      <c r="AM76" s="318" t="e">
        <f>ROUND((Q76*100%/P76*100),2)</f>
        <v>#DIV/0!</v>
      </c>
      <c r="AN76" s="3">
        <f>AN77+AN80</f>
        <v>0</v>
      </c>
      <c r="AO76" s="3">
        <f>AO77+AO80</f>
        <v>0</v>
      </c>
      <c r="AP76" s="633" t="s">
        <v>272</v>
      </c>
      <c r="AQ76" s="95">
        <v>40</v>
      </c>
    </row>
    <row r="77" spans="1:43" ht="15.75" customHeight="1" x14ac:dyDescent="0.25">
      <c r="A77" s="1172"/>
      <c r="B77" s="42" t="s">
        <v>16</v>
      </c>
      <c r="C77" s="341"/>
      <c r="D77" s="341"/>
      <c r="E77" s="341"/>
      <c r="F77" s="341"/>
      <c r="G77" s="313"/>
      <c r="H77" s="1196"/>
      <c r="I77" s="1164"/>
      <c r="J77" s="1207"/>
      <c r="K77" s="4"/>
      <c r="L77" s="47"/>
      <c r="M77" s="47"/>
      <c r="N77" s="47"/>
      <c r="O77" s="47"/>
      <c r="P77" s="47">
        <v>0</v>
      </c>
      <c r="Q77" s="47">
        <v>0</v>
      </c>
      <c r="R77" s="47"/>
      <c r="S77" s="47"/>
      <c r="T77" s="47"/>
      <c r="U77" s="47"/>
      <c r="V77" s="47"/>
      <c r="W77" s="47"/>
      <c r="X77" s="47"/>
      <c r="Y77" s="47"/>
      <c r="Z77" s="96"/>
      <c r="AA77" s="47"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397"/>
      <c r="AQ77" s="96"/>
    </row>
    <row r="78" spans="1:43" ht="52.5" hidden="1" customHeight="1" x14ac:dyDescent="0.25">
      <c r="A78" s="1332" t="s">
        <v>56</v>
      </c>
      <c r="B78" s="1613" t="s">
        <v>41</v>
      </c>
      <c r="C78" s="1614"/>
      <c r="D78" s="1614"/>
      <c r="E78" s="1614"/>
      <c r="F78" s="1614"/>
      <c r="G78" s="1614"/>
      <c r="H78" s="1615"/>
      <c r="I78" s="23" t="s">
        <v>19</v>
      </c>
      <c r="J78" s="1189">
        <v>0</v>
      </c>
      <c r="K78" s="1189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48" hidden="1" customHeight="1" x14ac:dyDescent="0.25">
      <c r="A79" s="1333"/>
      <c r="B79" s="1616"/>
      <c r="C79" s="1617"/>
      <c r="D79" s="1617"/>
      <c r="E79" s="1617"/>
      <c r="F79" s="1617"/>
      <c r="G79" s="1617"/>
      <c r="H79" s="1618"/>
      <c r="I79" s="23" t="s">
        <v>20</v>
      </c>
      <c r="J79" s="1189">
        <f>L79</f>
        <v>212998.96</v>
      </c>
      <c r="K79" s="1189">
        <f>K82+K129+K130+K131</f>
        <v>0</v>
      </c>
      <c r="L79" s="47">
        <f>L82+L86+L92+L93+L96+L99+L102+L108+L113+L116+L120+L125</f>
        <v>212998.96</v>
      </c>
      <c r="M79" s="47">
        <f>M82+M86+M92+M93+M96+M99+M102+M108</f>
        <v>23675.279999999999</v>
      </c>
      <c r="N79" s="47">
        <f>N82+N86+N92+N93+N96+N99+N102+N108+N113+N116+N120+N125</f>
        <v>44561.120000000003</v>
      </c>
      <c r="O79" s="47">
        <f>O82+O86+O92+O93+O96+O99+O102+O108+O113+O116+O120+O125</f>
        <v>26487.67</v>
      </c>
      <c r="P79" s="47">
        <f>P82+P86+P92+P93+P96+P99+P102+P108+P113+P116+P120+P125</f>
        <v>42150.159999999996</v>
      </c>
      <c r="Q79" s="47">
        <f>Q82+Q86+Q92+Q93+Q96+Q99+Q102+Q108+Q113+Q116+Q120+Q125</f>
        <v>40</v>
      </c>
      <c r="R79" s="47">
        <f t="shared" ref="R79:Y79" si="62">R82+R86+R92+R93+R96+R99+R102+R108+R113+R116+R120+R125</f>
        <v>11372.53</v>
      </c>
      <c r="S79" s="47">
        <f t="shared" si="62"/>
        <v>11789.196</v>
      </c>
      <c r="T79" s="47">
        <f t="shared" si="62"/>
        <v>17105.953000000001</v>
      </c>
      <c r="U79" s="47">
        <f t="shared" si="62"/>
        <v>16853.532999999999</v>
      </c>
      <c r="V79" s="47">
        <f t="shared" si="62"/>
        <v>1876.1869999999999</v>
      </c>
      <c r="W79" s="47">
        <f t="shared" si="62"/>
        <v>1916.0429999999999</v>
      </c>
      <c r="X79" s="47">
        <f t="shared" si="62"/>
        <v>0</v>
      </c>
      <c r="Y79" s="47">
        <f t="shared" si="62"/>
        <v>0</v>
      </c>
      <c r="Z79" s="96"/>
      <c r="AA79" s="47">
        <f>AA82+AA86+AA92+AA93+AA96+AA99+AA102+AA108+AA113+AA116+AA120+AA125</f>
        <v>40</v>
      </c>
      <c r="AB79" s="47">
        <f>AB82+AB86+AB92+AB93+AB96+AB99+AB102+AB108+AB113+AB116+AB120+AB125</f>
        <v>40.5</v>
      </c>
      <c r="AC79" s="47">
        <f>AC82+AC86+AC92+AC93+AC96+AC99+AC102+AC108+AC113+AC116+AC120+AC125</f>
        <v>907.08299999999997</v>
      </c>
      <c r="AD79" s="47">
        <f>AD82+AD86+AD92+AD93+AD96+AD99+AD102+AD108+AD113+AD116+AD120+AD125</f>
        <v>2805.3339999999998</v>
      </c>
      <c r="AE79" s="47">
        <f>AE82+AE86+AE92+AE93+AE96+AE99+AE102+AE108+AE113+AE116+AE120+AE125</f>
        <v>0</v>
      </c>
      <c r="AF79" s="47">
        <f t="shared" ref="AF79:AO79" si="63">AF82+AF86+AF92</f>
        <v>0</v>
      </c>
      <c r="AG79" s="47">
        <f t="shared" si="63"/>
        <v>0</v>
      </c>
      <c r="AH79" s="47">
        <f t="shared" si="63"/>
        <v>0</v>
      </c>
      <c r="AI79" s="47">
        <f t="shared" si="63"/>
        <v>0</v>
      </c>
      <c r="AJ79" s="47">
        <f>AJ82+AJ86+AJ92+AJ125</f>
        <v>0</v>
      </c>
      <c r="AK79" s="47">
        <f t="shared" si="63"/>
        <v>4789.3900000000003</v>
      </c>
      <c r="AL79" s="47">
        <f t="shared" si="63"/>
        <v>4789.3900000000003</v>
      </c>
      <c r="AM79" s="47" t="e">
        <f t="shared" si="63"/>
        <v>#DIV/0!</v>
      </c>
      <c r="AN79" s="47">
        <f t="shared" si="63"/>
        <v>0</v>
      </c>
      <c r="AO79" s="47">
        <f t="shared" si="63"/>
        <v>0</v>
      </c>
      <c r="AP79" s="397"/>
      <c r="AQ79" s="96"/>
    </row>
    <row r="80" spans="1:43" ht="27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10</v>
      </c>
      <c r="J80" s="1189">
        <f>L80</f>
        <v>0</v>
      </c>
      <c r="K80" s="1189">
        <v>0</v>
      </c>
      <c r="L80" s="47">
        <f>M80+N80+O80</f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96"/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397"/>
      <c r="AQ80" s="96"/>
    </row>
    <row r="81" spans="1:43" ht="27" hidden="1" customHeight="1" x14ac:dyDescent="0.25">
      <c r="A81" s="1334"/>
      <c r="B81" s="1619"/>
      <c r="C81" s="1620"/>
      <c r="D81" s="1620"/>
      <c r="E81" s="1620"/>
      <c r="F81" s="1620"/>
      <c r="G81" s="1620"/>
      <c r="H81" s="1621"/>
      <c r="I81" s="23" t="s">
        <v>9</v>
      </c>
      <c r="J81" s="1189">
        <f>L81</f>
        <v>0</v>
      </c>
      <c r="K81" s="1189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s="327" customFormat="1" ht="27.75" customHeight="1" x14ac:dyDescent="0.25">
      <c r="A82" s="1372" t="s">
        <v>57</v>
      </c>
      <c r="B82" s="780" t="s">
        <v>200</v>
      </c>
      <c r="C82" s="1173"/>
      <c r="D82" s="1173"/>
      <c r="E82" s="1173"/>
      <c r="F82" s="1173"/>
      <c r="G82" s="1173">
        <v>2019</v>
      </c>
      <c r="H82" s="1173">
        <v>2019</v>
      </c>
      <c r="I82" s="1326" t="s">
        <v>20</v>
      </c>
      <c r="J82" s="3">
        <f>L82</f>
        <v>30833.33</v>
      </c>
      <c r="K82" s="3"/>
      <c r="L82" s="3">
        <f t="shared" ref="L82:AC82" si="64">L83</f>
        <v>30833.33</v>
      </c>
      <c r="M82" s="3">
        <f t="shared" si="64"/>
        <v>20000</v>
      </c>
      <c r="N82" s="3">
        <f t="shared" si="64"/>
        <v>9151.41</v>
      </c>
      <c r="O82" s="3">
        <f t="shared" si="64"/>
        <v>0</v>
      </c>
      <c r="P82" s="3">
        <v>0</v>
      </c>
      <c r="Q82" s="3">
        <f t="shared" si="64"/>
        <v>0</v>
      </c>
      <c r="R82" s="3">
        <f t="shared" si="64"/>
        <v>0</v>
      </c>
      <c r="S82" s="3">
        <f t="shared" si="64"/>
        <v>0</v>
      </c>
      <c r="T82" s="3">
        <f t="shared" si="64"/>
        <v>0</v>
      </c>
      <c r="U82" s="3">
        <f t="shared" si="64"/>
        <v>0</v>
      </c>
      <c r="V82" s="3">
        <f t="shared" si="64"/>
        <v>0</v>
      </c>
      <c r="W82" s="3">
        <f t="shared" si="64"/>
        <v>0</v>
      </c>
      <c r="X82" s="3">
        <f t="shared" si="64"/>
        <v>0</v>
      </c>
      <c r="Y82" s="3">
        <f t="shared" si="64"/>
        <v>0</v>
      </c>
      <c r="Z82" s="95">
        <v>0</v>
      </c>
      <c r="AA82" s="3">
        <f t="shared" si="64"/>
        <v>0</v>
      </c>
      <c r="AB82" s="3">
        <f t="shared" si="64"/>
        <v>0</v>
      </c>
      <c r="AC82" s="3">
        <f t="shared" si="64"/>
        <v>0</v>
      </c>
      <c r="AD82" s="3">
        <f>AD83</f>
        <v>0</v>
      </c>
      <c r="AE82" s="3">
        <f t="shared" ref="AE82:AJ82" si="65">AE83</f>
        <v>0</v>
      </c>
      <c r="AF82" s="3">
        <f t="shared" si="65"/>
        <v>0</v>
      </c>
      <c r="AG82" s="3">
        <f t="shared" si="65"/>
        <v>0</v>
      </c>
      <c r="AH82" s="3">
        <f t="shared" si="65"/>
        <v>0</v>
      </c>
      <c r="AI82" s="3">
        <f t="shared" si="65"/>
        <v>0</v>
      </c>
      <c r="AJ82" s="3">
        <f t="shared" si="65"/>
        <v>0</v>
      </c>
      <c r="AK82" s="3">
        <v>0</v>
      </c>
      <c r="AL82" s="3">
        <f>AK82</f>
        <v>0</v>
      </c>
      <c r="AM82" s="318" t="e">
        <f>ROUND((Q82*100%/P82*100),2)</f>
        <v>#DIV/0!</v>
      </c>
      <c r="AN82" s="3">
        <v>0</v>
      </c>
      <c r="AO82" s="3">
        <v>0</v>
      </c>
      <c r="AP82" s="633" t="s">
        <v>273</v>
      </c>
      <c r="AQ82" s="95">
        <v>0</v>
      </c>
    </row>
    <row r="83" spans="1:43" ht="14.25" hidden="1" customHeight="1" x14ac:dyDescent="0.25">
      <c r="A83" s="1383"/>
      <c r="B83" s="1" t="s">
        <v>201</v>
      </c>
      <c r="C83" s="1163"/>
      <c r="D83" s="1163"/>
      <c r="E83" s="1163"/>
      <c r="F83" s="1163"/>
      <c r="G83" s="1179"/>
      <c r="H83" s="1179"/>
      <c r="I83" s="1639"/>
      <c r="J83" s="47"/>
      <c r="K83" s="47"/>
      <c r="L83" s="47">
        <v>30833.33</v>
      </c>
      <c r="M83" s="47">
        <v>20000</v>
      </c>
      <c r="N83" s="47">
        <v>9151.41</v>
      </c>
      <c r="O83" s="47">
        <v>0</v>
      </c>
      <c r="P83" s="47">
        <v>1681.92</v>
      </c>
      <c r="Q83" s="47">
        <f>SUM(Q84:Q85)</f>
        <v>0</v>
      </c>
      <c r="R83" s="47">
        <f>SUM(R84:R85)</f>
        <v>0</v>
      </c>
      <c r="S83" s="47">
        <f>SUM(S84:S85)</f>
        <v>0</v>
      </c>
      <c r="T83" s="47">
        <f t="shared" ref="T83:AC83" si="66">SUM(T84:T85)</f>
        <v>0</v>
      </c>
      <c r="U83" s="47">
        <f t="shared" si="66"/>
        <v>0</v>
      </c>
      <c r="V83" s="47">
        <f t="shared" si="66"/>
        <v>0</v>
      </c>
      <c r="W83" s="47">
        <f t="shared" si="66"/>
        <v>0</v>
      </c>
      <c r="X83" s="47">
        <f t="shared" si="66"/>
        <v>0</v>
      </c>
      <c r="Y83" s="47">
        <f t="shared" si="66"/>
        <v>0</v>
      </c>
      <c r="Z83" s="96"/>
      <c r="AA83" s="47">
        <f t="shared" si="66"/>
        <v>0</v>
      </c>
      <c r="AB83" s="47">
        <f t="shared" si="66"/>
        <v>0</v>
      </c>
      <c r="AC83" s="47">
        <f t="shared" si="66"/>
        <v>0</v>
      </c>
      <c r="AD83" s="47">
        <f>SUM(AD84:AD85)</f>
        <v>0</v>
      </c>
      <c r="AE83" s="47">
        <f t="shared" ref="AE83:AJ83" si="67">SUM(AE84:AE85)</f>
        <v>0</v>
      </c>
      <c r="AF83" s="47">
        <f t="shared" si="67"/>
        <v>0</v>
      </c>
      <c r="AG83" s="47">
        <f t="shared" si="67"/>
        <v>0</v>
      </c>
      <c r="AH83" s="47">
        <f t="shared" si="67"/>
        <v>0</v>
      </c>
      <c r="AI83" s="47">
        <f t="shared" si="67"/>
        <v>0</v>
      </c>
      <c r="AJ83" s="47">
        <f t="shared" si="67"/>
        <v>0</v>
      </c>
      <c r="AK83" s="47">
        <v>0</v>
      </c>
      <c r="AL83" s="47">
        <v>0</v>
      </c>
      <c r="AM83" s="4">
        <v>0</v>
      </c>
      <c r="AN83" s="47">
        <v>0</v>
      </c>
      <c r="AO83" s="47">
        <v>0</v>
      </c>
      <c r="AP83" s="397"/>
      <c r="AQ83" s="96"/>
    </row>
    <row r="84" spans="1:43" s="266" customFormat="1" ht="15.75" hidden="1" x14ac:dyDescent="0.25">
      <c r="A84" s="1167"/>
      <c r="B84" s="102"/>
      <c r="C84" s="262"/>
      <c r="D84" s="262"/>
      <c r="E84" s="262"/>
      <c r="F84" s="262"/>
      <c r="G84" s="104"/>
      <c r="H84" s="104"/>
      <c r="I84" s="1206"/>
      <c r="J84" s="96"/>
      <c r="K84" s="96"/>
      <c r="L84" s="96"/>
      <c r="M84" s="96"/>
      <c r="N84" s="96"/>
      <c r="O84" s="96"/>
      <c r="P84" s="47">
        <f>Q84</f>
        <v>0</v>
      </c>
      <c r="Q84" s="96">
        <f>S84+U84+W84+Y84</f>
        <v>0</v>
      </c>
      <c r="R84" s="96">
        <f>S84</f>
        <v>0</v>
      </c>
      <c r="S84" s="96">
        <v>0</v>
      </c>
      <c r="T84" s="96">
        <v>0</v>
      </c>
      <c r="U84" s="96">
        <v>0</v>
      </c>
      <c r="V84" s="96">
        <f>W84</f>
        <v>0</v>
      </c>
      <c r="W84" s="96">
        <v>0</v>
      </c>
      <c r="X84" s="96">
        <f>Y84</f>
        <v>0</v>
      </c>
      <c r="Y84" s="96">
        <v>0</v>
      </c>
      <c r="Z84" s="96"/>
      <c r="AA84" s="96">
        <f>AB84+AD84</f>
        <v>0</v>
      </c>
      <c r="AB84" s="96">
        <v>0</v>
      </c>
      <c r="AC84" s="96">
        <v>0</v>
      </c>
      <c r="AD84" s="96">
        <v>0</v>
      </c>
      <c r="AE84" s="96">
        <v>0</v>
      </c>
      <c r="AF84" s="96">
        <f>AG84+AH84+AI84</f>
        <v>0</v>
      </c>
      <c r="AG84" s="96"/>
      <c r="AH84" s="96"/>
      <c r="AI84" s="96">
        <v>0</v>
      </c>
      <c r="AJ84" s="96"/>
      <c r="AK84" s="96"/>
      <c r="AL84" s="96"/>
      <c r="AM84" s="268"/>
      <c r="AN84" s="96"/>
      <c r="AO84" s="96"/>
      <c r="AP84" s="405"/>
      <c r="AQ84" s="96"/>
    </row>
    <row r="85" spans="1:43" ht="14.25" hidden="1" customHeight="1" x14ac:dyDescent="0.25">
      <c r="A85" s="1167"/>
      <c r="B85" s="1"/>
      <c r="C85" s="1163"/>
      <c r="D85" s="1163"/>
      <c r="E85" s="1163"/>
      <c r="F85" s="1163"/>
      <c r="G85" s="1179"/>
      <c r="H85" s="1179"/>
      <c r="I85" s="1206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96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"/>
      <c r="AN85" s="47"/>
      <c r="AO85" s="47"/>
      <c r="AP85" s="397"/>
      <c r="AQ85" s="96"/>
    </row>
    <row r="86" spans="1:43" s="327" customFormat="1" ht="27" customHeight="1" x14ac:dyDescent="0.25">
      <c r="A86" s="787" t="s">
        <v>58</v>
      </c>
      <c r="B86" s="780" t="s">
        <v>87</v>
      </c>
      <c r="C86" s="1326"/>
      <c r="D86" s="1326"/>
      <c r="E86" s="1326"/>
      <c r="F86" s="1326"/>
      <c r="G86" s="1173"/>
      <c r="H86" s="1173"/>
      <c r="I86" s="1326" t="s">
        <v>20</v>
      </c>
      <c r="J86" s="3">
        <f t="shared" ref="J86:J91" si="68">L86</f>
        <v>20425.87</v>
      </c>
      <c r="K86" s="3"/>
      <c r="L86" s="3">
        <f>L87+L91</f>
        <v>20425.87</v>
      </c>
      <c r="M86" s="3">
        <f t="shared" ref="M86:AO86" si="69">M87+M91</f>
        <v>616.66</v>
      </c>
      <c r="N86" s="3">
        <f t="shared" si="69"/>
        <v>6665.55</v>
      </c>
      <c r="O86" s="3">
        <f t="shared" si="69"/>
        <v>4018.39</v>
      </c>
      <c r="P86" s="3">
        <f t="shared" si="69"/>
        <v>4809.3900000000003</v>
      </c>
      <c r="Q86" s="3">
        <f t="shared" si="69"/>
        <v>20</v>
      </c>
      <c r="R86" s="3">
        <f t="shared" si="69"/>
        <v>0</v>
      </c>
      <c r="S86" s="3">
        <f t="shared" si="69"/>
        <v>416.67</v>
      </c>
      <c r="T86" s="3">
        <f t="shared" si="69"/>
        <v>495.38399999999996</v>
      </c>
      <c r="U86" s="3">
        <f t="shared" si="69"/>
        <v>495.38399999999996</v>
      </c>
      <c r="V86" s="3">
        <f t="shared" si="69"/>
        <v>278.41000000000003</v>
      </c>
      <c r="W86" s="3">
        <f t="shared" si="69"/>
        <v>318.26600000000002</v>
      </c>
      <c r="X86" s="3">
        <f t="shared" si="69"/>
        <v>0</v>
      </c>
      <c r="Y86" s="3">
        <f t="shared" si="69"/>
        <v>0</v>
      </c>
      <c r="Z86" s="95">
        <v>0</v>
      </c>
      <c r="AA86" s="3">
        <f>AA87+AA91+AQ86</f>
        <v>20</v>
      </c>
      <c r="AB86" s="3">
        <f t="shared" si="69"/>
        <v>0</v>
      </c>
      <c r="AC86" s="3">
        <f t="shared" si="69"/>
        <v>907.08299999999997</v>
      </c>
      <c r="AD86" s="3">
        <f t="shared" si="69"/>
        <v>308.33300000000003</v>
      </c>
      <c r="AE86" s="3">
        <f t="shared" si="69"/>
        <v>0</v>
      </c>
      <c r="AF86" s="3">
        <f t="shared" si="69"/>
        <v>0</v>
      </c>
      <c r="AG86" s="3">
        <f t="shared" si="69"/>
        <v>0</v>
      </c>
      <c r="AH86" s="3">
        <f t="shared" si="69"/>
        <v>0</v>
      </c>
      <c r="AI86" s="3">
        <f t="shared" si="69"/>
        <v>0</v>
      </c>
      <c r="AJ86" s="3">
        <f t="shared" si="69"/>
        <v>0</v>
      </c>
      <c r="AK86" s="3">
        <f>P86-Q86</f>
        <v>4789.3900000000003</v>
      </c>
      <c r="AL86" s="3">
        <f>AK86</f>
        <v>4789.3900000000003</v>
      </c>
      <c r="AM86" s="318">
        <f>ROUND((Q86*100%/P86*100),2)</f>
        <v>0.42</v>
      </c>
      <c r="AN86" s="3">
        <f t="shared" si="69"/>
        <v>0</v>
      </c>
      <c r="AO86" s="3">
        <f t="shared" si="69"/>
        <v>0</v>
      </c>
      <c r="AP86" s="633" t="s">
        <v>243</v>
      </c>
      <c r="AQ86" s="95">
        <v>0</v>
      </c>
    </row>
    <row r="87" spans="1:43" ht="14.25" customHeight="1" x14ac:dyDescent="0.25">
      <c r="A87" s="44"/>
      <c r="B87" s="1" t="s">
        <v>15</v>
      </c>
      <c r="C87" s="1327"/>
      <c r="D87" s="1327"/>
      <c r="E87" s="1327"/>
      <c r="F87" s="1327"/>
      <c r="G87" s="1179">
        <v>2020</v>
      </c>
      <c r="H87" s="1179">
        <v>2020</v>
      </c>
      <c r="I87" s="1327"/>
      <c r="J87" s="47">
        <f t="shared" si="68"/>
        <v>7560.63</v>
      </c>
      <c r="K87" s="47"/>
      <c r="L87" s="47">
        <v>7560.63</v>
      </c>
      <c r="M87" s="47">
        <v>616.66</v>
      </c>
      <c r="N87" s="47">
        <v>6665.55</v>
      </c>
      <c r="O87" s="47">
        <v>0</v>
      </c>
      <c r="P87" s="47">
        <v>791.01</v>
      </c>
      <c r="Q87" s="47">
        <v>0</v>
      </c>
      <c r="R87" s="47">
        <f>R90+R88+R89</f>
        <v>0</v>
      </c>
      <c r="S87" s="47">
        <f>S90+S88+S89</f>
        <v>416.67</v>
      </c>
      <c r="T87" s="47">
        <f>T90+T88+T89</f>
        <v>495.38399999999996</v>
      </c>
      <c r="U87" s="47">
        <f>SUM(U88:U90)</f>
        <v>495.38399999999996</v>
      </c>
      <c r="V87" s="47">
        <f t="shared" ref="V87:AK87" si="70">V90+V88</f>
        <v>278.41000000000003</v>
      </c>
      <c r="W87" s="47">
        <f>W90+W88+W89</f>
        <v>318.26600000000002</v>
      </c>
      <c r="X87" s="47">
        <f t="shared" si="70"/>
        <v>0</v>
      </c>
      <c r="Y87" s="47">
        <f t="shared" si="70"/>
        <v>0</v>
      </c>
      <c r="Z87" s="96"/>
      <c r="AA87" s="47">
        <v>0</v>
      </c>
      <c r="AB87" s="47">
        <f t="shared" si="70"/>
        <v>0</v>
      </c>
      <c r="AC87" s="47">
        <f t="shared" si="70"/>
        <v>907.08299999999997</v>
      </c>
      <c r="AD87" s="47">
        <f t="shared" si="70"/>
        <v>308.33300000000003</v>
      </c>
      <c r="AE87" s="47">
        <f t="shared" si="70"/>
        <v>0</v>
      </c>
      <c r="AF87" s="47">
        <f t="shared" si="70"/>
        <v>0</v>
      </c>
      <c r="AG87" s="47">
        <f t="shared" si="70"/>
        <v>0</v>
      </c>
      <c r="AH87" s="47">
        <f t="shared" si="70"/>
        <v>0</v>
      </c>
      <c r="AI87" s="47">
        <f t="shared" si="70"/>
        <v>0</v>
      </c>
      <c r="AJ87" s="47">
        <f t="shared" si="70"/>
        <v>0</v>
      </c>
      <c r="AK87" s="47">
        <f t="shared" si="70"/>
        <v>0</v>
      </c>
      <c r="AL87" s="47">
        <v>0</v>
      </c>
      <c r="AM87" s="47">
        <v>0</v>
      </c>
      <c r="AN87" s="47">
        <v>0</v>
      </c>
      <c r="AO87" s="47">
        <v>0</v>
      </c>
      <c r="AP87" s="397"/>
      <c r="AQ87" s="96"/>
    </row>
    <row r="88" spans="1:43" s="266" customFormat="1" ht="19.5" hidden="1" customHeight="1" x14ac:dyDescent="0.25">
      <c r="A88" s="251"/>
      <c r="B88" s="102" t="s">
        <v>297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96"/>
      <c r="Q88" s="96">
        <f>S88+U88+Y88+W88</f>
        <v>1215.42</v>
      </c>
      <c r="R88" s="96"/>
      <c r="S88" s="96">
        <v>416.67</v>
      </c>
      <c r="T88" s="96">
        <f>U88</f>
        <v>490.41699999999997</v>
      </c>
      <c r="U88" s="96">
        <v>490.41699999999997</v>
      </c>
      <c r="V88" s="96">
        <v>278.41000000000003</v>
      </c>
      <c r="W88" s="96">
        <v>308.33300000000003</v>
      </c>
      <c r="X88" s="96"/>
      <c r="Y88" s="96"/>
      <c r="Z88" s="96"/>
      <c r="AA88" s="96">
        <f>AC88+AD88</f>
        <v>1215.4159999999999</v>
      </c>
      <c r="AB88" s="96"/>
      <c r="AC88" s="96">
        <v>907.08299999999997</v>
      </c>
      <c r="AD88" s="96">
        <v>308.33300000000003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405"/>
      <c r="AQ88" s="96"/>
    </row>
    <row r="89" spans="1:43" s="266" customFormat="1" ht="19.5" hidden="1" customHeight="1" x14ac:dyDescent="0.25">
      <c r="A89" s="251"/>
      <c r="B89" s="102" t="s">
        <v>315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U89+W89</f>
        <v>14.899999999999999</v>
      </c>
      <c r="R89" s="96"/>
      <c r="S89" s="96">
        <v>0</v>
      </c>
      <c r="T89" s="96">
        <f>U89</f>
        <v>4.9669999999999996</v>
      </c>
      <c r="U89" s="96">
        <v>4.9669999999999996</v>
      </c>
      <c r="V89" s="96"/>
      <c r="W89" s="96">
        <v>9.9329999999999998</v>
      </c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6.5" hidden="1" customHeight="1" x14ac:dyDescent="0.25">
      <c r="A90" s="251"/>
      <c r="B90" s="102" t="s">
        <v>255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47">
        <v>0</v>
      </c>
      <c r="Q90" s="96">
        <f>S90+U90+Y90</f>
        <v>0</v>
      </c>
      <c r="R90" s="96">
        <f>S90</f>
        <v>0</v>
      </c>
      <c r="S90" s="96"/>
      <c r="T90" s="96"/>
      <c r="U90" s="96"/>
      <c r="V90" s="96"/>
      <c r="W90" s="96"/>
      <c r="X90" s="96"/>
      <c r="Y90" s="96">
        <v>0</v>
      </c>
      <c r="Z90" s="96"/>
      <c r="AA90" s="96">
        <f>AB90</f>
        <v>0</v>
      </c>
      <c r="AB90" s="96"/>
      <c r="AC90" s="96">
        <v>0</v>
      </c>
      <c r="AD90" s="96"/>
      <c r="AE90" s="96"/>
      <c r="AF90" s="96">
        <f>SUM(AG90:AG90)</f>
        <v>0</v>
      </c>
      <c r="AG90" s="96"/>
      <c r="AH90" s="96"/>
      <c r="AI90" s="96"/>
      <c r="AJ90" s="96"/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405"/>
      <c r="AQ90" s="96"/>
    </row>
    <row r="91" spans="1:43" ht="15.75" customHeight="1" x14ac:dyDescent="0.25">
      <c r="A91" s="44"/>
      <c r="B91" s="1" t="s">
        <v>16</v>
      </c>
      <c r="C91" s="1328"/>
      <c r="D91" s="1328"/>
      <c r="E91" s="1328"/>
      <c r="F91" s="1328"/>
      <c r="G91" s="1179">
        <v>2020</v>
      </c>
      <c r="H91" s="1179">
        <v>2020</v>
      </c>
      <c r="I91" s="1328"/>
      <c r="J91" s="47">
        <f t="shared" si="68"/>
        <v>12865.24</v>
      </c>
      <c r="K91" s="47"/>
      <c r="L91" s="47">
        <v>12865.24</v>
      </c>
      <c r="M91" s="47">
        <v>0</v>
      </c>
      <c r="N91" s="47">
        <v>0</v>
      </c>
      <c r="O91" s="47">
        <v>4018.39</v>
      </c>
      <c r="P91" s="47">
        <v>4018.38</v>
      </c>
      <c r="Q91" s="47">
        <f>Q92</f>
        <v>20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96"/>
      <c r="AA91" s="47">
        <f>AA92</f>
        <v>20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397"/>
      <c r="AQ91" s="96"/>
    </row>
    <row r="92" spans="1:43" s="266" customFormat="1" ht="14.25" customHeight="1" x14ac:dyDescent="0.25">
      <c r="A92" s="251"/>
      <c r="B92" s="102" t="s">
        <v>478</v>
      </c>
      <c r="C92" s="104"/>
      <c r="D92" s="104"/>
      <c r="E92" s="104"/>
      <c r="F92" s="104"/>
      <c r="G92" s="104"/>
      <c r="H92" s="104"/>
      <c r="I92" s="368"/>
      <c r="J92" s="258"/>
      <c r="K92" s="96"/>
      <c r="L92" s="96"/>
      <c r="M92" s="96"/>
      <c r="N92" s="96"/>
      <c r="O92" s="96"/>
      <c r="P92" s="96"/>
      <c r="Q92" s="96">
        <v>20</v>
      </c>
      <c r="R92" s="96"/>
      <c r="S92" s="96"/>
      <c r="T92" s="96"/>
      <c r="U92" s="96"/>
      <c r="V92" s="96"/>
      <c r="W92" s="96"/>
      <c r="X92" s="96"/>
      <c r="Y92" s="96"/>
      <c r="Z92" s="96"/>
      <c r="AA92" s="96">
        <v>20</v>
      </c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268"/>
      <c r="AN92" s="96"/>
      <c r="AO92" s="96"/>
      <c r="AP92" s="405"/>
      <c r="AQ92" s="96"/>
    </row>
    <row r="93" spans="1:43" s="327" customFormat="1" ht="40.5" customHeight="1" x14ac:dyDescent="0.25">
      <c r="A93" s="1372" t="s">
        <v>278</v>
      </c>
      <c r="B93" s="772" t="s">
        <v>202</v>
      </c>
      <c r="C93" s="312"/>
      <c r="D93" s="312"/>
      <c r="E93" s="312"/>
      <c r="F93" s="312"/>
      <c r="G93" s="312"/>
      <c r="H93" s="1174"/>
      <c r="I93" s="1326" t="s">
        <v>20</v>
      </c>
      <c r="J93" s="1181"/>
      <c r="K93" s="3"/>
      <c r="L93" s="3">
        <f>L94</f>
        <v>4214.49</v>
      </c>
      <c r="M93" s="3">
        <f t="shared" ref="M93:AO94" si="71">M94</f>
        <v>0</v>
      </c>
      <c r="N93" s="3">
        <f t="shared" si="71"/>
        <v>3995.07</v>
      </c>
      <c r="O93" s="3">
        <f t="shared" si="71"/>
        <v>0</v>
      </c>
      <c r="P93" s="3">
        <v>0</v>
      </c>
      <c r="Q93" s="3">
        <v>0</v>
      </c>
      <c r="R93" s="3">
        <f t="shared" si="71"/>
        <v>0</v>
      </c>
      <c r="S93" s="3">
        <f t="shared" si="71"/>
        <v>0</v>
      </c>
      <c r="T93" s="3">
        <f t="shared" si="71"/>
        <v>219.42</v>
      </c>
      <c r="U93" s="3">
        <f t="shared" si="71"/>
        <v>537.85</v>
      </c>
      <c r="V93" s="3">
        <f t="shared" si="71"/>
        <v>0</v>
      </c>
      <c r="W93" s="3">
        <f t="shared" si="71"/>
        <v>0</v>
      </c>
      <c r="X93" s="3">
        <f t="shared" si="71"/>
        <v>0</v>
      </c>
      <c r="Y93" s="3">
        <f t="shared" si="71"/>
        <v>0</v>
      </c>
      <c r="Z93" s="95">
        <v>0</v>
      </c>
      <c r="AA93" s="3">
        <v>0</v>
      </c>
      <c r="AB93" s="3">
        <f t="shared" si="71"/>
        <v>0</v>
      </c>
      <c r="AC93" s="3">
        <f t="shared" si="71"/>
        <v>0</v>
      </c>
      <c r="AD93" s="3">
        <f t="shared" si="71"/>
        <v>537.85400000000004</v>
      </c>
      <c r="AE93" s="3">
        <f t="shared" si="71"/>
        <v>0</v>
      </c>
      <c r="AF93" s="3">
        <f t="shared" si="71"/>
        <v>0</v>
      </c>
      <c r="AG93" s="3">
        <f t="shared" si="71"/>
        <v>0</v>
      </c>
      <c r="AH93" s="3">
        <f t="shared" si="71"/>
        <v>0</v>
      </c>
      <c r="AI93" s="3">
        <f t="shared" si="71"/>
        <v>0</v>
      </c>
      <c r="AJ93" s="3">
        <f t="shared" si="71"/>
        <v>0</v>
      </c>
      <c r="AK93" s="3">
        <f t="shared" si="71"/>
        <v>0</v>
      </c>
      <c r="AL93" s="3">
        <f t="shared" si="71"/>
        <v>0</v>
      </c>
      <c r="AM93" s="3">
        <f t="shared" si="71"/>
        <v>0</v>
      </c>
      <c r="AN93" s="3">
        <f t="shared" si="71"/>
        <v>0</v>
      </c>
      <c r="AO93" s="3">
        <f t="shared" si="71"/>
        <v>0</v>
      </c>
      <c r="AP93" s="633" t="s">
        <v>244</v>
      </c>
      <c r="AQ93" s="95">
        <v>0</v>
      </c>
    </row>
    <row r="94" spans="1:43" ht="17.25" hidden="1" customHeight="1" x14ac:dyDescent="0.25">
      <c r="A94" s="1638"/>
      <c r="B94" s="42" t="s">
        <v>203</v>
      </c>
      <c r="C94" s="313"/>
      <c r="D94" s="313"/>
      <c r="E94" s="313"/>
      <c r="F94" s="313"/>
      <c r="G94" s="313"/>
      <c r="H94" s="1196"/>
      <c r="I94" s="1639"/>
      <c r="J94" s="1190"/>
      <c r="K94" s="47"/>
      <c r="L94" s="47">
        <v>4214.49</v>
      </c>
      <c r="M94" s="47">
        <v>0</v>
      </c>
      <c r="N94" s="47">
        <v>3995.07</v>
      </c>
      <c r="O94" s="47">
        <v>0</v>
      </c>
      <c r="P94" s="47">
        <v>219.42</v>
      </c>
      <c r="Q94" s="47">
        <f>Q95</f>
        <v>537.85</v>
      </c>
      <c r="R94" s="47">
        <f t="shared" si="71"/>
        <v>0</v>
      </c>
      <c r="S94" s="47">
        <f t="shared" si="71"/>
        <v>0</v>
      </c>
      <c r="T94" s="47">
        <f t="shared" si="71"/>
        <v>219.42</v>
      </c>
      <c r="U94" s="47">
        <f t="shared" si="71"/>
        <v>537.85</v>
      </c>
      <c r="V94" s="47">
        <f t="shared" si="71"/>
        <v>0</v>
      </c>
      <c r="W94" s="47">
        <f t="shared" si="71"/>
        <v>0</v>
      </c>
      <c r="X94" s="47">
        <f t="shared" si="71"/>
        <v>0</v>
      </c>
      <c r="Y94" s="47">
        <f t="shared" si="71"/>
        <v>0</v>
      </c>
      <c r="Z94" s="96"/>
      <c r="AA94" s="47">
        <f t="shared" si="71"/>
        <v>537.85400000000004</v>
      </c>
      <c r="AB94" s="47">
        <f t="shared" si="71"/>
        <v>0</v>
      </c>
      <c r="AC94" s="47">
        <f t="shared" si="71"/>
        <v>0</v>
      </c>
      <c r="AD94" s="47">
        <f t="shared" si="71"/>
        <v>537.85400000000004</v>
      </c>
      <c r="AE94" s="47">
        <f t="shared" si="71"/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397"/>
      <c r="AQ94" s="96"/>
    </row>
    <row r="95" spans="1:43" s="266" customFormat="1" ht="28.5" hidden="1" customHeight="1" x14ac:dyDescent="0.25">
      <c r="A95" s="1639"/>
      <c r="B95" s="252" t="s">
        <v>267</v>
      </c>
      <c r="C95" s="363"/>
      <c r="D95" s="363"/>
      <c r="E95" s="363"/>
      <c r="F95" s="363"/>
      <c r="G95" s="363"/>
      <c r="H95" s="364"/>
      <c r="I95" s="539"/>
      <c r="J95" s="258"/>
      <c r="K95" s="96"/>
      <c r="L95" s="96"/>
      <c r="M95" s="96"/>
      <c r="N95" s="96"/>
      <c r="O95" s="96"/>
      <c r="P95" s="96"/>
      <c r="Q95" s="96">
        <f>S95+U95</f>
        <v>537.85</v>
      </c>
      <c r="R95" s="96"/>
      <c r="S95" s="96"/>
      <c r="T95" s="96">
        <v>219.42</v>
      </c>
      <c r="U95" s="96">
        <f>ROUND((645.425/1.2),2)</f>
        <v>537.85</v>
      </c>
      <c r="V95" s="96"/>
      <c r="W95" s="96"/>
      <c r="X95" s="96"/>
      <c r="Y95" s="96"/>
      <c r="Z95" s="96"/>
      <c r="AA95" s="96">
        <f>AD95</f>
        <v>537.85400000000004</v>
      </c>
      <c r="AB95" s="96"/>
      <c r="AC95" s="96"/>
      <c r="AD95" s="96">
        <v>537.85400000000004</v>
      </c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405"/>
      <c r="AQ95" s="96"/>
    </row>
    <row r="96" spans="1:43" s="327" customFormat="1" ht="42.75" customHeight="1" x14ac:dyDescent="0.25">
      <c r="A96" s="1372" t="s">
        <v>279</v>
      </c>
      <c r="B96" s="772" t="s">
        <v>204</v>
      </c>
      <c r="C96" s="312"/>
      <c r="D96" s="312"/>
      <c r="E96" s="312"/>
      <c r="F96" s="312"/>
      <c r="G96" s="312"/>
      <c r="H96" s="1174"/>
      <c r="I96" s="1326" t="s">
        <v>20</v>
      </c>
      <c r="J96" s="1181"/>
      <c r="K96" s="3"/>
      <c r="L96" s="3">
        <f>L97</f>
        <v>3214.56</v>
      </c>
      <c r="M96" s="3">
        <f t="shared" ref="M96:AO97" si="72">M97</f>
        <v>0</v>
      </c>
      <c r="N96" s="3">
        <f t="shared" si="72"/>
        <v>2956.68</v>
      </c>
      <c r="O96" s="3">
        <f t="shared" si="72"/>
        <v>0</v>
      </c>
      <c r="P96" s="3">
        <v>0</v>
      </c>
      <c r="Q96" s="3">
        <v>0</v>
      </c>
      <c r="R96" s="3">
        <f t="shared" si="72"/>
        <v>0</v>
      </c>
      <c r="S96" s="3">
        <f t="shared" si="72"/>
        <v>0</v>
      </c>
      <c r="T96" s="3">
        <f t="shared" si="72"/>
        <v>0</v>
      </c>
      <c r="U96" s="3">
        <f t="shared" si="72"/>
        <v>409.15</v>
      </c>
      <c r="V96" s="3">
        <f t="shared" si="72"/>
        <v>0</v>
      </c>
      <c r="W96" s="3">
        <f t="shared" si="72"/>
        <v>0</v>
      </c>
      <c r="X96" s="3">
        <f t="shared" si="72"/>
        <v>0</v>
      </c>
      <c r="Y96" s="3">
        <f t="shared" si="72"/>
        <v>0</v>
      </c>
      <c r="Z96" s="95">
        <v>0</v>
      </c>
      <c r="AA96" s="3">
        <v>0</v>
      </c>
      <c r="AB96" s="3">
        <f t="shared" si="72"/>
        <v>0</v>
      </c>
      <c r="AC96" s="3">
        <f t="shared" si="72"/>
        <v>0</v>
      </c>
      <c r="AD96" s="3">
        <f t="shared" si="72"/>
        <v>409.14699999999999</v>
      </c>
      <c r="AE96" s="3">
        <f t="shared" si="72"/>
        <v>0</v>
      </c>
      <c r="AF96" s="3">
        <f>AF97</f>
        <v>0</v>
      </c>
      <c r="AG96" s="3">
        <f t="shared" si="72"/>
        <v>0</v>
      </c>
      <c r="AH96" s="3">
        <f t="shared" si="72"/>
        <v>0</v>
      </c>
      <c r="AI96" s="3">
        <f t="shared" si="72"/>
        <v>0</v>
      </c>
      <c r="AJ96" s="3">
        <f t="shared" si="72"/>
        <v>0</v>
      </c>
      <c r="AK96" s="3">
        <f t="shared" si="72"/>
        <v>0</v>
      </c>
      <c r="AL96" s="3">
        <f t="shared" si="72"/>
        <v>0</v>
      </c>
      <c r="AM96" s="3">
        <f t="shared" si="72"/>
        <v>0</v>
      </c>
      <c r="AN96" s="3">
        <f t="shared" si="72"/>
        <v>0</v>
      </c>
      <c r="AO96" s="3">
        <f t="shared" si="72"/>
        <v>0</v>
      </c>
      <c r="AP96" s="633" t="s">
        <v>244</v>
      </c>
      <c r="AQ96" s="95">
        <v>0</v>
      </c>
    </row>
    <row r="97" spans="1:43" ht="17.25" hidden="1" customHeight="1" x14ac:dyDescent="0.25">
      <c r="A97" s="1382"/>
      <c r="B97" s="42" t="s">
        <v>203</v>
      </c>
      <c r="C97" s="313"/>
      <c r="D97" s="313"/>
      <c r="E97" s="313"/>
      <c r="F97" s="313"/>
      <c r="G97" s="313"/>
      <c r="H97" s="1196"/>
      <c r="I97" s="1639"/>
      <c r="J97" s="1190"/>
      <c r="K97" s="47"/>
      <c r="L97" s="47">
        <v>3214.56</v>
      </c>
      <c r="M97" s="47">
        <v>0</v>
      </c>
      <c r="N97" s="47">
        <v>2956.68</v>
      </c>
      <c r="O97" s="47">
        <v>0</v>
      </c>
      <c r="P97" s="47">
        <v>257.88</v>
      </c>
      <c r="Q97" s="47">
        <f>Q98</f>
        <v>409.15</v>
      </c>
      <c r="R97" s="47">
        <f t="shared" si="72"/>
        <v>0</v>
      </c>
      <c r="S97" s="47">
        <f t="shared" si="72"/>
        <v>0</v>
      </c>
      <c r="T97" s="47">
        <f t="shared" si="72"/>
        <v>0</v>
      </c>
      <c r="U97" s="47">
        <f t="shared" si="72"/>
        <v>409.15</v>
      </c>
      <c r="V97" s="47">
        <f t="shared" si="72"/>
        <v>0</v>
      </c>
      <c r="W97" s="47">
        <f t="shared" si="72"/>
        <v>0</v>
      </c>
      <c r="X97" s="47">
        <f t="shared" si="72"/>
        <v>0</v>
      </c>
      <c r="Y97" s="47">
        <f t="shared" si="72"/>
        <v>0</v>
      </c>
      <c r="Z97" s="96"/>
      <c r="AA97" s="47">
        <f t="shared" si="72"/>
        <v>409.14699999999999</v>
      </c>
      <c r="AB97" s="47">
        <f t="shared" si="72"/>
        <v>0</v>
      </c>
      <c r="AC97" s="47">
        <f t="shared" si="72"/>
        <v>0</v>
      </c>
      <c r="AD97" s="47">
        <f t="shared" si="72"/>
        <v>409.14699999999999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397"/>
      <c r="AQ97" s="96"/>
    </row>
    <row r="98" spans="1:43" s="266" customFormat="1" ht="27.75" hidden="1" customHeight="1" x14ac:dyDescent="0.25">
      <c r="A98" s="1639"/>
      <c r="B98" s="252" t="s">
        <v>267</v>
      </c>
      <c r="C98" s="363"/>
      <c r="D98" s="363"/>
      <c r="E98" s="363"/>
      <c r="F98" s="363"/>
      <c r="G98" s="363"/>
      <c r="H98" s="364"/>
      <c r="I98" s="539"/>
      <c r="J98" s="258"/>
      <c r="K98" s="96"/>
      <c r="L98" s="96"/>
      <c r="M98" s="96"/>
      <c r="N98" s="96"/>
      <c r="O98" s="96"/>
      <c r="P98" s="96"/>
      <c r="Q98" s="96">
        <f>S98+U98</f>
        <v>409.15</v>
      </c>
      <c r="R98" s="96"/>
      <c r="S98" s="96"/>
      <c r="T98" s="96"/>
      <c r="U98" s="96">
        <f>ROUND((490.979/1.2),2)</f>
        <v>409.15</v>
      </c>
      <c r="V98" s="96"/>
      <c r="W98" s="96"/>
      <c r="X98" s="96"/>
      <c r="Y98" s="96"/>
      <c r="Z98" s="96"/>
      <c r="AA98" s="96">
        <f>AD98</f>
        <v>409.14699999999999</v>
      </c>
      <c r="AB98" s="96"/>
      <c r="AC98" s="96"/>
      <c r="AD98" s="96">
        <v>409.14699999999999</v>
      </c>
      <c r="AE98" s="96"/>
      <c r="AF98" s="96"/>
      <c r="AG98" s="96"/>
      <c r="AH98" s="96"/>
      <c r="AI98" s="96"/>
      <c r="AJ98" s="96"/>
      <c r="AK98" s="96"/>
      <c r="AL98" s="96"/>
      <c r="AM98" s="268"/>
      <c r="AN98" s="96"/>
      <c r="AO98" s="96"/>
      <c r="AP98" s="405"/>
      <c r="AQ98" s="96"/>
    </row>
    <row r="99" spans="1:43" s="327" customFormat="1" ht="41.25" customHeight="1" x14ac:dyDescent="0.25">
      <c r="A99" s="1372" t="s">
        <v>159</v>
      </c>
      <c r="B99" s="772" t="s">
        <v>326</v>
      </c>
      <c r="C99" s="312"/>
      <c r="D99" s="312"/>
      <c r="E99" s="312"/>
      <c r="F99" s="312"/>
      <c r="G99" s="312"/>
      <c r="H99" s="1174"/>
      <c r="I99" s="1326" t="s">
        <v>20</v>
      </c>
      <c r="J99" s="1181"/>
      <c r="K99" s="3"/>
      <c r="L99" s="3">
        <f>L100</f>
        <v>372.9</v>
      </c>
      <c r="M99" s="3">
        <f>M100</f>
        <v>0</v>
      </c>
      <c r="N99" s="3">
        <f t="shared" ref="N99:AO100" si="73">N100</f>
        <v>372.9</v>
      </c>
      <c r="O99" s="3">
        <f t="shared" si="73"/>
        <v>0</v>
      </c>
      <c r="P99" s="3">
        <f t="shared" si="73"/>
        <v>0</v>
      </c>
      <c r="Q99" s="3">
        <f t="shared" si="73"/>
        <v>0</v>
      </c>
      <c r="R99" s="3">
        <f t="shared" si="73"/>
        <v>0</v>
      </c>
      <c r="S99" s="3">
        <f t="shared" si="73"/>
        <v>0</v>
      </c>
      <c r="T99" s="3">
        <f t="shared" si="73"/>
        <v>0</v>
      </c>
      <c r="U99" s="3">
        <f t="shared" si="73"/>
        <v>0</v>
      </c>
      <c r="V99" s="3">
        <f t="shared" si="73"/>
        <v>0</v>
      </c>
      <c r="W99" s="3">
        <f t="shared" si="73"/>
        <v>0</v>
      </c>
      <c r="X99" s="3">
        <f t="shared" si="73"/>
        <v>0</v>
      </c>
      <c r="Y99" s="3">
        <f t="shared" si="73"/>
        <v>0</v>
      </c>
      <c r="Z99" s="95">
        <v>0</v>
      </c>
      <c r="AA99" s="3">
        <f t="shared" si="73"/>
        <v>0</v>
      </c>
      <c r="AB99" s="3">
        <f t="shared" si="73"/>
        <v>0</v>
      </c>
      <c r="AC99" s="3">
        <f t="shared" si="73"/>
        <v>0</v>
      </c>
      <c r="AD99" s="3">
        <f t="shared" si="73"/>
        <v>0</v>
      </c>
      <c r="AE99" s="3">
        <f t="shared" si="73"/>
        <v>0</v>
      </c>
      <c r="AF99" s="3">
        <f t="shared" si="73"/>
        <v>0</v>
      </c>
      <c r="AG99" s="3">
        <f t="shared" si="73"/>
        <v>0</v>
      </c>
      <c r="AH99" s="3">
        <f t="shared" si="73"/>
        <v>0</v>
      </c>
      <c r="AI99" s="3">
        <f t="shared" si="73"/>
        <v>0</v>
      </c>
      <c r="AJ99" s="3">
        <f t="shared" si="73"/>
        <v>0</v>
      </c>
      <c r="AK99" s="3">
        <f>P99-Q99</f>
        <v>0</v>
      </c>
      <c r="AL99" s="3">
        <f t="shared" si="73"/>
        <v>0</v>
      </c>
      <c r="AM99" s="318">
        <v>0</v>
      </c>
      <c r="AN99" s="3">
        <f t="shared" si="73"/>
        <v>0</v>
      </c>
      <c r="AO99" s="3">
        <f t="shared" si="73"/>
        <v>0</v>
      </c>
      <c r="AP99" s="633" t="s">
        <v>274</v>
      </c>
      <c r="AQ99" s="95">
        <v>0</v>
      </c>
    </row>
    <row r="100" spans="1:43" ht="17.25" hidden="1" customHeight="1" x14ac:dyDescent="0.25">
      <c r="A100" s="1383"/>
      <c r="B100" s="42" t="s">
        <v>203</v>
      </c>
      <c r="C100" s="313"/>
      <c r="D100" s="313"/>
      <c r="E100" s="313"/>
      <c r="F100" s="313"/>
      <c r="G100" s="313"/>
      <c r="H100" s="1196"/>
      <c r="I100" s="1639"/>
      <c r="J100" s="1190"/>
      <c r="K100" s="47"/>
      <c r="L100" s="47">
        <v>372.9</v>
      </c>
      <c r="M100" s="47">
        <v>0</v>
      </c>
      <c r="N100" s="47">
        <v>372.9</v>
      </c>
      <c r="O100" s="47">
        <v>0</v>
      </c>
      <c r="P100" s="47">
        <v>0</v>
      </c>
      <c r="Q100" s="47">
        <f>Q101</f>
        <v>0</v>
      </c>
      <c r="R100" s="47">
        <f t="shared" si="73"/>
        <v>0</v>
      </c>
      <c r="S100" s="47">
        <f t="shared" si="73"/>
        <v>0</v>
      </c>
      <c r="T100" s="47">
        <f t="shared" si="73"/>
        <v>0</v>
      </c>
      <c r="U100" s="47">
        <f t="shared" si="73"/>
        <v>0</v>
      </c>
      <c r="V100" s="47">
        <f t="shared" si="73"/>
        <v>0</v>
      </c>
      <c r="W100" s="47">
        <f t="shared" si="73"/>
        <v>0</v>
      </c>
      <c r="X100" s="47">
        <f t="shared" si="73"/>
        <v>0</v>
      </c>
      <c r="Y100" s="47">
        <f t="shared" si="73"/>
        <v>0</v>
      </c>
      <c r="Z100" s="96"/>
      <c r="AA100" s="47">
        <f t="shared" si="73"/>
        <v>0</v>
      </c>
      <c r="AB100" s="47">
        <f t="shared" si="73"/>
        <v>0</v>
      </c>
      <c r="AC100" s="47">
        <f t="shared" si="73"/>
        <v>0</v>
      </c>
      <c r="AD100" s="47">
        <f t="shared" si="73"/>
        <v>0</v>
      </c>
      <c r="AE100" s="47">
        <f t="shared" si="73"/>
        <v>0</v>
      </c>
      <c r="AF100" s="47">
        <f>AF101</f>
        <v>0</v>
      </c>
      <c r="AG100" s="47">
        <f t="shared" si="73"/>
        <v>0</v>
      </c>
      <c r="AH100" s="47">
        <f t="shared" si="73"/>
        <v>0</v>
      </c>
      <c r="AI100" s="47">
        <f t="shared" si="73"/>
        <v>0</v>
      </c>
      <c r="AJ100" s="47">
        <f t="shared" si="73"/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397"/>
      <c r="AQ100" s="96"/>
    </row>
    <row r="101" spans="1:43" s="266" customFormat="1" ht="17.25" hidden="1" customHeight="1" x14ac:dyDescent="0.25">
      <c r="A101" s="362"/>
      <c r="B101" s="252" t="s">
        <v>224</v>
      </c>
      <c r="C101" s="363"/>
      <c r="D101" s="363"/>
      <c r="E101" s="363"/>
      <c r="F101" s="363"/>
      <c r="G101" s="363"/>
      <c r="H101" s="364"/>
      <c r="I101" s="539"/>
      <c r="J101" s="258"/>
      <c r="K101" s="96"/>
      <c r="L101" s="96"/>
      <c r="M101" s="96"/>
      <c r="N101" s="96"/>
      <c r="O101" s="96"/>
      <c r="P101" s="47"/>
      <c r="Q101" s="96">
        <f>Y101</f>
        <v>0</v>
      </c>
      <c r="R101" s="96"/>
      <c r="S101" s="96"/>
      <c r="T101" s="96"/>
      <c r="U101" s="96"/>
      <c r="V101" s="96"/>
      <c r="W101" s="96"/>
      <c r="X101" s="96">
        <v>0</v>
      </c>
      <c r="Y101" s="96">
        <v>0</v>
      </c>
      <c r="Z101" s="96"/>
      <c r="AA101" s="96">
        <v>0</v>
      </c>
      <c r="AB101" s="96">
        <v>0</v>
      </c>
      <c r="AC101" s="96"/>
      <c r="AD101" s="96"/>
      <c r="AE101" s="96"/>
      <c r="AF101" s="96">
        <f>SUM(AG101:AG101)</f>
        <v>0</v>
      </c>
      <c r="AG101" s="96"/>
      <c r="AH101" s="96"/>
      <c r="AI101" s="96"/>
      <c r="AJ101" s="96"/>
      <c r="AK101" s="96"/>
      <c r="AL101" s="96"/>
      <c r="AM101" s="96"/>
      <c r="AN101" s="96"/>
      <c r="AO101" s="96"/>
      <c r="AP101" s="405"/>
      <c r="AQ101" s="96"/>
    </row>
    <row r="102" spans="1:43" s="327" customFormat="1" ht="41.25" customHeight="1" x14ac:dyDescent="0.25">
      <c r="A102" s="1372" t="s">
        <v>160</v>
      </c>
      <c r="B102" s="772" t="s">
        <v>163</v>
      </c>
      <c r="C102" s="312"/>
      <c r="D102" s="312"/>
      <c r="E102" s="312"/>
      <c r="F102" s="312"/>
      <c r="G102" s="312"/>
      <c r="H102" s="1174"/>
      <c r="I102" s="1326" t="s">
        <v>20</v>
      </c>
      <c r="J102" s="1181"/>
      <c r="K102" s="3"/>
      <c r="L102" s="3">
        <f>L103+L107</f>
        <v>5513.9</v>
      </c>
      <c r="M102" s="3">
        <f t="shared" ref="M102:AO102" si="74">M103+M107</f>
        <v>297.18</v>
      </c>
      <c r="N102" s="3">
        <f t="shared" si="74"/>
        <v>1639.84</v>
      </c>
      <c r="O102" s="3">
        <f t="shared" si="74"/>
        <v>0</v>
      </c>
      <c r="P102" s="3">
        <f t="shared" si="74"/>
        <v>0</v>
      </c>
      <c r="Q102" s="3">
        <f t="shared" si="74"/>
        <v>0</v>
      </c>
      <c r="R102" s="3">
        <f t="shared" si="74"/>
        <v>0</v>
      </c>
      <c r="S102" s="3">
        <f t="shared" si="74"/>
        <v>0</v>
      </c>
      <c r="T102" s="3">
        <f t="shared" si="74"/>
        <v>0</v>
      </c>
      <c r="U102" s="3">
        <f t="shared" si="74"/>
        <v>0</v>
      </c>
      <c r="V102" s="3">
        <f t="shared" si="74"/>
        <v>0</v>
      </c>
      <c r="W102" s="3">
        <f t="shared" si="74"/>
        <v>0</v>
      </c>
      <c r="X102" s="3">
        <f t="shared" si="74"/>
        <v>0</v>
      </c>
      <c r="Y102" s="3">
        <f t="shared" si="74"/>
        <v>0</v>
      </c>
      <c r="Z102" s="95">
        <v>0</v>
      </c>
      <c r="AA102" s="3">
        <f t="shared" si="74"/>
        <v>0</v>
      </c>
      <c r="AB102" s="3">
        <f t="shared" si="74"/>
        <v>0</v>
      </c>
      <c r="AC102" s="3">
        <f t="shared" si="74"/>
        <v>0</v>
      </c>
      <c r="AD102" s="3">
        <f t="shared" si="74"/>
        <v>0</v>
      </c>
      <c r="AE102" s="3">
        <f t="shared" si="74"/>
        <v>0</v>
      </c>
      <c r="AF102" s="3">
        <f t="shared" si="74"/>
        <v>0</v>
      </c>
      <c r="AG102" s="3">
        <f t="shared" si="74"/>
        <v>0</v>
      </c>
      <c r="AH102" s="3">
        <f>AH103+AH107</f>
        <v>0</v>
      </c>
      <c r="AI102" s="3">
        <f>AI103+AI107</f>
        <v>0</v>
      </c>
      <c r="AJ102" s="3">
        <f>AJ103+AJ107</f>
        <v>0</v>
      </c>
      <c r="AK102" s="3">
        <f>P102-Q102</f>
        <v>0</v>
      </c>
      <c r="AL102" s="3">
        <f t="shared" si="74"/>
        <v>0</v>
      </c>
      <c r="AM102" s="318">
        <v>0</v>
      </c>
      <c r="AN102" s="3">
        <f t="shared" si="74"/>
        <v>0</v>
      </c>
      <c r="AO102" s="3">
        <f t="shared" si="74"/>
        <v>0</v>
      </c>
      <c r="AP102" s="633" t="s">
        <v>256</v>
      </c>
      <c r="AQ102" s="95">
        <v>0</v>
      </c>
    </row>
    <row r="103" spans="1:43" ht="17.25" hidden="1" customHeight="1" x14ac:dyDescent="0.25">
      <c r="A103" s="1382"/>
      <c r="B103" s="42" t="s">
        <v>15</v>
      </c>
      <c r="C103" s="313"/>
      <c r="D103" s="313"/>
      <c r="E103" s="313"/>
      <c r="F103" s="313"/>
      <c r="G103" s="313"/>
      <c r="H103" s="1196"/>
      <c r="I103" s="1638"/>
      <c r="J103" s="1190"/>
      <c r="K103" s="47"/>
      <c r="L103" s="47">
        <v>594.36</v>
      </c>
      <c r="M103" s="47">
        <v>297.18</v>
      </c>
      <c r="N103" s="47">
        <v>0</v>
      </c>
      <c r="O103" s="47">
        <v>0</v>
      </c>
      <c r="P103" s="47">
        <f>N103</f>
        <v>0</v>
      </c>
      <c r="Q103" s="47">
        <f>SUM(Q104:Q106)</f>
        <v>0</v>
      </c>
      <c r="R103" s="47">
        <f t="shared" ref="R103:AJ103" si="75">SUM(R104:R106)</f>
        <v>0</v>
      </c>
      <c r="S103" s="47">
        <f>SUM(S104:S106)</f>
        <v>0</v>
      </c>
      <c r="T103" s="47">
        <f t="shared" si="75"/>
        <v>0</v>
      </c>
      <c r="U103" s="47">
        <f t="shared" si="75"/>
        <v>0</v>
      </c>
      <c r="V103" s="47">
        <f t="shared" si="75"/>
        <v>0</v>
      </c>
      <c r="W103" s="47">
        <f t="shared" si="75"/>
        <v>0</v>
      </c>
      <c r="X103" s="47">
        <v>0</v>
      </c>
      <c r="Y103" s="47">
        <f t="shared" si="75"/>
        <v>0</v>
      </c>
      <c r="Z103" s="96"/>
      <c r="AA103" s="47">
        <f t="shared" si="75"/>
        <v>0</v>
      </c>
      <c r="AB103" s="47">
        <f t="shared" si="75"/>
        <v>0</v>
      </c>
      <c r="AC103" s="47">
        <f t="shared" si="75"/>
        <v>0</v>
      </c>
      <c r="AD103" s="47">
        <f t="shared" si="75"/>
        <v>0</v>
      </c>
      <c r="AE103" s="47">
        <f t="shared" si="75"/>
        <v>0</v>
      </c>
      <c r="AF103" s="47">
        <f>SUM(AF104:AF106)</f>
        <v>0</v>
      </c>
      <c r="AG103" s="47">
        <f t="shared" si="75"/>
        <v>0</v>
      </c>
      <c r="AH103" s="47">
        <f t="shared" si="75"/>
        <v>0</v>
      </c>
      <c r="AI103" s="47">
        <f t="shared" si="75"/>
        <v>0</v>
      </c>
      <c r="AJ103" s="47">
        <f t="shared" si="75"/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397">
        <v>159.434</v>
      </c>
      <c r="AQ103" s="96"/>
    </row>
    <row r="104" spans="1:43" s="266" customFormat="1" ht="17.25" hidden="1" customHeight="1" x14ac:dyDescent="0.25">
      <c r="A104" s="1382"/>
      <c r="B104" s="252" t="s">
        <v>225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s="266" customFormat="1" ht="17.25" hidden="1" customHeight="1" x14ac:dyDescent="0.25">
      <c r="A105" s="1382"/>
      <c r="B105" s="252" t="s">
        <v>226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S105</f>
        <v>0</v>
      </c>
      <c r="R105" s="96">
        <f>S105</f>
        <v>0</v>
      </c>
      <c r="S105" s="96">
        <v>0</v>
      </c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f>AB105</f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227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Y106</f>
        <v>0</v>
      </c>
      <c r="R106" s="96"/>
      <c r="S106" s="96"/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ht="16.5" hidden="1" customHeight="1" x14ac:dyDescent="0.25">
      <c r="A107" s="1383"/>
      <c r="B107" s="42" t="s">
        <v>32</v>
      </c>
      <c r="C107" s="313"/>
      <c r="D107" s="313"/>
      <c r="E107" s="313"/>
      <c r="F107" s="313"/>
      <c r="G107" s="313"/>
      <c r="H107" s="1196"/>
      <c r="I107" s="1639"/>
      <c r="J107" s="1190"/>
      <c r="K107" s="47"/>
      <c r="L107" s="47">
        <v>4919.54</v>
      </c>
      <c r="M107" s="47">
        <v>0</v>
      </c>
      <c r="N107" s="47">
        <v>1639.84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96"/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>
        <v>1639.8466699999999</v>
      </c>
      <c r="AQ107" s="96"/>
    </row>
    <row r="108" spans="1:43" s="327" customFormat="1" ht="40.5" customHeight="1" x14ac:dyDescent="0.25">
      <c r="A108" s="1372" t="s">
        <v>162</v>
      </c>
      <c r="B108" s="772" t="s">
        <v>166</v>
      </c>
      <c r="C108" s="312"/>
      <c r="D108" s="312"/>
      <c r="E108" s="312"/>
      <c r="F108" s="312"/>
      <c r="G108" s="312"/>
      <c r="H108" s="1174"/>
      <c r="I108" s="1326" t="s">
        <v>20</v>
      </c>
      <c r="J108" s="1181"/>
      <c r="K108" s="3"/>
      <c r="L108" s="3">
        <f>L109+L112</f>
        <v>94875.549999999988</v>
      </c>
      <c r="M108" s="3">
        <f t="shared" ref="M108:AO108" si="76">M109+M112</f>
        <v>2761.44</v>
      </c>
      <c r="N108" s="3">
        <f t="shared" si="76"/>
        <v>9629.67</v>
      </c>
      <c r="O108" s="3">
        <f t="shared" si="76"/>
        <v>22469.279999999999</v>
      </c>
      <c r="P108" s="3">
        <f>P109+P111</f>
        <v>18622.57</v>
      </c>
      <c r="Q108" s="3">
        <f t="shared" si="76"/>
        <v>0</v>
      </c>
      <c r="R108" s="3">
        <f t="shared" si="76"/>
        <v>646.03</v>
      </c>
      <c r="S108" s="3">
        <f t="shared" si="76"/>
        <v>646.02599999999995</v>
      </c>
      <c r="T108" s="3">
        <f t="shared" si="76"/>
        <v>872.63599999999997</v>
      </c>
      <c r="U108" s="3">
        <f t="shared" si="76"/>
        <v>872.63599999999997</v>
      </c>
      <c r="V108" s="3">
        <f t="shared" si="76"/>
        <v>0</v>
      </c>
      <c r="W108" s="3">
        <f t="shared" si="76"/>
        <v>0</v>
      </c>
      <c r="X108" s="3">
        <f t="shared" si="76"/>
        <v>0</v>
      </c>
      <c r="Y108" s="3">
        <f t="shared" si="76"/>
        <v>0</v>
      </c>
      <c r="Z108" s="95">
        <v>0</v>
      </c>
      <c r="AA108" s="3">
        <f t="shared" si="76"/>
        <v>0</v>
      </c>
      <c r="AB108" s="3">
        <f t="shared" si="76"/>
        <v>0</v>
      </c>
      <c r="AC108" s="3">
        <f t="shared" si="76"/>
        <v>0</v>
      </c>
      <c r="AD108" s="3">
        <f t="shared" si="76"/>
        <v>0</v>
      </c>
      <c r="AE108" s="3">
        <f t="shared" si="76"/>
        <v>0</v>
      </c>
      <c r="AF108" s="3">
        <f t="shared" si="76"/>
        <v>0</v>
      </c>
      <c r="AG108" s="3">
        <f t="shared" si="76"/>
        <v>0</v>
      </c>
      <c r="AH108" s="3">
        <f t="shared" si="76"/>
        <v>0</v>
      </c>
      <c r="AI108" s="3">
        <f t="shared" si="76"/>
        <v>0</v>
      </c>
      <c r="AJ108" s="3">
        <f t="shared" si="76"/>
        <v>0</v>
      </c>
      <c r="AK108" s="3">
        <f>P108-Q108</f>
        <v>18622.57</v>
      </c>
      <c r="AL108" s="3">
        <f t="shared" si="76"/>
        <v>0</v>
      </c>
      <c r="AM108" s="318">
        <f>ROUND((Q108*100%/P108*100),2)</f>
        <v>0</v>
      </c>
      <c r="AN108" s="3">
        <f t="shared" si="76"/>
        <v>0</v>
      </c>
      <c r="AO108" s="3">
        <f t="shared" si="76"/>
        <v>0</v>
      </c>
      <c r="AP108" s="633" t="s">
        <v>256</v>
      </c>
      <c r="AQ108" s="95">
        <v>0</v>
      </c>
    </row>
    <row r="109" spans="1:43" ht="16.5" customHeight="1" x14ac:dyDescent="0.25">
      <c r="A109" s="1382"/>
      <c r="B109" s="42" t="s">
        <v>15</v>
      </c>
      <c r="C109" s="313"/>
      <c r="D109" s="313"/>
      <c r="E109" s="313"/>
      <c r="F109" s="313"/>
      <c r="G109" s="313"/>
      <c r="H109" s="1196"/>
      <c r="I109" s="1638"/>
      <c r="J109" s="1190"/>
      <c r="K109" s="47"/>
      <c r="L109" s="47">
        <v>5734.87</v>
      </c>
      <c r="M109" s="47">
        <v>2761.44</v>
      </c>
      <c r="N109" s="47">
        <v>105.99</v>
      </c>
      <c r="O109" s="47">
        <v>0</v>
      </c>
      <c r="P109" s="47">
        <v>0</v>
      </c>
      <c r="Q109" s="47">
        <v>0</v>
      </c>
      <c r="R109" s="47">
        <v>646.03</v>
      </c>
      <c r="S109" s="47">
        <f t="shared" ref="S109:AJ109" si="77">SUM(S110:S111)</f>
        <v>646.02599999999995</v>
      </c>
      <c r="T109" s="47">
        <f t="shared" si="77"/>
        <v>872.63599999999997</v>
      </c>
      <c r="U109" s="47">
        <f t="shared" si="77"/>
        <v>872.63599999999997</v>
      </c>
      <c r="V109" s="47">
        <f t="shared" si="77"/>
        <v>0</v>
      </c>
      <c r="W109" s="47">
        <f t="shared" si="77"/>
        <v>0</v>
      </c>
      <c r="X109" s="47">
        <v>0</v>
      </c>
      <c r="Y109" s="47">
        <f t="shared" si="77"/>
        <v>0</v>
      </c>
      <c r="Z109" s="96"/>
      <c r="AA109" s="47">
        <f t="shared" si="77"/>
        <v>0</v>
      </c>
      <c r="AB109" s="47">
        <f t="shared" si="77"/>
        <v>0</v>
      </c>
      <c r="AC109" s="47">
        <f t="shared" si="77"/>
        <v>0</v>
      </c>
      <c r="AD109" s="47">
        <f t="shared" si="77"/>
        <v>0</v>
      </c>
      <c r="AE109" s="47">
        <f t="shared" si="77"/>
        <v>0</v>
      </c>
      <c r="AF109" s="47">
        <f t="shared" si="77"/>
        <v>0</v>
      </c>
      <c r="AG109" s="47">
        <f t="shared" si="77"/>
        <v>0</v>
      </c>
      <c r="AH109" s="47">
        <f t="shared" si="77"/>
        <v>0</v>
      </c>
      <c r="AI109" s="47">
        <f t="shared" si="77"/>
        <v>0</v>
      </c>
      <c r="AJ109" s="47">
        <f t="shared" si="77"/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397"/>
      <c r="AQ109" s="96"/>
    </row>
    <row r="110" spans="1:43" s="266" customFormat="1" ht="16.5" hidden="1" customHeight="1" x14ac:dyDescent="0.25">
      <c r="A110" s="1382"/>
      <c r="B110" s="252" t="s">
        <v>268</v>
      </c>
      <c r="C110" s="363"/>
      <c r="D110" s="363"/>
      <c r="E110" s="363"/>
      <c r="F110" s="363"/>
      <c r="G110" s="363"/>
      <c r="H110" s="364"/>
      <c r="I110" s="1638"/>
      <c r="J110" s="258"/>
      <c r="K110" s="96"/>
      <c r="L110" s="47">
        <f>SUM(M110:O110)</f>
        <v>0</v>
      </c>
      <c r="M110" s="96"/>
      <c r="N110" s="96"/>
      <c r="O110" s="96"/>
      <c r="P110" s="47"/>
      <c r="Q110" s="96">
        <f>S110+U110</f>
        <v>1518.6619999999998</v>
      </c>
      <c r="R110" s="96">
        <v>0</v>
      </c>
      <c r="S110" s="96">
        <v>646.02599999999995</v>
      </c>
      <c r="T110" s="96">
        <f>U110</f>
        <v>872.63599999999997</v>
      </c>
      <c r="U110" s="96">
        <v>872.63599999999997</v>
      </c>
      <c r="V110" s="96"/>
      <c r="W110" s="96"/>
      <c r="X110" s="96">
        <v>0</v>
      </c>
      <c r="Y110" s="96">
        <v>0</v>
      </c>
      <c r="Z110" s="96"/>
      <c r="AA110" s="96">
        <v>0</v>
      </c>
      <c r="AB110" s="96">
        <v>0</v>
      </c>
      <c r="AC110" s="96"/>
      <c r="AD110" s="96"/>
      <c r="AE110" s="96">
        <v>0</v>
      </c>
      <c r="AF110" s="96">
        <f>SUM(AG110:AG110)</f>
        <v>0</v>
      </c>
      <c r="AG110" s="96"/>
      <c r="AH110" s="96"/>
      <c r="AI110" s="96"/>
      <c r="AJ110" s="96"/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405"/>
      <c r="AQ110" s="96"/>
    </row>
    <row r="111" spans="1:43" ht="16.5" customHeight="1" x14ac:dyDescent="0.25">
      <c r="A111" s="1382"/>
      <c r="B111" s="42" t="s">
        <v>32</v>
      </c>
      <c r="C111" s="313"/>
      <c r="D111" s="313"/>
      <c r="E111" s="313"/>
      <c r="F111" s="313"/>
      <c r="G111" s="313"/>
      <c r="H111" s="1196"/>
      <c r="I111" s="1638"/>
      <c r="J111" s="1190"/>
      <c r="K111" s="47"/>
      <c r="L111" s="47">
        <f>SUM(M111:O111)</f>
        <v>0</v>
      </c>
      <c r="M111" s="47"/>
      <c r="N111" s="47"/>
      <c r="O111" s="47"/>
      <c r="P111" s="47">
        <v>18622.57</v>
      </c>
      <c r="Q111" s="47">
        <v>0</v>
      </c>
      <c r="R111" s="47"/>
      <c r="S111" s="47"/>
      <c r="T111" s="47">
        <f>U111</f>
        <v>0</v>
      </c>
      <c r="U111" s="47">
        <v>0</v>
      </c>
      <c r="V111" s="47"/>
      <c r="W111" s="47"/>
      <c r="X111" s="47"/>
      <c r="Y111" s="47"/>
      <c r="Z111" s="47"/>
      <c r="AA111" s="47">
        <f>SUM(AB111:AD111)</f>
        <v>0</v>
      </c>
      <c r="AB111" s="47"/>
      <c r="AC111" s="47">
        <v>0</v>
      </c>
      <c r="AD111" s="47">
        <v>0</v>
      </c>
      <c r="AE111" s="47"/>
      <c r="AF111" s="47">
        <f>SUM(AG111:AG111)</f>
        <v>0</v>
      </c>
      <c r="AG111" s="47"/>
      <c r="AH111" s="47"/>
      <c r="AI111" s="47"/>
      <c r="AJ111" s="47"/>
      <c r="AK111" s="47"/>
      <c r="AL111" s="47"/>
      <c r="AM111" s="47"/>
      <c r="AN111" s="47"/>
      <c r="AO111" s="47"/>
      <c r="AP111" s="397"/>
      <c r="AQ111" s="47"/>
    </row>
    <row r="112" spans="1:43" ht="0.75" customHeight="1" x14ac:dyDescent="0.25">
      <c r="A112" s="1383"/>
      <c r="B112" s="42" t="s">
        <v>32</v>
      </c>
      <c r="C112" s="313"/>
      <c r="D112" s="313"/>
      <c r="E112" s="313"/>
      <c r="F112" s="313"/>
      <c r="G112" s="313"/>
      <c r="H112" s="1196"/>
      <c r="I112" s="1639"/>
      <c r="J112" s="1190"/>
      <c r="K112" s="47"/>
      <c r="L112" s="47">
        <v>89140.68</v>
      </c>
      <c r="M112" s="47">
        <v>0</v>
      </c>
      <c r="N112" s="47">
        <v>9523.68</v>
      </c>
      <c r="O112" s="47">
        <v>22469.279999999999</v>
      </c>
      <c r="P112" s="47">
        <v>2605.9899999999998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96"/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327" customFormat="1" ht="52.5" customHeight="1" x14ac:dyDescent="0.25">
      <c r="A113" s="1372" t="s">
        <v>165</v>
      </c>
      <c r="B113" s="780" t="s">
        <v>280</v>
      </c>
      <c r="C113" s="312"/>
      <c r="D113" s="312"/>
      <c r="E113" s="312"/>
      <c r="F113" s="312"/>
      <c r="G113" s="312"/>
      <c r="H113" s="1174"/>
      <c r="I113" s="1326" t="s">
        <v>20</v>
      </c>
      <c r="J113" s="1181"/>
      <c r="K113" s="3"/>
      <c r="L113" s="3">
        <f>L114</f>
        <v>10177.64</v>
      </c>
      <c r="M113" s="3">
        <f>M114</f>
        <v>0</v>
      </c>
      <c r="N113" s="3">
        <f t="shared" ref="N113:AO117" si="78">N114</f>
        <v>0</v>
      </c>
      <c r="O113" s="3">
        <f t="shared" si="78"/>
        <v>0</v>
      </c>
      <c r="P113" s="3">
        <v>7317.14</v>
      </c>
      <c r="Q113" s="3">
        <v>0</v>
      </c>
      <c r="R113" s="3">
        <f t="shared" si="78"/>
        <v>40.5</v>
      </c>
      <c r="S113" s="3">
        <f t="shared" si="78"/>
        <v>40.5</v>
      </c>
      <c r="T113" s="3">
        <f t="shared" si="78"/>
        <v>0</v>
      </c>
      <c r="U113" s="3">
        <f t="shared" si="78"/>
        <v>0</v>
      </c>
      <c r="V113" s="3">
        <f t="shared" si="78"/>
        <v>0</v>
      </c>
      <c r="W113" s="3">
        <f t="shared" si="78"/>
        <v>0</v>
      </c>
      <c r="X113" s="3">
        <f t="shared" si="78"/>
        <v>0</v>
      </c>
      <c r="Y113" s="3">
        <f t="shared" si="78"/>
        <v>0</v>
      </c>
      <c r="Z113" s="95">
        <v>0</v>
      </c>
      <c r="AA113" s="3">
        <v>0</v>
      </c>
      <c r="AB113" s="3">
        <f t="shared" si="78"/>
        <v>40.5</v>
      </c>
      <c r="AC113" s="3">
        <f t="shared" si="78"/>
        <v>0</v>
      </c>
      <c r="AD113" s="3">
        <f t="shared" si="78"/>
        <v>0</v>
      </c>
      <c r="AE113" s="3">
        <f t="shared" si="78"/>
        <v>0</v>
      </c>
      <c r="AF113" s="3">
        <f t="shared" si="78"/>
        <v>0</v>
      </c>
      <c r="AG113" s="3">
        <f t="shared" si="78"/>
        <v>0</v>
      </c>
      <c r="AH113" s="3">
        <f t="shared" si="78"/>
        <v>0</v>
      </c>
      <c r="AI113" s="3">
        <f t="shared" si="78"/>
        <v>0</v>
      </c>
      <c r="AJ113" s="3">
        <f t="shared" si="78"/>
        <v>0</v>
      </c>
      <c r="AK113" s="3">
        <f>P113-Q113</f>
        <v>7317.14</v>
      </c>
      <c r="AL113" s="3">
        <f t="shared" si="78"/>
        <v>0</v>
      </c>
      <c r="AM113" s="3">
        <f t="shared" si="78"/>
        <v>0</v>
      </c>
      <c r="AN113" s="3">
        <f t="shared" si="78"/>
        <v>0</v>
      </c>
      <c r="AO113" s="3">
        <f t="shared" si="78"/>
        <v>0</v>
      </c>
      <c r="AP113" s="633"/>
      <c r="AQ113" s="95">
        <v>0</v>
      </c>
    </row>
    <row r="114" spans="1:45" ht="17.25" hidden="1" customHeight="1" x14ac:dyDescent="0.25">
      <c r="A114" s="1639"/>
      <c r="B114" s="42" t="s">
        <v>203</v>
      </c>
      <c r="C114" s="313"/>
      <c r="D114" s="313"/>
      <c r="E114" s="313"/>
      <c r="F114" s="313"/>
      <c r="G114" s="313"/>
      <c r="H114" s="1196"/>
      <c r="I114" s="1639"/>
      <c r="J114" s="1190"/>
      <c r="K114" s="47"/>
      <c r="L114" s="47">
        <v>10177.64</v>
      </c>
      <c r="M114" s="47">
        <v>0</v>
      </c>
      <c r="N114" s="47">
        <v>0</v>
      </c>
      <c r="O114" s="47">
        <v>0</v>
      </c>
      <c r="P114" s="47">
        <v>2591.96</v>
      </c>
      <c r="Q114" s="47">
        <f>Q115</f>
        <v>40.5</v>
      </c>
      <c r="R114" s="47">
        <f t="shared" si="78"/>
        <v>40.5</v>
      </c>
      <c r="S114" s="47">
        <f t="shared" si="78"/>
        <v>40.5</v>
      </c>
      <c r="T114" s="47">
        <f t="shared" si="78"/>
        <v>0</v>
      </c>
      <c r="U114" s="47">
        <f t="shared" si="78"/>
        <v>0</v>
      </c>
      <c r="V114" s="47">
        <f t="shared" si="78"/>
        <v>0</v>
      </c>
      <c r="W114" s="47">
        <f t="shared" si="78"/>
        <v>0</v>
      </c>
      <c r="X114" s="47">
        <f t="shared" si="78"/>
        <v>0</v>
      </c>
      <c r="Y114" s="47">
        <f t="shared" si="78"/>
        <v>0</v>
      </c>
      <c r="Z114" s="96"/>
      <c r="AA114" s="47">
        <f t="shared" si="78"/>
        <v>40.5</v>
      </c>
      <c r="AB114" s="47">
        <f t="shared" si="78"/>
        <v>40.5</v>
      </c>
      <c r="AC114" s="47">
        <f t="shared" si="78"/>
        <v>0</v>
      </c>
      <c r="AD114" s="47">
        <f t="shared" si="78"/>
        <v>0</v>
      </c>
      <c r="AE114" s="47">
        <f t="shared" si="78"/>
        <v>0</v>
      </c>
      <c r="AF114" s="47">
        <f t="shared" si="78"/>
        <v>0</v>
      </c>
      <c r="AG114" s="47">
        <f t="shared" si="78"/>
        <v>0</v>
      </c>
      <c r="AH114" s="47">
        <f t="shared" si="78"/>
        <v>0</v>
      </c>
      <c r="AI114" s="47">
        <f t="shared" si="78"/>
        <v>0</v>
      </c>
      <c r="AJ114" s="47">
        <f t="shared" si="78"/>
        <v>0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397"/>
      <c r="AQ114" s="96"/>
    </row>
    <row r="115" spans="1:45" s="266" customFormat="1" ht="17.25" hidden="1" customHeight="1" x14ac:dyDescent="0.25">
      <c r="A115" s="539"/>
      <c r="B115" s="252" t="s">
        <v>298</v>
      </c>
      <c r="C115" s="363"/>
      <c r="D115" s="363"/>
      <c r="E115" s="363"/>
      <c r="F115" s="363"/>
      <c r="G115" s="363"/>
      <c r="H115" s="364"/>
      <c r="I115" s="539"/>
      <c r="J115" s="258"/>
      <c r="K115" s="96"/>
      <c r="L115" s="96"/>
      <c r="M115" s="96"/>
      <c r="N115" s="96"/>
      <c r="O115" s="96"/>
      <c r="P115" s="96"/>
      <c r="Q115" s="96">
        <f>S115</f>
        <v>40.5</v>
      </c>
      <c r="R115" s="96">
        <f>S115</f>
        <v>40.5</v>
      </c>
      <c r="S115" s="96">
        <v>40.5</v>
      </c>
      <c r="T115" s="96"/>
      <c r="U115" s="96"/>
      <c r="V115" s="96"/>
      <c r="W115" s="96"/>
      <c r="X115" s="96"/>
      <c r="Y115" s="96"/>
      <c r="Z115" s="96"/>
      <c r="AA115" s="96">
        <f>AB115</f>
        <v>40.5</v>
      </c>
      <c r="AB115" s="96">
        <v>40.5</v>
      </c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268"/>
      <c r="AN115" s="96"/>
      <c r="AO115" s="96"/>
      <c r="AP115" s="405"/>
      <c r="AQ115" s="96"/>
    </row>
    <row r="116" spans="1:45" s="327" customFormat="1" ht="27.75" customHeight="1" x14ac:dyDescent="0.25">
      <c r="A116" s="1372" t="s">
        <v>281</v>
      </c>
      <c r="B116" s="772" t="s">
        <v>284</v>
      </c>
      <c r="C116" s="312"/>
      <c r="D116" s="312"/>
      <c r="E116" s="312"/>
      <c r="F116" s="312"/>
      <c r="G116" s="312"/>
      <c r="H116" s="1174"/>
      <c r="I116" s="1326" t="s">
        <v>20</v>
      </c>
      <c r="J116" s="1181"/>
      <c r="K116" s="3"/>
      <c r="L116" s="3">
        <f>SUM(L117:L119)</f>
        <v>12294.88</v>
      </c>
      <c r="M116" s="3">
        <f>SUM(M117:M119)</f>
        <v>0</v>
      </c>
      <c r="N116" s="3">
        <f>SUM(N117:N119)</f>
        <v>0</v>
      </c>
      <c r="O116" s="3">
        <f>SUM(O117:O119)</f>
        <v>0</v>
      </c>
      <c r="P116" s="3">
        <f>SUM(P117:P119)</f>
        <v>11314.88</v>
      </c>
      <c r="Q116" s="3">
        <f t="shared" si="78"/>
        <v>0</v>
      </c>
      <c r="R116" s="3">
        <f t="shared" si="78"/>
        <v>686</v>
      </c>
      <c r="S116" s="3">
        <f t="shared" si="78"/>
        <v>686</v>
      </c>
      <c r="T116" s="3">
        <f t="shared" si="78"/>
        <v>294</v>
      </c>
      <c r="U116" s="3">
        <f t="shared" si="78"/>
        <v>294</v>
      </c>
      <c r="V116" s="3">
        <f t="shared" si="78"/>
        <v>0</v>
      </c>
      <c r="W116" s="3">
        <f t="shared" si="78"/>
        <v>0</v>
      </c>
      <c r="X116" s="3">
        <f t="shared" si="78"/>
        <v>0</v>
      </c>
      <c r="Y116" s="3">
        <f t="shared" si="78"/>
        <v>0</v>
      </c>
      <c r="Z116" s="95">
        <v>0</v>
      </c>
      <c r="AA116" s="3">
        <f t="shared" si="78"/>
        <v>0</v>
      </c>
      <c r="AB116" s="3">
        <f t="shared" si="78"/>
        <v>0</v>
      </c>
      <c r="AC116" s="3">
        <f t="shared" si="78"/>
        <v>0</v>
      </c>
      <c r="AD116" s="3">
        <f t="shared" si="78"/>
        <v>0</v>
      </c>
      <c r="AE116" s="3">
        <f t="shared" si="78"/>
        <v>0</v>
      </c>
      <c r="AF116" s="3">
        <f t="shared" si="78"/>
        <v>0</v>
      </c>
      <c r="AG116" s="3">
        <f t="shared" si="78"/>
        <v>0</v>
      </c>
      <c r="AH116" s="3">
        <f t="shared" si="78"/>
        <v>0</v>
      </c>
      <c r="AI116" s="3">
        <f t="shared" si="78"/>
        <v>0</v>
      </c>
      <c r="AJ116" s="3">
        <f t="shared" si="78"/>
        <v>0</v>
      </c>
      <c r="AK116" s="3">
        <f>P116-Q116</f>
        <v>11314.88</v>
      </c>
      <c r="AL116" s="3">
        <f>AL119</f>
        <v>0</v>
      </c>
      <c r="AM116" s="318">
        <v>0</v>
      </c>
      <c r="AN116" s="3">
        <f>AN119</f>
        <v>0</v>
      </c>
      <c r="AO116" s="3">
        <f>AO119</f>
        <v>0</v>
      </c>
      <c r="AP116" s="633" t="s">
        <v>256</v>
      </c>
      <c r="AQ116" s="95">
        <v>0</v>
      </c>
    </row>
    <row r="117" spans="1:45" ht="20.25" customHeight="1" x14ac:dyDescent="0.25">
      <c r="A117" s="1382"/>
      <c r="B117" s="42" t="s">
        <v>285</v>
      </c>
      <c r="C117" s="313"/>
      <c r="D117" s="313"/>
      <c r="E117" s="313"/>
      <c r="F117" s="313"/>
      <c r="G117" s="313"/>
      <c r="H117" s="1196"/>
      <c r="I117" s="1327"/>
      <c r="J117" s="1190"/>
      <c r="K117" s="47"/>
      <c r="L117" s="47">
        <v>980</v>
      </c>
      <c r="M117" s="47"/>
      <c r="N117" s="47">
        <v>0</v>
      </c>
      <c r="O117" s="47"/>
      <c r="P117" s="47">
        <v>0</v>
      </c>
      <c r="Q117" s="47">
        <v>0</v>
      </c>
      <c r="R117" s="47">
        <f t="shared" si="78"/>
        <v>686</v>
      </c>
      <c r="S117" s="47">
        <f t="shared" si="78"/>
        <v>686</v>
      </c>
      <c r="T117" s="47">
        <f t="shared" si="78"/>
        <v>294</v>
      </c>
      <c r="U117" s="47">
        <f t="shared" si="78"/>
        <v>294</v>
      </c>
      <c r="V117" s="47">
        <f t="shared" si="78"/>
        <v>0</v>
      </c>
      <c r="W117" s="47">
        <f t="shared" si="78"/>
        <v>0</v>
      </c>
      <c r="X117" s="47">
        <f t="shared" si="78"/>
        <v>0</v>
      </c>
      <c r="Y117" s="47">
        <f t="shared" si="78"/>
        <v>0</v>
      </c>
      <c r="Z117" s="96"/>
      <c r="AA117" s="47">
        <f t="shared" si="78"/>
        <v>0</v>
      </c>
      <c r="AB117" s="47">
        <f t="shared" si="78"/>
        <v>0</v>
      </c>
      <c r="AC117" s="47">
        <f t="shared" si="78"/>
        <v>0</v>
      </c>
      <c r="AD117" s="47">
        <f t="shared" si="78"/>
        <v>0</v>
      </c>
      <c r="AE117" s="47">
        <f t="shared" si="78"/>
        <v>0</v>
      </c>
      <c r="AF117" s="47">
        <f t="shared" si="78"/>
        <v>0</v>
      </c>
      <c r="AG117" s="47">
        <f t="shared" si="78"/>
        <v>0</v>
      </c>
      <c r="AH117" s="47">
        <f t="shared" si="78"/>
        <v>0</v>
      </c>
      <c r="AI117" s="47">
        <f t="shared" si="78"/>
        <v>0</v>
      </c>
      <c r="AJ117" s="47">
        <f t="shared" si="78"/>
        <v>0</v>
      </c>
      <c r="AK117" s="47">
        <v>0</v>
      </c>
      <c r="AL117" s="47"/>
      <c r="AM117" s="47"/>
      <c r="AN117" s="47"/>
      <c r="AO117" s="47"/>
      <c r="AP117" s="397"/>
      <c r="AQ117" s="96"/>
    </row>
    <row r="118" spans="1:45" s="266" customFormat="1" ht="20.25" hidden="1" customHeight="1" x14ac:dyDescent="0.25">
      <c r="A118" s="1382"/>
      <c r="B118" s="252" t="s">
        <v>299</v>
      </c>
      <c r="C118" s="363"/>
      <c r="D118" s="363"/>
      <c r="E118" s="363"/>
      <c r="F118" s="363"/>
      <c r="G118" s="363"/>
      <c r="H118" s="364"/>
      <c r="I118" s="1327"/>
      <c r="J118" s="258"/>
      <c r="K118" s="96"/>
      <c r="L118" s="96"/>
      <c r="M118" s="96"/>
      <c r="N118" s="96"/>
      <c r="O118" s="96"/>
      <c r="P118" s="96"/>
      <c r="Q118" s="96">
        <f>S118+U118</f>
        <v>980</v>
      </c>
      <c r="R118" s="96">
        <f>S118</f>
        <v>686</v>
      </c>
      <c r="S118" s="96">
        <v>686</v>
      </c>
      <c r="T118" s="96">
        <v>294</v>
      </c>
      <c r="U118" s="96">
        <v>294</v>
      </c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405"/>
      <c r="AQ118" s="96"/>
    </row>
    <row r="119" spans="1:45" ht="17.25" customHeight="1" x14ac:dyDescent="0.25">
      <c r="A119" s="1639"/>
      <c r="B119" s="42" t="s">
        <v>287</v>
      </c>
      <c r="C119" s="313"/>
      <c r="D119" s="313"/>
      <c r="E119" s="313"/>
      <c r="F119" s="313"/>
      <c r="G119" s="313"/>
      <c r="H119" s="1196"/>
      <c r="I119" s="1639"/>
      <c r="J119" s="1190"/>
      <c r="K119" s="47"/>
      <c r="L119" s="47">
        <v>11314.88</v>
      </c>
      <c r="M119" s="47">
        <v>0</v>
      </c>
      <c r="N119" s="47">
        <v>0</v>
      </c>
      <c r="O119" s="47">
        <v>0</v>
      </c>
      <c r="P119" s="47">
        <v>11314.88</v>
      </c>
      <c r="Q119" s="47">
        <v>0</v>
      </c>
      <c r="R119" s="47">
        <v>0</v>
      </c>
      <c r="S119" s="47">
        <v>0</v>
      </c>
      <c r="T119" s="47">
        <f t="shared" ref="T119:Y119" si="79">T129</f>
        <v>980</v>
      </c>
      <c r="U119" s="47">
        <v>0</v>
      </c>
      <c r="V119" s="47">
        <f t="shared" si="79"/>
        <v>0</v>
      </c>
      <c r="W119" s="47">
        <f t="shared" si="79"/>
        <v>0</v>
      </c>
      <c r="X119" s="47">
        <f t="shared" si="79"/>
        <v>0</v>
      </c>
      <c r="Y119" s="47">
        <f t="shared" si="79"/>
        <v>0</v>
      </c>
      <c r="Z119" s="96"/>
      <c r="AA119" s="47">
        <v>0</v>
      </c>
      <c r="AB119" s="47">
        <v>0</v>
      </c>
      <c r="AC119" s="47">
        <f t="shared" ref="AC119:AJ119" si="80">AC129</f>
        <v>0</v>
      </c>
      <c r="AD119" s="47">
        <f t="shared" si="80"/>
        <v>0</v>
      </c>
      <c r="AE119" s="47">
        <f t="shared" si="80"/>
        <v>0</v>
      </c>
      <c r="AF119" s="47">
        <f t="shared" si="80"/>
        <v>0</v>
      </c>
      <c r="AG119" s="47">
        <f t="shared" si="80"/>
        <v>0</v>
      </c>
      <c r="AH119" s="47">
        <f t="shared" si="80"/>
        <v>0</v>
      </c>
      <c r="AI119" s="47">
        <f t="shared" si="80"/>
        <v>0</v>
      </c>
      <c r="AJ119" s="47">
        <f t="shared" si="80"/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397"/>
      <c r="AQ119" s="96"/>
    </row>
    <row r="120" spans="1:45" s="327" customFormat="1" ht="24.75" customHeight="1" x14ac:dyDescent="0.25">
      <c r="A120" s="1372" t="s">
        <v>282</v>
      </c>
      <c r="B120" s="772" t="s">
        <v>286</v>
      </c>
      <c r="C120" s="312"/>
      <c r="D120" s="312"/>
      <c r="E120" s="312"/>
      <c r="F120" s="312"/>
      <c r="G120" s="312"/>
      <c r="H120" s="1174"/>
      <c r="I120" s="1326" t="s">
        <v>20</v>
      </c>
      <c r="J120" s="1181"/>
      <c r="K120" s="3"/>
      <c r="L120" s="3">
        <f>SUM(L121:L124)</f>
        <v>2085.84</v>
      </c>
      <c r="M120" s="3">
        <f>SUM(M121:M124)</f>
        <v>0</v>
      </c>
      <c r="N120" s="3">
        <f>SUM(N121:N124)</f>
        <v>0</v>
      </c>
      <c r="O120" s="3">
        <f>SUM(O121:O124)</f>
        <v>0</v>
      </c>
      <c r="P120" s="3">
        <f>SUM(P121:P124)</f>
        <v>86.18</v>
      </c>
      <c r="Q120" s="3">
        <f>Q121+Q124</f>
        <v>0</v>
      </c>
      <c r="R120" s="3">
        <f t="shared" ref="R120:AD120" si="81">R121+R124</f>
        <v>0</v>
      </c>
      <c r="S120" s="3">
        <f t="shared" si="81"/>
        <v>0</v>
      </c>
      <c r="T120" s="3">
        <f t="shared" si="81"/>
        <v>1066.18</v>
      </c>
      <c r="U120" s="3">
        <f t="shared" si="81"/>
        <v>86.18</v>
      </c>
      <c r="V120" s="3">
        <f t="shared" si="81"/>
        <v>1597.7769999999998</v>
      </c>
      <c r="W120" s="3">
        <f t="shared" si="81"/>
        <v>1597.7769999999998</v>
      </c>
      <c r="X120" s="3">
        <f t="shared" si="81"/>
        <v>0</v>
      </c>
      <c r="Y120" s="3">
        <f t="shared" si="81"/>
        <v>0</v>
      </c>
      <c r="Z120" s="95">
        <v>0</v>
      </c>
      <c r="AA120" s="3">
        <v>0</v>
      </c>
      <c r="AB120" s="3">
        <f t="shared" si="81"/>
        <v>0</v>
      </c>
      <c r="AC120" s="3">
        <f t="shared" si="81"/>
        <v>0</v>
      </c>
      <c r="AD120" s="3">
        <f t="shared" si="81"/>
        <v>1550</v>
      </c>
      <c r="AE120" s="3">
        <f t="shared" ref="AE120:AJ120" si="82">AE124</f>
        <v>0</v>
      </c>
      <c r="AF120" s="3">
        <f t="shared" si="82"/>
        <v>0</v>
      </c>
      <c r="AG120" s="3">
        <f t="shared" si="82"/>
        <v>0</v>
      </c>
      <c r="AH120" s="3">
        <f t="shared" si="82"/>
        <v>0</v>
      </c>
      <c r="AI120" s="3">
        <f t="shared" si="82"/>
        <v>0</v>
      </c>
      <c r="AJ120" s="3">
        <f t="shared" si="82"/>
        <v>0</v>
      </c>
      <c r="AK120" s="3">
        <f>P120-Q120</f>
        <v>86.18</v>
      </c>
      <c r="AL120" s="3">
        <f>AL124</f>
        <v>0</v>
      </c>
      <c r="AM120" s="3">
        <f>AM124</f>
        <v>0</v>
      </c>
      <c r="AN120" s="3">
        <f>AN124</f>
        <v>0</v>
      </c>
      <c r="AO120" s="3">
        <f>AO124</f>
        <v>0</v>
      </c>
      <c r="AP120" s="633" t="s">
        <v>244</v>
      </c>
      <c r="AQ120" s="95">
        <v>0</v>
      </c>
      <c r="AS120" s="3"/>
    </row>
    <row r="121" spans="1:45" ht="20.25" customHeight="1" x14ac:dyDescent="0.25">
      <c r="A121" s="1382"/>
      <c r="B121" s="42" t="s">
        <v>285</v>
      </c>
      <c r="C121" s="313"/>
      <c r="D121" s="313"/>
      <c r="E121" s="313"/>
      <c r="F121" s="313"/>
      <c r="G121" s="313"/>
      <c r="H121" s="1196"/>
      <c r="I121" s="1327"/>
      <c r="J121" s="1190"/>
      <c r="K121" s="47"/>
      <c r="L121" s="47">
        <v>2085.84</v>
      </c>
      <c r="M121" s="47"/>
      <c r="N121" s="47">
        <v>0</v>
      </c>
      <c r="O121" s="47"/>
      <c r="P121" s="47">
        <v>86.18</v>
      </c>
      <c r="Q121" s="47">
        <v>0</v>
      </c>
      <c r="R121" s="47">
        <f t="shared" ref="R121:AD121" si="83">R123+R122</f>
        <v>0</v>
      </c>
      <c r="S121" s="47">
        <f t="shared" si="83"/>
        <v>0</v>
      </c>
      <c r="T121" s="47">
        <f t="shared" si="83"/>
        <v>86.18</v>
      </c>
      <c r="U121" s="47">
        <f t="shared" si="83"/>
        <v>86.18</v>
      </c>
      <c r="V121" s="47">
        <f t="shared" si="83"/>
        <v>1597.7769999999998</v>
      </c>
      <c r="W121" s="47">
        <f t="shared" si="83"/>
        <v>1597.7769999999998</v>
      </c>
      <c r="X121" s="47">
        <f t="shared" si="83"/>
        <v>0</v>
      </c>
      <c r="Y121" s="47">
        <f t="shared" si="83"/>
        <v>0</v>
      </c>
      <c r="Z121" s="96"/>
      <c r="AA121" s="47">
        <v>0</v>
      </c>
      <c r="AB121" s="47">
        <f t="shared" si="83"/>
        <v>0</v>
      </c>
      <c r="AC121" s="47">
        <f t="shared" si="83"/>
        <v>0</v>
      </c>
      <c r="AD121" s="47">
        <f t="shared" si="83"/>
        <v>1550</v>
      </c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397"/>
      <c r="AQ121" s="96"/>
    </row>
    <row r="122" spans="1:45" s="266" customFormat="1" ht="38.25" hidden="1" customHeight="1" x14ac:dyDescent="0.25">
      <c r="A122" s="1382"/>
      <c r="B122" s="252" t="s">
        <v>321</v>
      </c>
      <c r="C122" s="363"/>
      <c r="D122" s="363"/>
      <c r="E122" s="363"/>
      <c r="F122" s="363"/>
      <c r="G122" s="363"/>
      <c r="H122" s="364"/>
      <c r="I122" s="1327"/>
      <c r="J122" s="258"/>
      <c r="K122" s="96"/>
      <c r="L122" s="96"/>
      <c r="M122" s="96"/>
      <c r="N122" s="96"/>
      <c r="O122" s="96"/>
      <c r="P122" s="96"/>
      <c r="Q122" s="96">
        <f>W122</f>
        <v>1511.6</v>
      </c>
      <c r="R122" s="96"/>
      <c r="S122" s="96"/>
      <c r="T122" s="96"/>
      <c r="U122" s="96"/>
      <c r="V122" s="96">
        <f>W122</f>
        <v>1511.6</v>
      </c>
      <c r="W122" s="96">
        <v>1511.6</v>
      </c>
      <c r="X122" s="96"/>
      <c r="Y122" s="96"/>
      <c r="Z122" s="96"/>
      <c r="AA122" s="96">
        <f>AD122</f>
        <v>1550</v>
      </c>
      <c r="AB122" s="96"/>
      <c r="AC122" s="96"/>
      <c r="AD122" s="96">
        <v>1550</v>
      </c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405"/>
      <c r="AQ122" s="96"/>
    </row>
    <row r="123" spans="1:45" s="266" customFormat="1" ht="27" hidden="1" customHeight="1" x14ac:dyDescent="0.25">
      <c r="A123" s="1382"/>
      <c r="B123" s="252" t="s">
        <v>313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S123+U123</f>
        <v>86.18</v>
      </c>
      <c r="R123" s="96"/>
      <c r="S123" s="96"/>
      <c r="T123" s="96">
        <f>U123</f>
        <v>86.18</v>
      </c>
      <c r="U123" s="96">
        <f>ROUND((103.412/1.2),2)</f>
        <v>86.18</v>
      </c>
      <c r="V123" s="96">
        <f>W123</f>
        <v>86.177000000000007</v>
      </c>
      <c r="W123" s="96">
        <v>86.177000000000007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ht="17.25" customHeight="1" x14ac:dyDescent="0.25">
      <c r="A124" s="1639"/>
      <c r="B124" s="42" t="s">
        <v>287</v>
      </c>
      <c r="C124" s="313"/>
      <c r="D124" s="313"/>
      <c r="E124" s="313"/>
      <c r="F124" s="313"/>
      <c r="G124" s="313"/>
      <c r="H124" s="1196"/>
      <c r="I124" s="1639"/>
      <c r="J124" s="1190"/>
      <c r="K124" s="47"/>
      <c r="L124" s="47">
        <v>0</v>
      </c>
      <c r="M124" s="47">
        <v>0</v>
      </c>
      <c r="N124" s="47">
        <v>0</v>
      </c>
      <c r="O124" s="47">
        <v>0</v>
      </c>
      <c r="P124" s="47">
        <f>N124</f>
        <v>0</v>
      </c>
      <c r="Q124" s="47">
        <v>0</v>
      </c>
      <c r="R124" s="47">
        <v>0</v>
      </c>
      <c r="S124" s="47">
        <v>0</v>
      </c>
      <c r="T124" s="47">
        <f t="shared" ref="T124:Y124" si="84">T140</f>
        <v>980</v>
      </c>
      <c r="U124" s="47">
        <v>0</v>
      </c>
      <c r="V124" s="47">
        <f t="shared" si="84"/>
        <v>0</v>
      </c>
      <c r="W124" s="47">
        <f t="shared" si="84"/>
        <v>0</v>
      </c>
      <c r="X124" s="47">
        <f t="shared" si="84"/>
        <v>0</v>
      </c>
      <c r="Y124" s="47">
        <f t="shared" si="84"/>
        <v>0</v>
      </c>
      <c r="Z124" s="96"/>
      <c r="AA124" s="47">
        <v>0</v>
      </c>
      <c r="AB124" s="47">
        <v>0</v>
      </c>
      <c r="AC124" s="47">
        <f t="shared" ref="AC124:AJ124" si="85">AC140</f>
        <v>0</v>
      </c>
      <c r="AD124" s="47">
        <f t="shared" si="85"/>
        <v>0</v>
      </c>
      <c r="AE124" s="47">
        <f t="shared" si="85"/>
        <v>0</v>
      </c>
      <c r="AF124" s="47">
        <f t="shared" si="85"/>
        <v>0</v>
      </c>
      <c r="AG124" s="47">
        <f t="shared" si="85"/>
        <v>0</v>
      </c>
      <c r="AH124" s="47">
        <f t="shared" si="85"/>
        <v>0</v>
      </c>
      <c r="AI124" s="47">
        <f t="shared" si="85"/>
        <v>0</v>
      </c>
      <c r="AJ124" s="47">
        <f t="shared" si="85"/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327" customFormat="1" ht="31.5" customHeight="1" x14ac:dyDescent="0.25">
      <c r="A125" s="1372" t="s">
        <v>283</v>
      </c>
      <c r="B125" s="772" t="s">
        <v>288</v>
      </c>
      <c r="C125" s="312"/>
      <c r="D125" s="312"/>
      <c r="E125" s="312"/>
      <c r="F125" s="312"/>
      <c r="G125" s="312"/>
      <c r="H125" s="1174"/>
      <c r="I125" s="1326" t="s">
        <v>20</v>
      </c>
      <c r="J125" s="1181"/>
      <c r="K125" s="3"/>
      <c r="L125" s="3">
        <f t="shared" ref="L125:AJ126" si="86">L126</f>
        <v>28990</v>
      </c>
      <c r="M125" s="3">
        <f t="shared" si="86"/>
        <v>0</v>
      </c>
      <c r="N125" s="3">
        <f t="shared" si="86"/>
        <v>10150</v>
      </c>
      <c r="O125" s="3">
        <f t="shared" si="86"/>
        <v>0</v>
      </c>
      <c r="P125" s="3">
        <v>0</v>
      </c>
      <c r="Q125" s="3">
        <v>0</v>
      </c>
      <c r="R125" s="3">
        <f t="shared" si="86"/>
        <v>10000</v>
      </c>
      <c r="S125" s="3">
        <f t="shared" si="86"/>
        <v>10000</v>
      </c>
      <c r="T125" s="3">
        <f t="shared" si="86"/>
        <v>14158.333000000001</v>
      </c>
      <c r="U125" s="3">
        <f t="shared" si="86"/>
        <v>14158.333000000001</v>
      </c>
      <c r="V125" s="3">
        <f t="shared" si="86"/>
        <v>0</v>
      </c>
      <c r="W125" s="3">
        <f t="shared" si="86"/>
        <v>0</v>
      </c>
      <c r="X125" s="3">
        <f t="shared" si="86"/>
        <v>0</v>
      </c>
      <c r="Y125" s="3">
        <f t="shared" si="86"/>
        <v>0</v>
      </c>
      <c r="Z125" s="95">
        <v>0</v>
      </c>
      <c r="AA125" s="3">
        <f t="shared" si="86"/>
        <v>0</v>
      </c>
      <c r="AB125" s="3">
        <f t="shared" si="86"/>
        <v>0</v>
      </c>
      <c r="AC125" s="3">
        <f t="shared" si="86"/>
        <v>0</v>
      </c>
      <c r="AD125" s="3">
        <f t="shared" si="86"/>
        <v>0</v>
      </c>
      <c r="AE125" s="3">
        <f t="shared" si="86"/>
        <v>0</v>
      </c>
      <c r="AF125" s="3">
        <f t="shared" si="86"/>
        <v>0</v>
      </c>
      <c r="AG125" s="3">
        <f t="shared" si="86"/>
        <v>0</v>
      </c>
      <c r="AH125" s="3">
        <f t="shared" si="86"/>
        <v>0</v>
      </c>
      <c r="AI125" s="3">
        <f t="shared" si="86"/>
        <v>0</v>
      </c>
      <c r="AJ125" s="3">
        <f t="shared" si="86"/>
        <v>0</v>
      </c>
      <c r="AK125" s="3">
        <f>P125-Q125</f>
        <v>0</v>
      </c>
      <c r="AL125" s="3">
        <f>AL126</f>
        <v>0</v>
      </c>
      <c r="AM125" s="318" t="e">
        <f>ROUND((Q125*100%/P125*100),2)</f>
        <v>#DIV/0!</v>
      </c>
      <c r="AN125" s="3">
        <f>AN126</f>
        <v>0</v>
      </c>
      <c r="AO125" s="3">
        <f>AO126</f>
        <v>0</v>
      </c>
      <c r="AP125" s="633" t="s">
        <v>295</v>
      </c>
      <c r="AQ125" s="95">
        <v>0</v>
      </c>
    </row>
    <row r="126" spans="1:45" ht="17.25" hidden="1" customHeight="1" x14ac:dyDescent="0.25">
      <c r="A126" s="1639"/>
      <c r="B126" s="42" t="s">
        <v>201</v>
      </c>
      <c r="C126" s="313"/>
      <c r="D126" s="313"/>
      <c r="E126" s="313"/>
      <c r="F126" s="313"/>
      <c r="G126" s="313"/>
      <c r="H126" s="1196"/>
      <c r="I126" s="1639"/>
      <c r="J126" s="1190"/>
      <c r="K126" s="47"/>
      <c r="L126" s="47">
        <v>28990</v>
      </c>
      <c r="M126" s="47">
        <v>0</v>
      </c>
      <c r="N126" s="47">
        <v>10150</v>
      </c>
      <c r="O126" s="47">
        <v>0</v>
      </c>
      <c r="P126" s="47">
        <v>18840</v>
      </c>
      <c r="Q126" s="47">
        <f>Q127</f>
        <v>24158.332999999999</v>
      </c>
      <c r="R126" s="47">
        <f t="shared" si="86"/>
        <v>10000</v>
      </c>
      <c r="S126" s="47">
        <f t="shared" si="86"/>
        <v>10000</v>
      </c>
      <c r="T126" s="47">
        <f t="shared" si="86"/>
        <v>14158.333000000001</v>
      </c>
      <c r="U126" s="47">
        <f t="shared" si="86"/>
        <v>14158.333000000001</v>
      </c>
      <c r="V126" s="47">
        <f t="shared" si="86"/>
        <v>0</v>
      </c>
      <c r="W126" s="47">
        <f t="shared" si="86"/>
        <v>0</v>
      </c>
      <c r="X126" s="47">
        <f t="shared" si="86"/>
        <v>0</v>
      </c>
      <c r="Y126" s="47">
        <f t="shared" si="86"/>
        <v>0</v>
      </c>
      <c r="Z126" s="96"/>
      <c r="AA126" s="47">
        <f t="shared" si="86"/>
        <v>0</v>
      </c>
      <c r="AB126" s="47">
        <f t="shared" si="86"/>
        <v>0</v>
      </c>
      <c r="AC126" s="47">
        <f t="shared" si="86"/>
        <v>0</v>
      </c>
      <c r="AD126" s="47">
        <f t="shared" si="86"/>
        <v>0</v>
      </c>
      <c r="AE126" s="47">
        <f>AE127</f>
        <v>0</v>
      </c>
      <c r="AF126" s="47">
        <f>AF143+AJ126</f>
        <v>0</v>
      </c>
      <c r="AG126" s="47">
        <f>AG143</f>
        <v>0</v>
      </c>
      <c r="AH126" s="47">
        <f>AH143</f>
        <v>0</v>
      </c>
      <c r="AI126" s="47">
        <f>AI143</f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s="266" customFormat="1" ht="24.75" hidden="1" customHeight="1" x14ac:dyDescent="0.25">
      <c r="A127" s="539"/>
      <c r="B127" s="252" t="s">
        <v>290</v>
      </c>
      <c r="C127" s="363"/>
      <c r="D127" s="363"/>
      <c r="E127" s="363"/>
      <c r="F127" s="363"/>
      <c r="G127" s="363"/>
      <c r="H127" s="364"/>
      <c r="I127" s="614"/>
      <c r="J127" s="258"/>
      <c r="K127" s="96"/>
      <c r="L127" s="96"/>
      <c r="M127" s="96"/>
      <c r="N127" s="96"/>
      <c r="O127" s="96"/>
      <c r="P127" s="96"/>
      <c r="Q127" s="96">
        <f>S127+U127</f>
        <v>24158.332999999999</v>
      </c>
      <c r="R127" s="96">
        <f>S127</f>
        <v>10000</v>
      </c>
      <c r="S127" s="96">
        <v>10000</v>
      </c>
      <c r="T127" s="96">
        <f>U127</f>
        <v>14158.333000000001</v>
      </c>
      <c r="U127" s="96">
        <v>14158.333000000001</v>
      </c>
      <c r="V127" s="96"/>
      <c r="W127" s="96"/>
      <c r="X127" s="96"/>
      <c r="Y127" s="96"/>
      <c r="Z127" s="96"/>
      <c r="AA127" s="96">
        <f>SUM(AB127:AE127)</f>
        <v>0</v>
      </c>
      <c r="AB127" s="96"/>
      <c r="AC127" s="96"/>
      <c r="AD127" s="96"/>
      <c r="AE127" s="96">
        <v>0</v>
      </c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405"/>
      <c r="AQ127" s="96"/>
    </row>
    <row r="128" spans="1:45" ht="54" hidden="1" customHeight="1" x14ac:dyDescent="0.25">
      <c r="A128" s="1332" t="s">
        <v>60</v>
      </c>
      <c r="B128" s="1613" t="s">
        <v>45</v>
      </c>
      <c r="C128" s="1614"/>
      <c r="D128" s="1614"/>
      <c r="E128" s="1614"/>
      <c r="F128" s="1614"/>
      <c r="G128" s="1614"/>
      <c r="H128" s="1615"/>
      <c r="I128" s="23" t="s">
        <v>19</v>
      </c>
      <c r="J128" s="47">
        <v>0</v>
      </c>
      <c r="K128" s="47">
        <f>K131</f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42.75" hidden="1" customHeight="1" x14ac:dyDescent="0.25">
      <c r="A129" s="1333"/>
      <c r="B129" s="1616"/>
      <c r="C129" s="1617"/>
      <c r="D129" s="1617"/>
      <c r="E129" s="1617"/>
      <c r="F129" s="1617"/>
      <c r="G129" s="1617"/>
      <c r="H129" s="1618"/>
      <c r="I129" s="23" t="s">
        <v>20</v>
      </c>
      <c r="J129" s="47">
        <f>J140</f>
        <v>4106.3500000000004</v>
      </c>
      <c r="K129" s="47">
        <v>0</v>
      </c>
      <c r="L129" s="47">
        <f>L140</f>
        <v>6022.96</v>
      </c>
      <c r="M129" s="47">
        <f>M140</f>
        <v>0</v>
      </c>
      <c r="N129" s="47">
        <f t="shared" ref="N129:AO129" si="87">N140</f>
        <v>980</v>
      </c>
      <c r="O129" s="47">
        <f t="shared" si="87"/>
        <v>0</v>
      </c>
      <c r="P129" s="47">
        <f t="shared" si="87"/>
        <v>420.48</v>
      </c>
      <c r="Q129" s="47">
        <f t="shared" si="87"/>
        <v>0</v>
      </c>
      <c r="R129" s="47">
        <f t="shared" si="87"/>
        <v>0</v>
      </c>
      <c r="S129" s="47">
        <f t="shared" si="87"/>
        <v>0</v>
      </c>
      <c r="T129" s="47">
        <f t="shared" si="87"/>
        <v>980</v>
      </c>
      <c r="U129" s="47">
        <f t="shared" si="87"/>
        <v>980</v>
      </c>
      <c r="V129" s="47">
        <f t="shared" si="87"/>
        <v>0</v>
      </c>
      <c r="W129" s="47">
        <f t="shared" si="87"/>
        <v>0</v>
      </c>
      <c r="X129" s="47">
        <f t="shared" si="87"/>
        <v>0</v>
      </c>
      <c r="Y129" s="47">
        <f t="shared" si="87"/>
        <v>0</v>
      </c>
      <c r="Z129" s="96"/>
      <c r="AA129" s="47">
        <f t="shared" si="87"/>
        <v>0</v>
      </c>
      <c r="AB129" s="47">
        <f t="shared" si="87"/>
        <v>0</v>
      </c>
      <c r="AC129" s="47">
        <f t="shared" si="87"/>
        <v>0</v>
      </c>
      <c r="AD129" s="47">
        <f t="shared" si="87"/>
        <v>0</v>
      </c>
      <c r="AE129" s="47">
        <f t="shared" si="87"/>
        <v>0</v>
      </c>
      <c r="AF129" s="47">
        <f t="shared" si="87"/>
        <v>0</v>
      </c>
      <c r="AG129" s="47">
        <f t="shared" si="87"/>
        <v>0</v>
      </c>
      <c r="AH129" s="47">
        <f t="shared" si="87"/>
        <v>0</v>
      </c>
      <c r="AI129" s="47">
        <f t="shared" si="87"/>
        <v>0</v>
      </c>
      <c r="AJ129" s="47">
        <f t="shared" si="87"/>
        <v>0</v>
      </c>
      <c r="AK129" s="47">
        <f t="shared" si="87"/>
        <v>420.48</v>
      </c>
      <c r="AL129" s="47">
        <f t="shared" si="87"/>
        <v>420.48</v>
      </c>
      <c r="AM129" s="47">
        <f t="shared" si="87"/>
        <v>0</v>
      </c>
      <c r="AN129" s="47">
        <f t="shared" si="87"/>
        <v>0</v>
      </c>
      <c r="AO129" s="47">
        <f t="shared" si="87"/>
        <v>0</v>
      </c>
      <c r="AP129" s="397"/>
      <c r="AQ129" s="96"/>
    </row>
    <row r="130" spans="1:43" ht="25.5" hidden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10</v>
      </c>
      <c r="J130" s="47">
        <v>0</v>
      </c>
      <c r="K130" s="47">
        <v>0</v>
      </c>
      <c r="L130" s="47">
        <f>M130+N130+O130</f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96"/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397"/>
      <c r="AQ130" s="96"/>
    </row>
    <row r="131" spans="1:43" ht="129" hidden="1" customHeight="1" x14ac:dyDescent="0.25">
      <c r="A131" s="1334"/>
      <c r="B131" s="1619"/>
      <c r="C131" s="1620"/>
      <c r="D131" s="1620"/>
      <c r="E131" s="1620"/>
      <c r="F131" s="1620"/>
      <c r="G131" s="1620"/>
      <c r="H131" s="1621"/>
      <c r="I131" s="23" t="s">
        <v>9</v>
      </c>
      <c r="J131" s="47">
        <v>0</v>
      </c>
      <c r="K131" s="47"/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s="327" customFormat="1" ht="31.5" customHeight="1" x14ac:dyDescent="0.25">
      <c r="A132" s="789"/>
      <c r="B132" s="772" t="s">
        <v>405</v>
      </c>
      <c r="C132" s="312"/>
      <c r="D132" s="312"/>
      <c r="E132" s="312"/>
      <c r="F132" s="312"/>
      <c r="G132" s="312"/>
      <c r="H132" s="1174"/>
      <c r="I132" s="1201"/>
      <c r="J132" s="1181"/>
      <c r="K132" s="3"/>
      <c r="L132" s="3"/>
      <c r="M132" s="3"/>
      <c r="N132" s="3"/>
      <c r="O132" s="3"/>
      <c r="P132" s="3">
        <f>SUM(P133:P134)</f>
        <v>2820.43</v>
      </c>
      <c r="Q132" s="3">
        <f t="shared" ref="Q132:AA132" si="88">SUM(Q133:Q134)</f>
        <v>441.88432999999998</v>
      </c>
      <c r="R132" s="3">
        <f t="shared" si="88"/>
        <v>0</v>
      </c>
      <c r="S132" s="3">
        <f t="shared" si="88"/>
        <v>0</v>
      </c>
      <c r="T132" s="3">
        <f t="shared" si="88"/>
        <v>0</v>
      </c>
      <c r="U132" s="3">
        <f t="shared" si="88"/>
        <v>0</v>
      </c>
      <c r="V132" s="3">
        <f t="shared" si="88"/>
        <v>0</v>
      </c>
      <c r="W132" s="3">
        <f t="shared" si="88"/>
        <v>0</v>
      </c>
      <c r="X132" s="3">
        <f t="shared" si="88"/>
        <v>0</v>
      </c>
      <c r="Y132" s="3">
        <f t="shared" si="88"/>
        <v>0</v>
      </c>
      <c r="Z132" s="3">
        <f t="shared" si="88"/>
        <v>0</v>
      </c>
      <c r="AA132" s="3">
        <f t="shared" si="88"/>
        <v>1041.8843300000001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18"/>
      <c r="AN132" s="3"/>
      <c r="AO132" s="3"/>
      <c r="AP132" s="633"/>
      <c r="AQ132" s="95"/>
    </row>
    <row r="133" spans="1:43" ht="15.75" x14ac:dyDescent="0.25">
      <c r="A133" s="1160"/>
      <c r="B133" s="42" t="s">
        <v>285</v>
      </c>
      <c r="C133" s="1194"/>
      <c r="D133" s="1194"/>
      <c r="E133" s="1194"/>
      <c r="F133" s="1194"/>
      <c r="G133" s="1194"/>
      <c r="H133" s="1195"/>
      <c r="I133" s="1161"/>
      <c r="J133" s="4"/>
      <c r="K133" s="47"/>
      <c r="L133" s="47"/>
      <c r="M133" s="47"/>
      <c r="N133" s="47"/>
      <c r="O133" s="47"/>
      <c r="P133" s="47">
        <v>508</v>
      </c>
      <c r="Q133" s="47">
        <v>0</v>
      </c>
      <c r="R133" s="47"/>
      <c r="S133" s="47"/>
      <c r="T133" s="47"/>
      <c r="U133" s="47"/>
      <c r="V133" s="47"/>
      <c r="W133" s="47"/>
      <c r="X133" s="47"/>
      <c r="Y133" s="47"/>
      <c r="Z133" s="96"/>
      <c r="AA133" s="47">
        <v>0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"/>
      <c r="AN133" s="47"/>
      <c r="AO133" s="47"/>
      <c r="AP133" s="397"/>
      <c r="AQ133" s="96"/>
    </row>
    <row r="134" spans="1:43" ht="17.25" customHeight="1" x14ac:dyDescent="0.25">
      <c r="A134" s="1160"/>
      <c r="B134" s="42" t="s">
        <v>213</v>
      </c>
      <c r="C134" s="313"/>
      <c r="D134" s="313"/>
      <c r="E134" s="313"/>
      <c r="F134" s="313"/>
      <c r="G134" s="313"/>
      <c r="H134" s="1196"/>
      <c r="I134" s="1161"/>
      <c r="J134" s="1190"/>
      <c r="K134" s="47"/>
      <c r="L134" s="47"/>
      <c r="M134" s="47"/>
      <c r="N134" s="47"/>
      <c r="O134" s="47"/>
      <c r="P134" s="47">
        <v>2312.4299999999998</v>
      </c>
      <c r="Q134" s="47">
        <f>Q135</f>
        <v>441.88432999999998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f>AA135</f>
        <v>1041.8843300000001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397"/>
      <c r="AQ134" s="96"/>
    </row>
    <row r="135" spans="1:43" s="266" customFormat="1" ht="17.25" customHeight="1" x14ac:dyDescent="0.25">
      <c r="A135" s="1211"/>
      <c r="B135" s="252" t="s">
        <v>479</v>
      </c>
      <c r="C135" s="363"/>
      <c r="D135" s="363"/>
      <c r="E135" s="363"/>
      <c r="F135" s="363"/>
      <c r="G135" s="363"/>
      <c r="H135" s="364"/>
      <c r="I135" s="1212"/>
      <c r="J135" s="258"/>
      <c r="K135" s="96"/>
      <c r="L135" s="96"/>
      <c r="M135" s="96"/>
      <c r="N135" s="96"/>
      <c r="O135" s="96"/>
      <c r="P135" s="96"/>
      <c r="Q135" s="96">
        <v>441.88432999999998</v>
      </c>
      <c r="R135" s="96"/>
      <c r="S135" s="96"/>
      <c r="T135" s="96"/>
      <c r="U135" s="96"/>
      <c r="V135" s="96"/>
      <c r="W135" s="96"/>
      <c r="X135" s="96"/>
      <c r="Y135" s="96"/>
      <c r="Z135" s="96"/>
      <c r="AA135" s="96">
        <v>1041.8843300000001</v>
      </c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268"/>
      <c r="AN135" s="96"/>
      <c r="AO135" s="96"/>
      <c r="AP135" s="405"/>
      <c r="AQ135" s="96"/>
    </row>
    <row r="136" spans="1:43" s="327" customFormat="1" ht="31.5" customHeight="1" x14ac:dyDescent="0.25">
      <c r="A136" s="789"/>
      <c r="B136" s="772" t="s">
        <v>406</v>
      </c>
      <c r="C136" s="312"/>
      <c r="D136" s="312"/>
      <c r="E136" s="312"/>
      <c r="F136" s="312"/>
      <c r="G136" s="312"/>
      <c r="H136" s="1174"/>
      <c r="I136" s="1201"/>
      <c r="J136" s="1181"/>
      <c r="K136" s="3"/>
      <c r="L136" s="3"/>
      <c r="M136" s="3"/>
      <c r="N136" s="3"/>
      <c r="O136" s="3"/>
      <c r="P136" s="3">
        <f>SUM(P137:P138)</f>
        <v>2801.43</v>
      </c>
      <c r="Q136" s="3">
        <f t="shared" ref="Q136:AA136" si="89">SUM(Q137:Q138)</f>
        <v>0</v>
      </c>
      <c r="R136" s="3">
        <f t="shared" si="89"/>
        <v>0</v>
      </c>
      <c r="S136" s="3">
        <f t="shared" si="89"/>
        <v>0</v>
      </c>
      <c r="T136" s="3">
        <f t="shared" si="89"/>
        <v>0</v>
      </c>
      <c r="U136" s="3">
        <f t="shared" si="89"/>
        <v>0</v>
      </c>
      <c r="V136" s="3">
        <f t="shared" si="89"/>
        <v>0</v>
      </c>
      <c r="W136" s="3">
        <f t="shared" si="89"/>
        <v>0</v>
      </c>
      <c r="X136" s="3">
        <f t="shared" si="89"/>
        <v>0</v>
      </c>
      <c r="Y136" s="3">
        <f t="shared" si="89"/>
        <v>0</v>
      </c>
      <c r="Z136" s="3">
        <f t="shared" si="89"/>
        <v>0</v>
      </c>
      <c r="AA136" s="3">
        <f t="shared" si="89"/>
        <v>552.02575000000002</v>
      </c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18"/>
      <c r="AN136" s="3"/>
      <c r="AO136" s="3"/>
      <c r="AP136" s="633"/>
      <c r="AQ136" s="95"/>
    </row>
    <row r="137" spans="1:43" ht="15.75" x14ac:dyDescent="0.25">
      <c r="A137" s="1160"/>
      <c r="B137" s="42" t="s">
        <v>285</v>
      </c>
      <c r="C137" s="1194"/>
      <c r="D137" s="1194"/>
      <c r="E137" s="1194"/>
      <c r="F137" s="1194"/>
      <c r="G137" s="1194"/>
      <c r="H137" s="1195"/>
      <c r="I137" s="1161"/>
      <c r="J137" s="4"/>
      <c r="K137" s="47"/>
      <c r="L137" s="47"/>
      <c r="M137" s="47"/>
      <c r="N137" s="47"/>
      <c r="O137" s="47"/>
      <c r="P137" s="47">
        <v>489</v>
      </c>
      <c r="Q137" s="47">
        <v>0</v>
      </c>
      <c r="R137" s="47"/>
      <c r="S137" s="47"/>
      <c r="T137" s="47"/>
      <c r="U137" s="47"/>
      <c r="V137" s="47"/>
      <c r="W137" s="47"/>
      <c r="X137" s="47"/>
      <c r="Y137" s="47"/>
      <c r="Z137" s="96"/>
      <c r="AA137" s="47">
        <v>0</v>
      </c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"/>
      <c r="AN137" s="47"/>
      <c r="AO137" s="47"/>
      <c r="AP137" s="397"/>
      <c r="AQ137" s="96"/>
    </row>
    <row r="138" spans="1:43" ht="17.25" customHeight="1" x14ac:dyDescent="0.25">
      <c r="A138" s="1160"/>
      <c r="B138" s="42" t="s">
        <v>213</v>
      </c>
      <c r="C138" s="313"/>
      <c r="D138" s="313"/>
      <c r="E138" s="313"/>
      <c r="F138" s="313"/>
      <c r="G138" s="313"/>
      <c r="H138" s="1196"/>
      <c r="I138" s="1161"/>
      <c r="J138" s="1190"/>
      <c r="K138" s="47"/>
      <c r="L138" s="47"/>
      <c r="M138" s="47"/>
      <c r="N138" s="47"/>
      <c r="O138" s="47"/>
      <c r="P138" s="47">
        <v>2312.4299999999998</v>
      </c>
      <c r="Q138" s="47">
        <f>Q139</f>
        <v>0</v>
      </c>
      <c r="R138" s="47"/>
      <c r="S138" s="47"/>
      <c r="T138" s="47"/>
      <c r="U138" s="47"/>
      <c r="V138" s="47"/>
      <c r="W138" s="47"/>
      <c r="X138" s="47"/>
      <c r="Y138" s="47"/>
      <c r="Z138" s="96"/>
      <c r="AA138" s="47">
        <f>AA139</f>
        <v>552.02575000000002</v>
      </c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397"/>
      <c r="AQ138" s="96"/>
    </row>
    <row r="139" spans="1:43" s="266" customFormat="1" ht="17.25" customHeight="1" x14ac:dyDescent="0.25">
      <c r="A139" s="1211"/>
      <c r="B139" s="252" t="s">
        <v>473</v>
      </c>
      <c r="C139" s="363"/>
      <c r="D139" s="363"/>
      <c r="E139" s="363"/>
      <c r="F139" s="363"/>
      <c r="G139" s="363"/>
      <c r="H139" s="364"/>
      <c r="I139" s="1212"/>
      <c r="J139" s="258"/>
      <c r="K139" s="96"/>
      <c r="L139" s="96"/>
      <c r="M139" s="96"/>
      <c r="N139" s="96"/>
      <c r="O139" s="96"/>
      <c r="P139" s="96"/>
      <c r="Q139" s="96">
        <v>0</v>
      </c>
      <c r="R139" s="96"/>
      <c r="S139" s="96"/>
      <c r="T139" s="96"/>
      <c r="U139" s="96"/>
      <c r="V139" s="96"/>
      <c r="W139" s="96"/>
      <c r="X139" s="96"/>
      <c r="Y139" s="96"/>
      <c r="Z139" s="96"/>
      <c r="AA139" s="96">
        <v>552.02575000000002</v>
      </c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268"/>
      <c r="AN139" s="96"/>
      <c r="AO139" s="96"/>
      <c r="AP139" s="405"/>
      <c r="AQ139" s="96"/>
    </row>
    <row r="140" spans="1:43" s="327" customFormat="1" ht="30" customHeight="1" x14ac:dyDescent="0.25">
      <c r="A140" s="1372" t="s">
        <v>61</v>
      </c>
      <c r="B140" s="609" t="s">
        <v>88</v>
      </c>
      <c r="C140" s="790"/>
      <c r="D140" s="790"/>
      <c r="E140" s="790"/>
      <c r="F140" s="790"/>
      <c r="G140" s="790"/>
      <c r="H140" s="790"/>
      <c r="I140" s="1463" t="s">
        <v>20</v>
      </c>
      <c r="J140" s="1622">
        <v>4106.3500000000004</v>
      </c>
      <c r="K140" s="3">
        <v>0</v>
      </c>
      <c r="L140" s="3">
        <f>L141+L144</f>
        <v>6022.96</v>
      </c>
      <c r="M140" s="3">
        <f>M141+M144</f>
        <v>0</v>
      </c>
      <c r="N140" s="3">
        <f>N141+N144</f>
        <v>980</v>
      </c>
      <c r="O140" s="3">
        <f>O141+O144</f>
        <v>0</v>
      </c>
      <c r="P140" s="3">
        <f>P141+P144</f>
        <v>420.48</v>
      </c>
      <c r="Q140" s="3">
        <f t="shared" ref="Q140:AO140" si="90">Q141+Q144</f>
        <v>0</v>
      </c>
      <c r="R140" s="3">
        <f t="shared" si="90"/>
        <v>0</v>
      </c>
      <c r="S140" s="3">
        <f t="shared" si="90"/>
        <v>0</v>
      </c>
      <c r="T140" s="3">
        <f t="shared" si="90"/>
        <v>980</v>
      </c>
      <c r="U140" s="3">
        <f t="shared" si="90"/>
        <v>980</v>
      </c>
      <c r="V140" s="3">
        <f t="shared" si="90"/>
        <v>0</v>
      </c>
      <c r="W140" s="3">
        <f t="shared" si="90"/>
        <v>0</v>
      </c>
      <c r="X140" s="3">
        <f t="shared" si="90"/>
        <v>0</v>
      </c>
      <c r="Y140" s="3">
        <f t="shared" si="90"/>
        <v>0</v>
      </c>
      <c r="Z140" s="95">
        <v>0</v>
      </c>
      <c r="AA140" s="3">
        <f t="shared" si="90"/>
        <v>0</v>
      </c>
      <c r="AB140" s="3">
        <f>AB141+AB144</f>
        <v>0</v>
      </c>
      <c r="AC140" s="3">
        <f>AC141+AC144</f>
        <v>0</v>
      </c>
      <c r="AD140" s="3">
        <f>AD141+AD144</f>
        <v>0</v>
      </c>
      <c r="AE140" s="3">
        <f>AE141+AE144</f>
        <v>0</v>
      </c>
      <c r="AF140" s="3">
        <f t="shared" si="90"/>
        <v>0</v>
      </c>
      <c r="AG140" s="3">
        <f t="shared" si="90"/>
        <v>0</v>
      </c>
      <c r="AH140" s="3">
        <f t="shared" si="90"/>
        <v>0</v>
      </c>
      <c r="AI140" s="3">
        <f t="shared" si="90"/>
        <v>0</v>
      </c>
      <c r="AJ140" s="3">
        <f t="shared" si="90"/>
        <v>0</v>
      </c>
      <c r="AK140" s="3">
        <f>P140-Q140</f>
        <v>420.48</v>
      </c>
      <c r="AL140" s="3">
        <f>AK140</f>
        <v>420.48</v>
      </c>
      <c r="AM140" s="318">
        <f>ROUND((Q140*100%/P140*100),2)</f>
        <v>0</v>
      </c>
      <c r="AN140" s="3">
        <f t="shared" si="90"/>
        <v>0</v>
      </c>
      <c r="AO140" s="3">
        <f t="shared" si="90"/>
        <v>0</v>
      </c>
      <c r="AP140" s="633" t="s">
        <v>256</v>
      </c>
      <c r="AQ140" s="95">
        <v>0</v>
      </c>
    </row>
    <row r="141" spans="1:43" x14ac:dyDescent="0.25">
      <c r="A141" s="1382"/>
      <c r="B141" s="23" t="s">
        <v>15</v>
      </c>
      <c r="C141" s="46"/>
      <c r="D141" s="46"/>
      <c r="E141" s="46"/>
      <c r="F141" s="46"/>
      <c r="G141" s="1163">
        <v>2019</v>
      </c>
      <c r="H141" s="1163">
        <v>2019</v>
      </c>
      <c r="I141" s="1464"/>
      <c r="J141" s="1623"/>
      <c r="K141" s="47"/>
      <c r="L141" s="47">
        <v>1000</v>
      </c>
      <c r="M141" s="47">
        <v>0</v>
      </c>
      <c r="N141" s="47">
        <v>980</v>
      </c>
      <c r="O141" s="47">
        <v>0</v>
      </c>
      <c r="P141" s="47">
        <v>0</v>
      </c>
      <c r="Q141" s="47">
        <v>0</v>
      </c>
      <c r="R141" s="47">
        <f t="shared" ref="R141:AA141" si="91">R142+R143</f>
        <v>0</v>
      </c>
      <c r="S141" s="47">
        <f t="shared" si="91"/>
        <v>0</v>
      </c>
      <c r="T141" s="47">
        <f t="shared" si="91"/>
        <v>980</v>
      </c>
      <c r="U141" s="47">
        <f t="shared" si="91"/>
        <v>980</v>
      </c>
      <c r="V141" s="47">
        <f t="shared" si="91"/>
        <v>0</v>
      </c>
      <c r="W141" s="47">
        <f t="shared" si="91"/>
        <v>0</v>
      </c>
      <c r="X141" s="47">
        <f t="shared" si="91"/>
        <v>0</v>
      </c>
      <c r="Y141" s="47">
        <f t="shared" si="91"/>
        <v>0</v>
      </c>
      <c r="Z141" s="96"/>
      <c r="AA141" s="47">
        <f t="shared" si="91"/>
        <v>0</v>
      </c>
      <c r="AB141" s="47">
        <f>AB142+AB143</f>
        <v>0</v>
      </c>
      <c r="AC141" s="47">
        <f>AC142+AC143</f>
        <v>0</v>
      </c>
      <c r="AD141" s="47">
        <f>AD142+AD143</f>
        <v>0</v>
      </c>
      <c r="AE141" s="47">
        <f>AE142+AE143</f>
        <v>0</v>
      </c>
      <c r="AF141" s="47">
        <v>0</v>
      </c>
      <c r="AG141" s="47">
        <v>0</v>
      </c>
      <c r="AH141" s="47">
        <v>0</v>
      </c>
      <c r="AI141" s="47">
        <v>0</v>
      </c>
      <c r="AJ141" s="47">
        <v>0</v>
      </c>
      <c r="AK141" s="47">
        <v>0</v>
      </c>
      <c r="AL141" s="47">
        <v>0</v>
      </c>
      <c r="AM141" s="47">
        <v>0</v>
      </c>
      <c r="AN141" s="47">
        <v>0</v>
      </c>
      <c r="AO141" s="47">
        <v>0</v>
      </c>
      <c r="AP141" s="397"/>
      <c r="AQ141" s="96"/>
    </row>
    <row r="142" spans="1:43" s="266" customFormat="1" hidden="1" x14ac:dyDescent="0.25">
      <c r="A142" s="1382"/>
      <c r="B142" s="443" t="s">
        <v>251</v>
      </c>
      <c r="C142" s="444"/>
      <c r="D142" s="444"/>
      <c r="E142" s="444"/>
      <c r="F142" s="444"/>
      <c r="G142" s="262"/>
      <c r="H142" s="262"/>
      <c r="I142" s="1464"/>
      <c r="J142" s="1623"/>
      <c r="K142" s="96"/>
      <c r="L142" s="96"/>
      <c r="M142" s="96"/>
      <c r="N142" s="96"/>
      <c r="O142" s="96"/>
      <c r="P142" s="96">
        <v>0</v>
      </c>
      <c r="Q142" s="96">
        <f>S142+U142</f>
        <v>980</v>
      </c>
      <c r="R142" s="96">
        <v>0</v>
      </c>
      <c r="S142" s="96">
        <v>0</v>
      </c>
      <c r="T142" s="96">
        <f>U142</f>
        <v>980</v>
      </c>
      <c r="U142" s="96">
        <v>980</v>
      </c>
      <c r="V142" s="96"/>
      <c r="W142" s="96"/>
      <c r="X142" s="96"/>
      <c r="Y142" s="96"/>
      <c r="Z142" s="96"/>
      <c r="AA142" s="96">
        <f>AB142</f>
        <v>0</v>
      </c>
      <c r="AB142" s="96">
        <v>0</v>
      </c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405"/>
      <c r="AQ142" s="96"/>
    </row>
    <row r="143" spans="1:43" s="266" customFormat="1" hidden="1" x14ac:dyDescent="0.25">
      <c r="A143" s="1382"/>
      <c r="B143" s="443" t="s">
        <v>252</v>
      </c>
      <c r="C143" s="444"/>
      <c r="D143" s="444"/>
      <c r="E143" s="444"/>
      <c r="F143" s="444"/>
      <c r="G143" s="262"/>
      <c r="H143" s="262"/>
      <c r="I143" s="1464"/>
      <c r="J143" s="1623"/>
      <c r="K143" s="96"/>
      <c r="L143" s="96"/>
      <c r="M143" s="96"/>
      <c r="N143" s="96"/>
      <c r="O143" s="96"/>
      <c r="P143" s="96"/>
      <c r="Q143" s="96">
        <f>S143</f>
        <v>0</v>
      </c>
      <c r="R143" s="96">
        <f>S143</f>
        <v>0</v>
      </c>
      <c r="S143" s="96">
        <v>0</v>
      </c>
      <c r="T143" s="96"/>
      <c r="U143" s="96"/>
      <c r="V143" s="96"/>
      <c r="W143" s="96"/>
      <c r="X143" s="96"/>
      <c r="Y143" s="96"/>
      <c r="Z143" s="96"/>
      <c r="AA143" s="96">
        <f>AB143</f>
        <v>0</v>
      </c>
      <c r="AB143" s="96">
        <v>0</v>
      </c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405"/>
      <c r="AQ143" s="96"/>
    </row>
    <row r="144" spans="1:43" x14ac:dyDescent="0.25">
      <c r="A144" s="1383"/>
      <c r="B144" s="23" t="s">
        <v>16</v>
      </c>
      <c r="C144" s="46"/>
      <c r="D144" s="46"/>
      <c r="E144" s="46"/>
      <c r="F144" s="46"/>
      <c r="G144" s="1163">
        <v>2020</v>
      </c>
      <c r="H144" s="1163">
        <v>2021</v>
      </c>
      <c r="I144" s="1465"/>
      <c r="J144" s="1624"/>
      <c r="K144" s="47"/>
      <c r="L144" s="47">
        <v>5022.96</v>
      </c>
      <c r="M144" s="47">
        <v>0</v>
      </c>
      <c r="N144" s="47">
        <v>0</v>
      </c>
      <c r="O144" s="47">
        <v>0</v>
      </c>
      <c r="P144" s="47">
        <v>420.48</v>
      </c>
      <c r="Q144" s="47">
        <v>0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47">
        <v>0</v>
      </c>
      <c r="X144" s="96">
        <v>0</v>
      </c>
      <c r="Y144" s="96">
        <v>0</v>
      </c>
      <c r="Z144" s="96"/>
      <c r="AA144" s="47">
        <v>0</v>
      </c>
      <c r="AB144" s="47">
        <v>0</v>
      </c>
      <c r="AC144" s="47">
        <v>0</v>
      </c>
      <c r="AD144" s="47">
        <v>0</v>
      </c>
      <c r="AE144" s="47"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397"/>
      <c r="AQ144" s="96"/>
    </row>
    <row r="145" spans="1:43" s="327" customFormat="1" ht="30" customHeight="1" x14ac:dyDescent="0.25">
      <c r="A145" s="1372" t="s">
        <v>61</v>
      </c>
      <c r="B145" s="609" t="s">
        <v>407</v>
      </c>
      <c r="C145" s="790"/>
      <c r="D145" s="790"/>
      <c r="E145" s="790"/>
      <c r="F145" s="790"/>
      <c r="G145" s="790"/>
      <c r="H145" s="790"/>
      <c r="I145" s="1463" t="s">
        <v>20</v>
      </c>
      <c r="J145" s="1622">
        <v>4106.3500000000004</v>
      </c>
      <c r="K145" s="3">
        <v>0</v>
      </c>
      <c r="L145" s="3">
        <f>L146+L149</f>
        <v>6022.96</v>
      </c>
      <c r="M145" s="3">
        <f>M146+M149</f>
        <v>0</v>
      </c>
      <c r="N145" s="3">
        <f>N146+N149</f>
        <v>980</v>
      </c>
      <c r="O145" s="3">
        <f>O146+O149</f>
        <v>0</v>
      </c>
      <c r="P145" s="3">
        <f>P146+P149</f>
        <v>1281.25</v>
      </c>
      <c r="Q145" s="3">
        <f t="shared" ref="Q145:Y145" si="92">Q146+Q149</f>
        <v>0</v>
      </c>
      <c r="R145" s="3">
        <f t="shared" si="92"/>
        <v>0</v>
      </c>
      <c r="S145" s="3">
        <f t="shared" si="92"/>
        <v>0</v>
      </c>
      <c r="T145" s="3">
        <f t="shared" si="92"/>
        <v>980</v>
      </c>
      <c r="U145" s="3">
        <f t="shared" si="92"/>
        <v>980</v>
      </c>
      <c r="V145" s="3">
        <f t="shared" si="92"/>
        <v>0</v>
      </c>
      <c r="W145" s="3">
        <f t="shared" si="92"/>
        <v>0</v>
      </c>
      <c r="X145" s="3">
        <f t="shared" si="92"/>
        <v>0</v>
      </c>
      <c r="Y145" s="3">
        <f t="shared" si="92"/>
        <v>0</v>
      </c>
      <c r="Z145" s="95">
        <v>0</v>
      </c>
      <c r="AA145" s="3">
        <f t="shared" ref="AA145" si="93">AA146+AA149</f>
        <v>0</v>
      </c>
      <c r="AB145" s="3">
        <f>AB146+AB149</f>
        <v>0</v>
      </c>
      <c r="AC145" s="3">
        <f>AC146+AC149</f>
        <v>0</v>
      </c>
      <c r="AD145" s="3">
        <f>AD146+AD149</f>
        <v>0</v>
      </c>
      <c r="AE145" s="3">
        <f>AE146+AE149</f>
        <v>0</v>
      </c>
      <c r="AF145" s="3">
        <f t="shared" ref="AF145:AJ145" si="94">AF146+AF149</f>
        <v>0</v>
      </c>
      <c r="AG145" s="3">
        <f t="shared" si="94"/>
        <v>0</v>
      </c>
      <c r="AH145" s="3">
        <f t="shared" si="94"/>
        <v>0</v>
      </c>
      <c r="AI145" s="3">
        <f t="shared" si="94"/>
        <v>0</v>
      </c>
      <c r="AJ145" s="3">
        <f t="shared" si="94"/>
        <v>0</v>
      </c>
      <c r="AK145" s="3">
        <f>P145-Q145</f>
        <v>1281.25</v>
      </c>
      <c r="AL145" s="3">
        <f>AK145</f>
        <v>1281.25</v>
      </c>
      <c r="AM145" s="318">
        <f>ROUND((Q145*100%/P145*100),2)</f>
        <v>0</v>
      </c>
      <c r="AN145" s="3">
        <f t="shared" ref="AN145:AO145" si="95">AN146+AN149</f>
        <v>0</v>
      </c>
      <c r="AO145" s="3">
        <f t="shared" si="95"/>
        <v>0</v>
      </c>
      <c r="AP145" s="633" t="s">
        <v>256</v>
      </c>
      <c r="AQ145" s="95">
        <v>0</v>
      </c>
    </row>
    <row r="146" spans="1:43" x14ac:dyDescent="0.25">
      <c r="A146" s="1382"/>
      <c r="B146" s="23" t="s">
        <v>15</v>
      </c>
      <c r="C146" s="46"/>
      <c r="D146" s="46"/>
      <c r="E146" s="46"/>
      <c r="F146" s="46"/>
      <c r="G146" s="1163">
        <v>2019</v>
      </c>
      <c r="H146" s="1163">
        <v>2019</v>
      </c>
      <c r="I146" s="1464"/>
      <c r="J146" s="1623"/>
      <c r="K146" s="47"/>
      <c r="L146" s="47">
        <v>1000</v>
      </c>
      <c r="M146" s="47">
        <v>0</v>
      </c>
      <c r="N146" s="47">
        <v>980</v>
      </c>
      <c r="O146" s="47">
        <v>0</v>
      </c>
      <c r="P146" s="47">
        <v>377.91</v>
      </c>
      <c r="Q146" s="47">
        <v>0</v>
      </c>
      <c r="R146" s="47">
        <f t="shared" ref="R146:Y146" si="96">R147+R148</f>
        <v>0</v>
      </c>
      <c r="S146" s="47">
        <f t="shared" si="96"/>
        <v>0</v>
      </c>
      <c r="T146" s="47">
        <f t="shared" si="96"/>
        <v>980</v>
      </c>
      <c r="U146" s="47">
        <f t="shared" si="96"/>
        <v>980</v>
      </c>
      <c r="V146" s="47">
        <f t="shared" si="96"/>
        <v>0</v>
      </c>
      <c r="W146" s="47">
        <f t="shared" si="96"/>
        <v>0</v>
      </c>
      <c r="X146" s="47">
        <f t="shared" si="96"/>
        <v>0</v>
      </c>
      <c r="Y146" s="47">
        <f t="shared" si="96"/>
        <v>0</v>
      </c>
      <c r="Z146" s="96"/>
      <c r="AA146" s="47">
        <f t="shared" ref="AA146" si="97">AA147+AA148</f>
        <v>0</v>
      </c>
      <c r="AB146" s="47">
        <f>AB147+AB148</f>
        <v>0</v>
      </c>
      <c r="AC146" s="47">
        <f>AC147+AC148</f>
        <v>0</v>
      </c>
      <c r="AD146" s="47">
        <f>AD147+AD148</f>
        <v>0</v>
      </c>
      <c r="AE146" s="47">
        <f>AE147+AE148</f>
        <v>0</v>
      </c>
      <c r="AF146" s="47">
        <v>0</v>
      </c>
      <c r="AG146" s="47">
        <v>0</v>
      </c>
      <c r="AH146" s="47">
        <v>0</v>
      </c>
      <c r="AI146" s="47">
        <v>0</v>
      </c>
      <c r="AJ146" s="47">
        <v>0</v>
      </c>
      <c r="AK146" s="47">
        <v>0</v>
      </c>
      <c r="AL146" s="47">
        <v>0</v>
      </c>
      <c r="AM146" s="47">
        <v>0</v>
      </c>
      <c r="AN146" s="47">
        <v>0</v>
      </c>
      <c r="AO146" s="47">
        <v>0</v>
      </c>
      <c r="AP146" s="397"/>
      <c r="AQ146" s="96"/>
    </row>
    <row r="147" spans="1:43" s="266" customFormat="1" hidden="1" x14ac:dyDescent="0.25">
      <c r="A147" s="1382"/>
      <c r="B147" s="443" t="s">
        <v>251</v>
      </c>
      <c r="C147" s="444"/>
      <c r="D147" s="444"/>
      <c r="E147" s="444"/>
      <c r="F147" s="444"/>
      <c r="G147" s="262"/>
      <c r="H147" s="262"/>
      <c r="I147" s="1464"/>
      <c r="J147" s="1623"/>
      <c r="K147" s="96"/>
      <c r="L147" s="96"/>
      <c r="M147" s="96"/>
      <c r="N147" s="96"/>
      <c r="O147" s="96"/>
      <c r="P147" s="96">
        <v>0</v>
      </c>
      <c r="Q147" s="96">
        <f>S147+U147</f>
        <v>980</v>
      </c>
      <c r="R147" s="96">
        <v>0</v>
      </c>
      <c r="S147" s="96">
        <v>0</v>
      </c>
      <c r="T147" s="96">
        <f>U147</f>
        <v>980</v>
      </c>
      <c r="U147" s="96">
        <v>980</v>
      </c>
      <c r="V147" s="96"/>
      <c r="W147" s="96"/>
      <c r="X147" s="96"/>
      <c r="Y147" s="96"/>
      <c r="Z147" s="96"/>
      <c r="AA147" s="96">
        <f>AB147</f>
        <v>0</v>
      </c>
      <c r="AB147" s="96">
        <v>0</v>
      </c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405"/>
      <c r="AQ147" s="96"/>
    </row>
    <row r="148" spans="1:43" s="266" customFormat="1" hidden="1" x14ac:dyDescent="0.25">
      <c r="A148" s="1382"/>
      <c r="B148" s="443" t="s">
        <v>252</v>
      </c>
      <c r="C148" s="444"/>
      <c r="D148" s="444"/>
      <c r="E148" s="444"/>
      <c r="F148" s="444"/>
      <c r="G148" s="262"/>
      <c r="H148" s="262"/>
      <c r="I148" s="1464"/>
      <c r="J148" s="1623"/>
      <c r="K148" s="96"/>
      <c r="L148" s="96"/>
      <c r="M148" s="96"/>
      <c r="N148" s="96"/>
      <c r="O148" s="96"/>
      <c r="P148" s="96"/>
      <c r="Q148" s="96">
        <f>S148</f>
        <v>0</v>
      </c>
      <c r="R148" s="96">
        <f>S148</f>
        <v>0</v>
      </c>
      <c r="S148" s="96">
        <v>0</v>
      </c>
      <c r="T148" s="96"/>
      <c r="U148" s="96"/>
      <c r="V148" s="96"/>
      <c r="W148" s="96"/>
      <c r="X148" s="96"/>
      <c r="Y148" s="96"/>
      <c r="Z148" s="96"/>
      <c r="AA148" s="96">
        <f>AB148</f>
        <v>0</v>
      </c>
      <c r="AB148" s="96">
        <v>0</v>
      </c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405"/>
      <c r="AQ148" s="96"/>
    </row>
    <row r="149" spans="1:43" x14ac:dyDescent="0.25">
      <c r="A149" s="1383"/>
      <c r="B149" s="23" t="s">
        <v>16</v>
      </c>
      <c r="C149" s="46"/>
      <c r="D149" s="46"/>
      <c r="E149" s="46"/>
      <c r="F149" s="46"/>
      <c r="G149" s="1163">
        <v>2020</v>
      </c>
      <c r="H149" s="1163">
        <v>2021</v>
      </c>
      <c r="I149" s="1465"/>
      <c r="J149" s="1624"/>
      <c r="K149" s="47"/>
      <c r="L149" s="47">
        <v>5022.96</v>
      </c>
      <c r="M149" s="47">
        <v>0</v>
      </c>
      <c r="N149" s="47">
        <v>0</v>
      </c>
      <c r="O149" s="47">
        <v>0</v>
      </c>
      <c r="P149" s="47">
        <v>903.34</v>
      </c>
      <c r="Q149" s="47">
        <v>0</v>
      </c>
      <c r="R149" s="47">
        <v>0</v>
      </c>
      <c r="S149" s="47">
        <v>0</v>
      </c>
      <c r="T149" s="47">
        <v>0</v>
      </c>
      <c r="U149" s="47">
        <v>0</v>
      </c>
      <c r="V149" s="47">
        <v>0</v>
      </c>
      <c r="W149" s="47">
        <v>0</v>
      </c>
      <c r="X149" s="96">
        <v>0</v>
      </c>
      <c r="Y149" s="96">
        <v>0</v>
      </c>
      <c r="Z149" s="96"/>
      <c r="AA149" s="47">
        <v>0</v>
      </c>
      <c r="AB149" s="47">
        <v>0</v>
      </c>
      <c r="AC149" s="47">
        <v>0</v>
      </c>
      <c r="AD149" s="47">
        <v>0</v>
      </c>
      <c r="AE149" s="47"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397"/>
      <c r="AQ149" s="96"/>
    </row>
    <row r="150" spans="1:43" s="327" customFormat="1" ht="30" customHeight="1" x14ac:dyDescent="0.25">
      <c r="A150" s="1372" t="s">
        <v>61</v>
      </c>
      <c r="B150" s="609" t="s">
        <v>408</v>
      </c>
      <c r="C150" s="790"/>
      <c r="D150" s="790"/>
      <c r="E150" s="790"/>
      <c r="F150" s="790"/>
      <c r="G150" s="790"/>
      <c r="H150" s="790"/>
      <c r="I150" s="1463" t="s">
        <v>20</v>
      </c>
      <c r="J150" s="1622">
        <v>4106.3500000000004</v>
      </c>
      <c r="K150" s="3">
        <v>0</v>
      </c>
      <c r="L150" s="3">
        <f>L151+L154</f>
        <v>6022.96</v>
      </c>
      <c r="M150" s="3">
        <f>M151+M154</f>
        <v>0</v>
      </c>
      <c r="N150" s="3">
        <f>N151+N154</f>
        <v>980</v>
      </c>
      <c r="O150" s="3">
        <f>O151+O154</f>
        <v>0</v>
      </c>
      <c r="P150" s="3">
        <f>P151+P154</f>
        <v>1281.2539999999999</v>
      </c>
      <c r="Q150" s="3">
        <f t="shared" ref="Q150:Y150" si="98">Q151+Q154</f>
        <v>0</v>
      </c>
      <c r="R150" s="3">
        <f t="shared" si="98"/>
        <v>0</v>
      </c>
      <c r="S150" s="3">
        <f t="shared" si="98"/>
        <v>0</v>
      </c>
      <c r="T150" s="3">
        <f t="shared" si="98"/>
        <v>980</v>
      </c>
      <c r="U150" s="3">
        <f t="shared" si="98"/>
        <v>980</v>
      </c>
      <c r="V150" s="3">
        <f t="shared" si="98"/>
        <v>0</v>
      </c>
      <c r="W150" s="3">
        <f t="shared" si="98"/>
        <v>0</v>
      </c>
      <c r="X150" s="3">
        <f t="shared" si="98"/>
        <v>0</v>
      </c>
      <c r="Y150" s="3">
        <f t="shared" si="98"/>
        <v>0</v>
      </c>
      <c r="Z150" s="95">
        <v>0</v>
      </c>
      <c r="AA150" s="3">
        <f t="shared" ref="AA150" si="99">AA151+AA154</f>
        <v>0</v>
      </c>
      <c r="AB150" s="3">
        <f>AB151+AB154</f>
        <v>0</v>
      </c>
      <c r="AC150" s="3">
        <f>AC151+AC154</f>
        <v>0</v>
      </c>
      <c r="AD150" s="3">
        <f>AD151+AD154</f>
        <v>0</v>
      </c>
      <c r="AE150" s="3">
        <f>AE151+AE154</f>
        <v>0</v>
      </c>
      <c r="AF150" s="3">
        <f t="shared" ref="AF150:AJ150" si="100">AF151+AF154</f>
        <v>0</v>
      </c>
      <c r="AG150" s="3">
        <f t="shared" si="100"/>
        <v>0</v>
      </c>
      <c r="AH150" s="3">
        <f t="shared" si="100"/>
        <v>0</v>
      </c>
      <c r="AI150" s="3">
        <f t="shared" si="100"/>
        <v>0</v>
      </c>
      <c r="AJ150" s="3">
        <f t="shared" si="100"/>
        <v>0</v>
      </c>
      <c r="AK150" s="3">
        <f>P150-Q150</f>
        <v>1281.2539999999999</v>
      </c>
      <c r="AL150" s="3">
        <f>AK150</f>
        <v>1281.2539999999999</v>
      </c>
      <c r="AM150" s="318">
        <f>ROUND((Q150*100%/P150*100),2)</f>
        <v>0</v>
      </c>
      <c r="AN150" s="3">
        <f t="shared" ref="AN150:AO150" si="101">AN151+AN154</f>
        <v>0</v>
      </c>
      <c r="AO150" s="3">
        <f t="shared" si="101"/>
        <v>0</v>
      </c>
      <c r="AP150" s="633" t="s">
        <v>256</v>
      </c>
      <c r="AQ150" s="95">
        <v>0</v>
      </c>
    </row>
    <row r="151" spans="1:43" x14ac:dyDescent="0.25">
      <c r="A151" s="1382"/>
      <c r="B151" s="23" t="s">
        <v>15</v>
      </c>
      <c r="C151" s="46"/>
      <c r="D151" s="46"/>
      <c r="E151" s="46"/>
      <c r="F151" s="46"/>
      <c r="G151" s="1163">
        <v>2019</v>
      </c>
      <c r="H151" s="1163">
        <v>2019</v>
      </c>
      <c r="I151" s="1464"/>
      <c r="J151" s="1623"/>
      <c r="K151" s="47"/>
      <c r="L151" s="47">
        <v>1000</v>
      </c>
      <c r="M151" s="47">
        <v>0</v>
      </c>
      <c r="N151" s="47">
        <v>980</v>
      </c>
      <c r="O151" s="47">
        <v>0</v>
      </c>
      <c r="P151" s="47">
        <v>377.91399999999999</v>
      </c>
      <c r="Q151" s="47">
        <v>0</v>
      </c>
      <c r="R151" s="47">
        <f t="shared" ref="R151:Y151" si="102">R152+R153</f>
        <v>0</v>
      </c>
      <c r="S151" s="47">
        <f t="shared" si="102"/>
        <v>0</v>
      </c>
      <c r="T151" s="47">
        <f t="shared" si="102"/>
        <v>980</v>
      </c>
      <c r="U151" s="47">
        <f t="shared" si="102"/>
        <v>980</v>
      </c>
      <c r="V151" s="47">
        <f t="shared" si="102"/>
        <v>0</v>
      </c>
      <c r="W151" s="47">
        <f t="shared" si="102"/>
        <v>0</v>
      </c>
      <c r="X151" s="47">
        <f t="shared" si="102"/>
        <v>0</v>
      </c>
      <c r="Y151" s="47">
        <f t="shared" si="102"/>
        <v>0</v>
      </c>
      <c r="Z151" s="96"/>
      <c r="AA151" s="47">
        <f t="shared" ref="AA151" si="103">AA152+AA153</f>
        <v>0</v>
      </c>
      <c r="AB151" s="47">
        <f>AB152+AB153</f>
        <v>0</v>
      </c>
      <c r="AC151" s="47">
        <f>AC152+AC153</f>
        <v>0</v>
      </c>
      <c r="AD151" s="47">
        <f>AD152+AD153</f>
        <v>0</v>
      </c>
      <c r="AE151" s="47">
        <f>AE152+AE153</f>
        <v>0</v>
      </c>
      <c r="AF151" s="47">
        <v>0</v>
      </c>
      <c r="AG151" s="47">
        <v>0</v>
      </c>
      <c r="AH151" s="47">
        <v>0</v>
      </c>
      <c r="AI151" s="47">
        <v>0</v>
      </c>
      <c r="AJ151" s="47">
        <v>0</v>
      </c>
      <c r="AK151" s="47">
        <v>0</v>
      </c>
      <c r="AL151" s="47">
        <v>0</v>
      </c>
      <c r="AM151" s="47">
        <v>0</v>
      </c>
      <c r="AN151" s="47">
        <v>0</v>
      </c>
      <c r="AO151" s="47">
        <v>0</v>
      </c>
      <c r="AP151" s="397"/>
      <c r="AQ151" s="96"/>
    </row>
    <row r="152" spans="1:43" s="266" customFormat="1" hidden="1" x14ac:dyDescent="0.25">
      <c r="A152" s="1382"/>
      <c r="B152" s="443" t="s">
        <v>251</v>
      </c>
      <c r="C152" s="444"/>
      <c r="D152" s="444"/>
      <c r="E152" s="444"/>
      <c r="F152" s="444"/>
      <c r="G152" s="262"/>
      <c r="H152" s="262"/>
      <c r="I152" s="1464"/>
      <c r="J152" s="1623"/>
      <c r="K152" s="96"/>
      <c r="L152" s="96"/>
      <c r="M152" s="96"/>
      <c r="N152" s="96"/>
      <c r="O152" s="96"/>
      <c r="P152" s="96">
        <v>0</v>
      </c>
      <c r="Q152" s="96">
        <f>S152+U152</f>
        <v>980</v>
      </c>
      <c r="R152" s="96">
        <v>0</v>
      </c>
      <c r="S152" s="96">
        <v>0</v>
      </c>
      <c r="T152" s="96">
        <f>U152</f>
        <v>980</v>
      </c>
      <c r="U152" s="96">
        <v>980</v>
      </c>
      <c r="V152" s="96"/>
      <c r="W152" s="96"/>
      <c r="X152" s="96"/>
      <c r="Y152" s="96"/>
      <c r="Z152" s="96"/>
      <c r="AA152" s="96">
        <f>AB152</f>
        <v>0</v>
      </c>
      <c r="AB152" s="96">
        <v>0</v>
      </c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405"/>
      <c r="AQ152" s="96"/>
    </row>
    <row r="153" spans="1:43" s="266" customFormat="1" hidden="1" x14ac:dyDescent="0.25">
      <c r="A153" s="1382"/>
      <c r="B153" s="443" t="s">
        <v>252</v>
      </c>
      <c r="C153" s="444"/>
      <c r="D153" s="444"/>
      <c r="E153" s="444"/>
      <c r="F153" s="444"/>
      <c r="G153" s="262"/>
      <c r="H153" s="262"/>
      <c r="I153" s="1464"/>
      <c r="J153" s="1623"/>
      <c r="K153" s="96"/>
      <c r="L153" s="96"/>
      <c r="M153" s="96"/>
      <c r="N153" s="96"/>
      <c r="O153" s="96"/>
      <c r="P153" s="96"/>
      <c r="Q153" s="96">
        <f>S153</f>
        <v>0</v>
      </c>
      <c r="R153" s="96">
        <f>S153</f>
        <v>0</v>
      </c>
      <c r="S153" s="96">
        <v>0</v>
      </c>
      <c r="T153" s="96"/>
      <c r="U153" s="96"/>
      <c r="V153" s="96"/>
      <c r="W153" s="96"/>
      <c r="X153" s="96"/>
      <c r="Y153" s="96"/>
      <c r="Z153" s="96"/>
      <c r="AA153" s="96">
        <f>AB153</f>
        <v>0</v>
      </c>
      <c r="AB153" s="96">
        <v>0</v>
      </c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405"/>
      <c r="AQ153" s="96"/>
    </row>
    <row r="154" spans="1:43" x14ac:dyDescent="0.25">
      <c r="A154" s="1383"/>
      <c r="B154" s="23" t="s">
        <v>16</v>
      </c>
      <c r="C154" s="46"/>
      <c r="D154" s="46"/>
      <c r="E154" s="46"/>
      <c r="F154" s="46"/>
      <c r="G154" s="1163">
        <v>2020</v>
      </c>
      <c r="H154" s="1163">
        <v>2021</v>
      </c>
      <c r="I154" s="1465"/>
      <c r="J154" s="1624"/>
      <c r="K154" s="47"/>
      <c r="L154" s="47">
        <v>5022.96</v>
      </c>
      <c r="M154" s="47">
        <v>0</v>
      </c>
      <c r="N154" s="47">
        <v>0</v>
      </c>
      <c r="O154" s="47">
        <v>0</v>
      </c>
      <c r="P154" s="47">
        <v>903.34</v>
      </c>
      <c r="Q154" s="47">
        <v>0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47">
        <v>0</v>
      </c>
      <c r="X154" s="96">
        <v>0</v>
      </c>
      <c r="Y154" s="96">
        <v>0</v>
      </c>
      <c r="Z154" s="96"/>
      <c r="AA154" s="47">
        <v>0</v>
      </c>
      <c r="AB154" s="47">
        <v>0</v>
      </c>
      <c r="AC154" s="47">
        <v>0</v>
      </c>
      <c r="AD154" s="47">
        <v>0</v>
      </c>
      <c r="AE154" s="47">
        <v>0</v>
      </c>
      <c r="AF154" s="47">
        <v>0</v>
      </c>
      <c r="AG154" s="47">
        <v>0</v>
      </c>
      <c r="AH154" s="47">
        <v>0</v>
      </c>
      <c r="AI154" s="47">
        <v>0</v>
      </c>
      <c r="AJ154" s="47">
        <v>0</v>
      </c>
      <c r="AK154" s="47">
        <v>0</v>
      </c>
      <c r="AL154" s="47">
        <v>0</v>
      </c>
      <c r="AM154" s="47">
        <v>0</v>
      </c>
      <c r="AN154" s="47">
        <v>0</v>
      </c>
      <c r="AO154" s="47">
        <v>0</v>
      </c>
      <c r="AP154" s="397"/>
      <c r="AQ154" s="96"/>
    </row>
    <row r="155" spans="1:43" ht="15.75" x14ac:dyDescent="0.25">
      <c r="A155" s="1167"/>
      <c r="B155" s="791"/>
      <c r="C155" s="792"/>
      <c r="D155" s="792"/>
      <c r="E155" s="792"/>
      <c r="F155" s="792"/>
      <c r="G155" s="313"/>
      <c r="H155" s="313"/>
      <c r="I155" s="793"/>
      <c r="J155" s="794"/>
      <c r="K155" s="795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7"/>
      <c r="Y155" s="797"/>
      <c r="Z155" s="797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8"/>
      <c r="AQ155" s="797"/>
    </row>
    <row r="156" spans="1:43" s="925" customFormat="1" ht="15.75" x14ac:dyDescent="0.25">
      <c r="A156" s="929" t="s">
        <v>13</v>
      </c>
      <c r="B156" s="926"/>
      <c r="C156" s="927"/>
      <c r="D156" s="927"/>
      <c r="E156" s="927"/>
      <c r="F156" s="927"/>
      <c r="G156" s="927"/>
      <c r="H156" s="927"/>
      <c r="I156" s="927"/>
      <c r="J156" s="927"/>
      <c r="K156" s="927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  <c r="Z156" s="928"/>
      <c r="AA156" s="928"/>
      <c r="AB156" s="928"/>
      <c r="AC156" s="928"/>
      <c r="AD156" s="928"/>
      <c r="AE156" s="928"/>
      <c r="AF156" s="928"/>
      <c r="AG156" s="928"/>
      <c r="AH156" s="928"/>
      <c r="AI156" s="928"/>
      <c r="AJ156" s="928"/>
      <c r="AK156" s="928"/>
      <c r="AL156" s="928"/>
      <c r="AM156" s="928"/>
      <c r="AN156" s="928"/>
      <c r="AO156" s="928"/>
      <c r="AP156" s="930"/>
      <c r="AQ156" s="928"/>
    </row>
    <row r="157" spans="1:43" s="934" customFormat="1" ht="18" customHeight="1" x14ac:dyDescent="0.2">
      <c r="A157" s="1604" t="s">
        <v>443</v>
      </c>
      <c r="B157" s="1605"/>
      <c r="C157" s="1605"/>
      <c r="D157" s="1605"/>
      <c r="E157" s="1605"/>
      <c r="F157" s="1605"/>
      <c r="G157" s="1605"/>
      <c r="H157" s="1606"/>
      <c r="I157" s="931" t="s">
        <v>21</v>
      </c>
      <c r="J157" s="932">
        <f t="shared" ref="J157:AO157" si="104">J158+J159+J160+J161</f>
        <v>165965.11999999997</v>
      </c>
      <c r="K157" s="932">
        <f t="shared" si="104"/>
        <v>25354.1</v>
      </c>
      <c r="L157" s="932">
        <f t="shared" si="104"/>
        <v>1042119.19</v>
      </c>
      <c r="M157" s="932">
        <f t="shared" si="104"/>
        <v>571026.48</v>
      </c>
      <c r="N157" s="932">
        <f t="shared" si="104"/>
        <v>616839.18000000005</v>
      </c>
      <c r="O157" s="932">
        <f t="shared" si="104"/>
        <v>381271.67000000004</v>
      </c>
      <c r="P157" s="932">
        <f>P166+P169+P173+P182+P186+P189+P210+P215+P221+P227+P229+P240+P251+P254+P259+P262+P269+P271+P275+P280+P287+P290+P197+P200+P203+P231+P237+P244+P300+P310+P313</f>
        <v>292742.20000000007</v>
      </c>
      <c r="Q157" s="932">
        <f>Q166+Q169+Q173+Q182+Q186+Q189+Q210+Q215+Q221+Q227+Q229+Q240+Q251+Q254+Q259+Q262+Q269+Q271+Q275+Q280+Q287+Q290+Q197+Q200+Q203+Q231+Q237+Q244+Q300+Q310+Q313</f>
        <v>102327.86541000001</v>
      </c>
      <c r="R157" s="932">
        <f t="shared" ref="R157:Z157" si="105">R166+R169+R173+R182+R186+R189+R210+R215+R221+R227+R229+R240+R251+R254+R259+R262+R269+R271+R275+R280+R287+R290+R197+R200+R203+R231+R237+R244+R300+R310+R313</f>
        <v>23233.600000000002</v>
      </c>
      <c r="S157" s="932">
        <f t="shared" si="105"/>
        <v>26233.599999999999</v>
      </c>
      <c r="T157" s="932">
        <f t="shared" si="105"/>
        <v>25740.546000000002</v>
      </c>
      <c r="U157" s="932">
        <f t="shared" si="105"/>
        <v>27949.284000000003</v>
      </c>
      <c r="V157" s="932">
        <f t="shared" si="105"/>
        <v>54714.664999999994</v>
      </c>
      <c r="W157" s="932">
        <f t="shared" si="105"/>
        <v>55653.578999999998</v>
      </c>
      <c r="X157" s="932">
        <f t="shared" si="105"/>
        <v>21705.95</v>
      </c>
      <c r="Y157" s="932">
        <f t="shared" si="105"/>
        <v>21705.95</v>
      </c>
      <c r="Z157" s="932">
        <f t="shared" si="105"/>
        <v>21705.95</v>
      </c>
      <c r="AA157" s="932">
        <f>AA166+AA169+AA173+AA182+AA186+AA189+AA210+AA215+AA221+AA227+AA229+AA240+AA251+AA254+AA259+AA262+AA269+AA271+AA275+AA280+AA287+AA290+AA197+AA200+AA203+AA231+AA237+AA244+AA300+AA310+AA313</f>
        <v>117152.28928</v>
      </c>
      <c r="AB157" s="932">
        <f t="shared" si="104"/>
        <v>20471.075000000001</v>
      </c>
      <c r="AC157" s="932">
        <f t="shared" si="104"/>
        <v>35341.406000000003</v>
      </c>
      <c r="AD157" s="932">
        <f t="shared" si="104"/>
        <v>69790.480890000006</v>
      </c>
      <c r="AE157" s="932">
        <f t="shared" si="104"/>
        <v>0</v>
      </c>
      <c r="AF157" s="932">
        <f t="shared" si="104"/>
        <v>0</v>
      </c>
      <c r="AG157" s="932">
        <f t="shared" si="104"/>
        <v>0</v>
      </c>
      <c r="AH157" s="932">
        <f t="shared" si="104"/>
        <v>0</v>
      </c>
      <c r="AI157" s="932">
        <f t="shared" si="104"/>
        <v>0</v>
      </c>
      <c r="AJ157" s="932">
        <f t="shared" si="104"/>
        <v>0</v>
      </c>
      <c r="AK157" s="932">
        <f t="shared" si="104"/>
        <v>147253.24</v>
      </c>
      <c r="AL157" s="932">
        <f t="shared" si="104"/>
        <v>147253.24</v>
      </c>
      <c r="AM157" s="932" t="e">
        <f t="shared" si="104"/>
        <v>#DIV/0!</v>
      </c>
      <c r="AN157" s="932">
        <f t="shared" si="104"/>
        <v>0</v>
      </c>
      <c r="AO157" s="932">
        <f t="shared" si="104"/>
        <v>0</v>
      </c>
      <c r="AP157" s="933"/>
      <c r="AQ157" s="932">
        <f>AQ166+AQ169+AQ173+AQ182+AQ186+AQ189+AQ210+AQ215+AQ221+AQ227+AQ229+AQ240+AQ251+AQ254+AQ259+AQ262+AQ269+AQ271+AQ275+AQ280+AQ287+AQ290</f>
        <v>4894.7240000000002</v>
      </c>
    </row>
    <row r="158" spans="1:43" s="615" customFormat="1" ht="58.5" hidden="1" customHeight="1" x14ac:dyDescent="0.2">
      <c r="A158" s="1607"/>
      <c r="B158" s="1608"/>
      <c r="C158" s="1608"/>
      <c r="D158" s="1608"/>
      <c r="E158" s="1608"/>
      <c r="F158" s="1608"/>
      <c r="G158" s="1608"/>
      <c r="H158" s="1609"/>
      <c r="I158" s="23" t="s">
        <v>19</v>
      </c>
      <c r="J158" s="71">
        <f t="shared" ref="J158:AO161" si="106">J162+J206+J233</f>
        <v>152888.53999999998</v>
      </c>
      <c r="K158" s="71">
        <f t="shared" si="106"/>
        <v>25354.1</v>
      </c>
      <c r="L158" s="47">
        <f t="shared" si="106"/>
        <v>193023.18</v>
      </c>
      <c r="M158" s="47">
        <f t="shared" si="106"/>
        <v>42443.12</v>
      </c>
      <c r="N158" s="47">
        <f t="shared" si="106"/>
        <v>35331.160000000003</v>
      </c>
      <c r="O158" s="47">
        <f t="shared" si="106"/>
        <v>29531.94</v>
      </c>
      <c r="P158" s="47">
        <f t="shared" si="106"/>
        <v>100162.01</v>
      </c>
      <c r="Q158" s="47">
        <f t="shared" si="106"/>
        <v>0</v>
      </c>
      <c r="R158" s="47">
        <f t="shared" si="106"/>
        <v>743.47199999999998</v>
      </c>
      <c r="S158" s="47">
        <f t="shared" si="106"/>
        <v>3743.4719999999998</v>
      </c>
      <c r="T158" s="47">
        <f t="shared" si="106"/>
        <v>31.5</v>
      </c>
      <c r="U158" s="47">
        <f t="shared" si="106"/>
        <v>2236.8380000000002</v>
      </c>
      <c r="V158" s="47">
        <f t="shared" si="106"/>
        <v>0</v>
      </c>
      <c r="W158" s="47">
        <f t="shared" si="106"/>
        <v>0</v>
      </c>
      <c r="X158" s="47">
        <f t="shared" si="106"/>
        <v>0</v>
      </c>
      <c r="Y158" s="47">
        <f t="shared" si="106"/>
        <v>0</v>
      </c>
      <c r="Z158" s="96"/>
      <c r="AA158" s="47">
        <f t="shared" si="106"/>
        <v>0</v>
      </c>
      <c r="AB158" s="47">
        <f t="shared" si="106"/>
        <v>2948.8069999999998</v>
      </c>
      <c r="AC158" s="47">
        <f t="shared" si="106"/>
        <v>0</v>
      </c>
      <c r="AD158" s="47">
        <f t="shared" si="106"/>
        <v>31.5</v>
      </c>
      <c r="AE158" s="47">
        <f t="shared" si="106"/>
        <v>0</v>
      </c>
      <c r="AF158" s="47">
        <f t="shared" si="106"/>
        <v>0</v>
      </c>
      <c r="AG158" s="47">
        <f t="shared" si="106"/>
        <v>0</v>
      </c>
      <c r="AH158" s="47">
        <f t="shared" si="106"/>
        <v>0</v>
      </c>
      <c r="AI158" s="47">
        <f t="shared" si="106"/>
        <v>0</v>
      </c>
      <c r="AJ158" s="47">
        <f t="shared" si="106"/>
        <v>0</v>
      </c>
      <c r="AK158" s="47">
        <f t="shared" si="106"/>
        <v>28946.75</v>
      </c>
      <c r="AL158" s="47">
        <f t="shared" si="106"/>
        <v>28946.75</v>
      </c>
      <c r="AM158" s="47" t="e">
        <f t="shared" si="106"/>
        <v>#DIV/0!</v>
      </c>
      <c r="AN158" s="47">
        <f t="shared" si="106"/>
        <v>0</v>
      </c>
      <c r="AO158" s="47">
        <f t="shared" si="106"/>
        <v>0</v>
      </c>
      <c r="AP158" s="397"/>
      <c r="AQ158" s="96"/>
    </row>
    <row r="159" spans="1:43" s="615" customFormat="1" ht="45.75" hidden="1" customHeight="1" x14ac:dyDescent="0.2">
      <c r="A159" s="1607"/>
      <c r="B159" s="1608"/>
      <c r="C159" s="1608"/>
      <c r="D159" s="1608"/>
      <c r="E159" s="1608"/>
      <c r="F159" s="1608"/>
      <c r="G159" s="1608"/>
      <c r="H159" s="1609"/>
      <c r="I159" s="23" t="s">
        <v>20</v>
      </c>
      <c r="J159" s="71">
        <f t="shared" si="106"/>
        <v>13076.579999999998</v>
      </c>
      <c r="K159" s="71">
        <f t="shared" si="106"/>
        <v>0</v>
      </c>
      <c r="L159" s="47">
        <f t="shared" ref="L159:Y160" si="107">L163+L207+L234+L248</f>
        <v>353562.91999999993</v>
      </c>
      <c r="M159" s="47">
        <f t="shared" si="107"/>
        <v>36205.620000000003</v>
      </c>
      <c r="N159" s="47">
        <f t="shared" si="107"/>
        <v>88280.380000000019</v>
      </c>
      <c r="O159" s="47">
        <f t="shared" si="107"/>
        <v>53996.09</v>
      </c>
      <c r="P159" s="47">
        <f t="shared" si="107"/>
        <v>132010.46000000002</v>
      </c>
      <c r="Q159" s="47">
        <f t="shared" si="107"/>
        <v>2421.4518600000001</v>
      </c>
      <c r="R159" s="47">
        <f t="shared" si="107"/>
        <v>784.17799999999988</v>
      </c>
      <c r="S159" s="47">
        <f t="shared" si="107"/>
        <v>784.17799999999988</v>
      </c>
      <c r="T159" s="47">
        <f t="shared" si="107"/>
        <v>4003.096</v>
      </c>
      <c r="U159" s="47">
        <f t="shared" si="107"/>
        <v>4006.4960000000001</v>
      </c>
      <c r="V159" s="47">
        <f t="shared" si="107"/>
        <v>4331.41</v>
      </c>
      <c r="W159" s="47">
        <f t="shared" si="107"/>
        <v>5270.3239999999996</v>
      </c>
      <c r="X159" s="47">
        <f t="shared" si="107"/>
        <v>0</v>
      </c>
      <c r="Y159" s="47">
        <f t="shared" si="107"/>
        <v>0</v>
      </c>
      <c r="Z159" s="96"/>
      <c r="AA159" s="47">
        <f>AA163+AA207+AA234+AA248</f>
        <v>2473.1920300000002</v>
      </c>
      <c r="AB159" s="47">
        <f>AB163+AB207+AB234+AB248</f>
        <v>0</v>
      </c>
      <c r="AC159" s="47">
        <f>AC163+AC207+AC234+AC248</f>
        <v>3241.61</v>
      </c>
      <c r="AD159" s="47">
        <f>AD163+AD207+AD234+AD248</f>
        <v>69758.980890000006</v>
      </c>
      <c r="AE159" s="47">
        <f>AE163+AE207+AE234+AE248</f>
        <v>0</v>
      </c>
      <c r="AF159" s="47">
        <f t="shared" si="106"/>
        <v>0</v>
      </c>
      <c r="AG159" s="47">
        <f t="shared" si="106"/>
        <v>0</v>
      </c>
      <c r="AH159" s="47">
        <f t="shared" si="106"/>
        <v>0</v>
      </c>
      <c r="AI159" s="47">
        <f t="shared" si="106"/>
        <v>0</v>
      </c>
      <c r="AJ159" s="47">
        <f t="shared" si="106"/>
        <v>0</v>
      </c>
      <c r="AK159" s="47">
        <f t="shared" si="106"/>
        <v>118306.49</v>
      </c>
      <c r="AL159" s="47">
        <f t="shared" si="106"/>
        <v>118306.49</v>
      </c>
      <c r="AM159" s="47" t="e">
        <f t="shared" si="106"/>
        <v>#DIV/0!</v>
      </c>
      <c r="AN159" s="47">
        <f t="shared" si="106"/>
        <v>0</v>
      </c>
      <c r="AO159" s="47">
        <f t="shared" si="106"/>
        <v>0</v>
      </c>
      <c r="AP159" s="397"/>
      <c r="AQ159" s="96"/>
    </row>
    <row r="160" spans="1:43" s="615" customFormat="1" ht="28.5" hidden="1" customHeight="1" x14ac:dyDescent="0.2">
      <c r="A160" s="1607"/>
      <c r="B160" s="1608"/>
      <c r="C160" s="1608"/>
      <c r="D160" s="1608"/>
      <c r="E160" s="1608"/>
      <c r="F160" s="1608"/>
      <c r="G160" s="1608"/>
      <c r="H160" s="1609"/>
      <c r="I160" s="23" t="s">
        <v>10</v>
      </c>
      <c r="J160" s="71">
        <f t="shared" si="106"/>
        <v>0</v>
      </c>
      <c r="K160" s="71">
        <f t="shared" si="106"/>
        <v>0</v>
      </c>
      <c r="L160" s="47">
        <f t="shared" si="107"/>
        <v>495533.09</v>
      </c>
      <c r="M160" s="47">
        <f t="shared" si="107"/>
        <v>492377.74</v>
      </c>
      <c r="N160" s="47">
        <f t="shared" si="107"/>
        <v>493227.64</v>
      </c>
      <c r="O160" s="47">
        <f t="shared" si="107"/>
        <v>297742.64</v>
      </c>
      <c r="P160" s="47">
        <f t="shared" si="107"/>
        <v>0</v>
      </c>
      <c r="Q160" s="47">
        <f t="shared" si="107"/>
        <v>99508.413549999997</v>
      </c>
      <c r="R160" s="47">
        <f t="shared" si="107"/>
        <v>21705.95</v>
      </c>
      <c r="S160" s="47">
        <f t="shared" si="107"/>
        <v>21705.95</v>
      </c>
      <c r="T160" s="47">
        <f t="shared" si="107"/>
        <v>21705.95</v>
      </c>
      <c r="U160" s="47">
        <f t="shared" si="107"/>
        <v>21705.95</v>
      </c>
      <c r="V160" s="47">
        <f t="shared" si="107"/>
        <v>50383.255000000005</v>
      </c>
      <c r="W160" s="47">
        <f t="shared" si="107"/>
        <v>50383.255000000005</v>
      </c>
      <c r="X160" s="47">
        <f t="shared" si="107"/>
        <v>21705.95</v>
      </c>
      <c r="Y160" s="47">
        <f t="shared" si="107"/>
        <v>21705.95</v>
      </c>
      <c r="Z160" s="96"/>
      <c r="AA160" s="47">
        <f>AA164+AA208+AA235+AA249</f>
        <v>114281.09724999999</v>
      </c>
      <c r="AB160" s="47">
        <f>AB164+AB208+AB235+AB249</f>
        <v>17522.268</v>
      </c>
      <c r="AC160" s="47">
        <f>AC164+AC208+AC235+AC249</f>
        <v>32099.796000000002</v>
      </c>
      <c r="AD160" s="47">
        <f>AD164+AD208+AD235</f>
        <v>0</v>
      </c>
      <c r="AE160" s="47">
        <f>AE164+AE208+AE235</f>
        <v>0</v>
      </c>
      <c r="AF160" s="47">
        <f t="shared" si="106"/>
        <v>0</v>
      </c>
      <c r="AG160" s="47">
        <f t="shared" si="106"/>
        <v>0</v>
      </c>
      <c r="AH160" s="47">
        <f t="shared" si="106"/>
        <v>0</v>
      </c>
      <c r="AI160" s="47">
        <f t="shared" si="106"/>
        <v>0</v>
      </c>
      <c r="AJ160" s="47">
        <f t="shared" si="106"/>
        <v>0</v>
      </c>
      <c r="AK160" s="47">
        <f t="shared" si="106"/>
        <v>0</v>
      </c>
      <c r="AL160" s="47">
        <f t="shared" si="106"/>
        <v>0</v>
      </c>
      <c r="AM160" s="47">
        <f t="shared" si="106"/>
        <v>0</v>
      </c>
      <c r="AN160" s="47">
        <f t="shared" si="106"/>
        <v>0</v>
      </c>
      <c r="AO160" s="47">
        <f t="shared" si="106"/>
        <v>0</v>
      </c>
      <c r="AP160" s="397"/>
      <c r="AQ160" s="96"/>
    </row>
    <row r="161" spans="1:43" s="615" customFormat="1" ht="25.5" hidden="1" customHeight="1" x14ac:dyDescent="0.2">
      <c r="A161" s="1610"/>
      <c r="B161" s="1611"/>
      <c r="C161" s="1611"/>
      <c r="D161" s="1611"/>
      <c r="E161" s="1611"/>
      <c r="F161" s="1611"/>
      <c r="G161" s="1611"/>
      <c r="H161" s="1612"/>
      <c r="I161" s="23" t="s">
        <v>9</v>
      </c>
      <c r="J161" s="71">
        <f t="shared" si="106"/>
        <v>0</v>
      </c>
      <c r="K161" s="71">
        <f t="shared" si="106"/>
        <v>0</v>
      </c>
      <c r="L161" s="47">
        <v>0</v>
      </c>
      <c r="M161" s="47">
        <f>M165+M209+M236</f>
        <v>0</v>
      </c>
      <c r="N161" s="47">
        <f>N165+N209+N236</f>
        <v>0</v>
      </c>
      <c r="O161" s="47">
        <f>O165+O209+O236</f>
        <v>1</v>
      </c>
      <c r="P161" s="47">
        <f>P165+P209+P236</f>
        <v>0</v>
      </c>
      <c r="Q161" s="47">
        <f t="shared" ref="Q161:AO161" si="108">Q165+Q209+Q236</f>
        <v>0</v>
      </c>
      <c r="R161" s="47">
        <f t="shared" si="108"/>
        <v>0</v>
      </c>
      <c r="S161" s="47">
        <f t="shared" si="108"/>
        <v>0</v>
      </c>
      <c r="T161" s="47">
        <f t="shared" si="108"/>
        <v>0</v>
      </c>
      <c r="U161" s="47">
        <f t="shared" si="108"/>
        <v>0</v>
      </c>
      <c r="V161" s="47">
        <f t="shared" si="108"/>
        <v>0</v>
      </c>
      <c r="W161" s="47">
        <f t="shared" si="108"/>
        <v>0</v>
      </c>
      <c r="X161" s="47">
        <f t="shared" si="108"/>
        <v>0</v>
      </c>
      <c r="Y161" s="47">
        <f t="shared" si="108"/>
        <v>0</v>
      </c>
      <c r="Z161" s="96"/>
      <c r="AA161" s="47">
        <f t="shared" si="108"/>
        <v>0</v>
      </c>
      <c r="AB161" s="47">
        <f t="shared" si="108"/>
        <v>0</v>
      </c>
      <c r="AC161" s="47">
        <f t="shared" si="108"/>
        <v>0</v>
      </c>
      <c r="AD161" s="47">
        <f t="shared" si="108"/>
        <v>0</v>
      </c>
      <c r="AE161" s="47">
        <f t="shared" si="108"/>
        <v>0</v>
      </c>
      <c r="AF161" s="47">
        <f t="shared" si="108"/>
        <v>0</v>
      </c>
      <c r="AG161" s="47">
        <f>AG165+AG209+AG236</f>
        <v>0</v>
      </c>
      <c r="AH161" s="47">
        <f>AH165+AH209+AH236</f>
        <v>0</v>
      </c>
      <c r="AI161" s="47">
        <f>AI165+AI209+AI236</f>
        <v>0</v>
      </c>
      <c r="AJ161" s="47">
        <f>AJ165+AJ209+AJ236</f>
        <v>0</v>
      </c>
      <c r="AK161" s="47">
        <f t="shared" si="108"/>
        <v>0</v>
      </c>
      <c r="AL161" s="47">
        <f t="shared" si="108"/>
        <v>0</v>
      </c>
      <c r="AM161" s="47">
        <f t="shared" si="108"/>
        <v>0</v>
      </c>
      <c r="AN161" s="47">
        <f t="shared" si="108"/>
        <v>0</v>
      </c>
      <c r="AO161" s="47">
        <f t="shared" si="108"/>
        <v>0</v>
      </c>
      <c r="AP161" s="397"/>
      <c r="AQ161" s="96"/>
    </row>
    <row r="162" spans="1:43" ht="51.75" hidden="1" customHeight="1" x14ac:dyDescent="0.25">
      <c r="A162" s="1332" t="s">
        <v>27</v>
      </c>
      <c r="B162" s="1613" t="s">
        <v>214</v>
      </c>
      <c r="C162" s="1614"/>
      <c r="D162" s="1614"/>
      <c r="E162" s="1614"/>
      <c r="F162" s="1614"/>
      <c r="G162" s="1614"/>
      <c r="H162" s="1615"/>
      <c r="I162" s="23" t="s">
        <v>19</v>
      </c>
      <c r="J162" s="47">
        <f>J166+J169+J173</f>
        <v>152888.53999999998</v>
      </c>
      <c r="K162" s="47">
        <f>K166+K169+K173</f>
        <v>25354.1</v>
      </c>
      <c r="L162" s="47">
        <f>L166+L169+L173+L182+L186+L190</f>
        <v>193023.18</v>
      </c>
      <c r="M162" s="47">
        <f>M166+M169+M173+M182+M186+M190</f>
        <v>42443.12</v>
      </c>
      <c r="N162" s="47">
        <f>N166+N169+N173+N182+N186+N190</f>
        <v>35331.160000000003</v>
      </c>
      <c r="O162" s="47">
        <f>O166+O169+O173+O182+O186+O189</f>
        <v>29530.94</v>
      </c>
      <c r="P162" s="47">
        <f>P166+P169+P173+P182+P186+P190</f>
        <v>100162.01</v>
      </c>
      <c r="Q162" s="47">
        <f>Q166+Q169+Q173+Q182+Q186+Q189</f>
        <v>0</v>
      </c>
      <c r="R162" s="47">
        <f t="shared" ref="R162:AA162" si="109">R166+R169+R173+R182+R186+R189</f>
        <v>743.47199999999998</v>
      </c>
      <c r="S162" s="47">
        <f t="shared" si="109"/>
        <v>3743.4719999999998</v>
      </c>
      <c r="T162" s="47">
        <f t="shared" si="109"/>
        <v>31.5</v>
      </c>
      <c r="U162" s="47">
        <f t="shared" si="109"/>
        <v>2236.8380000000002</v>
      </c>
      <c r="V162" s="47">
        <f t="shared" si="109"/>
        <v>0</v>
      </c>
      <c r="W162" s="47">
        <f t="shared" si="109"/>
        <v>0</v>
      </c>
      <c r="X162" s="47">
        <f t="shared" si="109"/>
        <v>0</v>
      </c>
      <c r="Y162" s="47">
        <f t="shared" si="109"/>
        <v>0</v>
      </c>
      <c r="Z162" s="96"/>
      <c r="AA162" s="47">
        <f t="shared" si="109"/>
        <v>0</v>
      </c>
      <c r="AB162" s="47">
        <f>AB166+AB169+AB173+AB182+AB186+AB189</f>
        <v>2948.8069999999998</v>
      </c>
      <c r="AC162" s="47">
        <f>AC166+AC169+AC173+AC182+AC186+AC189</f>
        <v>0</v>
      </c>
      <c r="AD162" s="47">
        <f>AD166+AD169+AD173+AD182+AD186+AD189</f>
        <v>31.5</v>
      </c>
      <c r="AE162" s="47">
        <f>AE166+AE169+AE173+AE182+AE186+AE189</f>
        <v>0</v>
      </c>
      <c r="AF162" s="47">
        <f t="shared" ref="AF162:AO162" si="110">AF166+AF169+AF173</f>
        <v>0</v>
      </c>
      <c r="AG162" s="47">
        <f t="shared" si="110"/>
        <v>0</v>
      </c>
      <c r="AH162" s="47">
        <f t="shared" si="110"/>
        <v>0</v>
      </c>
      <c r="AI162" s="47">
        <f t="shared" si="110"/>
        <v>0</v>
      </c>
      <c r="AJ162" s="47">
        <f t="shared" si="110"/>
        <v>0</v>
      </c>
      <c r="AK162" s="47">
        <f t="shared" si="110"/>
        <v>28946.75</v>
      </c>
      <c r="AL162" s="47">
        <f t="shared" si="110"/>
        <v>28946.75</v>
      </c>
      <c r="AM162" s="47" t="e">
        <f t="shared" si="110"/>
        <v>#DIV/0!</v>
      </c>
      <c r="AN162" s="47">
        <f t="shared" si="110"/>
        <v>0</v>
      </c>
      <c r="AO162" s="47">
        <f t="shared" si="110"/>
        <v>0</v>
      </c>
      <c r="AP162" s="397"/>
      <c r="AQ162" s="96"/>
    </row>
    <row r="163" spans="1:43" ht="47.25" hidden="1" customHeight="1" x14ac:dyDescent="0.25">
      <c r="A163" s="1333"/>
      <c r="B163" s="1616"/>
      <c r="C163" s="1617"/>
      <c r="D163" s="1617"/>
      <c r="E163" s="1617"/>
      <c r="F163" s="1617"/>
      <c r="G163" s="1617"/>
      <c r="H163" s="1618"/>
      <c r="I163" s="23" t="s">
        <v>20</v>
      </c>
      <c r="J163" s="47">
        <v>0</v>
      </c>
      <c r="K163" s="47">
        <v>0</v>
      </c>
      <c r="L163" s="47">
        <f>M163+N163+O163</f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96"/>
      <c r="AA163" s="47">
        <v>0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397"/>
      <c r="AQ163" s="96"/>
    </row>
    <row r="164" spans="1:43" ht="28.5" hidden="1" customHeight="1" x14ac:dyDescent="0.25">
      <c r="A164" s="1333"/>
      <c r="B164" s="1616"/>
      <c r="C164" s="1617"/>
      <c r="D164" s="1617"/>
      <c r="E164" s="1617"/>
      <c r="F164" s="1617"/>
      <c r="G164" s="1617"/>
      <c r="H164" s="1618"/>
      <c r="I164" s="23" t="s">
        <v>10</v>
      </c>
      <c r="J164" s="47">
        <v>0</v>
      </c>
      <c r="K164" s="47">
        <v>0</v>
      </c>
      <c r="L164" s="47">
        <f>L196</f>
        <v>195485</v>
      </c>
      <c r="M164" s="47">
        <f>M196</f>
        <v>195485</v>
      </c>
      <c r="N164" s="47">
        <f>N196</f>
        <v>195485</v>
      </c>
      <c r="O164" s="47">
        <v>0</v>
      </c>
      <c r="P164" s="47">
        <f>P196</f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0</v>
      </c>
      <c r="Z164" s="96"/>
      <c r="AA164" s="47">
        <v>0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0</v>
      </c>
      <c r="AM164" s="47">
        <v>0</v>
      </c>
      <c r="AN164" s="47">
        <v>0</v>
      </c>
      <c r="AO164" s="47">
        <v>0</v>
      </c>
      <c r="AP164" s="397"/>
      <c r="AQ164" s="96"/>
    </row>
    <row r="165" spans="1:43" ht="25.5" hidden="1" customHeight="1" x14ac:dyDescent="0.25">
      <c r="A165" s="1334"/>
      <c r="B165" s="1619"/>
      <c r="C165" s="1620"/>
      <c r="D165" s="1620"/>
      <c r="E165" s="1620"/>
      <c r="F165" s="1620"/>
      <c r="G165" s="1620"/>
      <c r="H165" s="1621"/>
      <c r="I165" s="23" t="s">
        <v>9</v>
      </c>
      <c r="J165" s="47">
        <v>0</v>
      </c>
      <c r="K165" s="47">
        <v>0</v>
      </c>
      <c r="L165" s="47">
        <f>M165+N165+O165</f>
        <v>0</v>
      </c>
      <c r="M165" s="47">
        <v>0</v>
      </c>
      <c r="N165" s="47">
        <v>0</v>
      </c>
      <c r="O165" s="47">
        <v>0</v>
      </c>
      <c r="P165" s="47">
        <v>0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96"/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0</v>
      </c>
      <c r="AM165" s="47">
        <v>0</v>
      </c>
      <c r="AN165" s="47">
        <v>0</v>
      </c>
      <c r="AO165" s="47">
        <v>0</v>
      </c>
      <c r="AP165" s="397"/>
      <c r="AQ165" s="96"/>
    </row>
    <row r="166" spans="1:43" s="327" customFormat="1" ht="27.75" customHeight="1" x14ac:dyDescent="0.25">
      <c r="A166" s="1473" t="s">
        <v>34</v>
      </c>
      <c r="B166" s="780" t="s">
        <v>441</v>
      </c>
      <c r="C166" s="1332"/>
      <c r="D166" s="1332"/>
      <c r="E166" s="1332"/>
      <c r="F166" s="1644">
        <v>220000</v>
      </c>
      <c r="G166" s="1473">
        <v>2018</v>
      </c>
      <c r="H166" s="1473">
        <v>2021</v>
      </c>
      <c r="I166" s="1463" t="s">
        <v>19</v>
      </c>
      <c r="J166" s="1627">
        <v>66036</v>
      </c>
      <c r="K166" s="1627">
        <v>16509</v>
      </c>
      <c r="L166" s="804">
        <f t="shared" ref="L166:O166" si="111">L167</f>
        <v>67541.3</v>
      </c>
      <c r="M166" s="804">
        <f t="shared" si="111"/>
        <v>16509</v>
      </c>
      <c r="N166" s="804">
        <f t="shared" si="111"/>
        <v>800</v>
      </c>
      <c r="O166" s="804">
        <f t="shared" si="111"/>
        <v>6409</v>
      </c>
      <c r="P166" s="804">
        <v>27314.3</v>
      </c>
      <c r="Q166" s="804">
        <v>0</v>
      </c>
      <c r="R166" s="804">
        <f t="shared" ref="R166:AO167" si="112">R167</f>
        <v>36</v>
      </c>
      <c r="S166" s="804">
        <f t="shared" si="112"/>
        <v>36</v>
      </c>
      <c r="T166" s="804">
        <f t="shared" si="112"/>
        <v>31.5</v>
      </c>
      <c r="U166" s="804">
        <f t="shared" si="112"/>
        <v>31.5</v>
      </c>
      <c r="V166" s="804">
        <f t="shared" si="112"/>
        <v>0</v>
      </c>
      <c r="W166" s="804">
        <f t="shared" si="112"/>
        <v>0</v>
      </c>
      <c r="X166" s="804">
        <f t="shared" si="112"/>
        <v>0</v>
      </c>
      <c r="Y166" s="804">
        <f t="shared" si="112"/>
        <v>0</v>
      </c>
      <c r="Z166" s="805">
        <v>0</v>
      </c>
      <c r="AA166" s="804">
        <v>0</v>
      </c>
      <c r="AB166" s="804">
        <f t="shared" si="112"/>
        <v>36</v>
      </c>
      <c r="AC166" s="804">
        <f t="shared" si="112"/>
        <v>0</v>
      </c>
      <c r="AD166" s="804">
        <f t="shared" si="112"/>
        <v>31.5</v>
      </c>
      <c r="AE166" s="804">
        <f t="shared" si="112"/>
        <v>0</v>
      </c>
      <c r="AF166" s="804">
        <f t="shared" si="112"/>
        <v>0</v>
      </c>
      <c r="AG166" s="804">
        <f t="shared" si="112"/>
        <v>0</v>
      </c>
      <c r="AH166" s="804">
        <f t="shared" si="112"/>
        <v>0</v>
      </c>
      <c r="AI166" s="804">
        <f t="shared" si="112"/>
        <v>0</v>
      </c>
      <c r="AJ166" s="804">
        <f t="shared" si="112"/>
        <v>0</v>
      </c>
      <c r="AK166" s="3">
        <f>P166-Q166</f>
        <v>27314.3</v>
      </c>
      <c r="AL166" s="3">
        <f>AK166</f>
        <v>27314.3</v>
      </c>
      <c r="AM166" s="318">
        <f>ROUND((Q166*100%/P166*100),2)</f>
        <v>0</v>
      </c>
      <c r="AN166" s="804">
        <f t="shared" si="112"/>
        <v>0</v>
      </c>
      <c r="AO166" s="804">
        <f t="shared" si="112"/>
        <v>0</v>
      </c>
      <c r="AP166" s="806"/>
      <c r="AQ166" s="805">
        <v>0</v>
      </c>
    </row>
    <row r="167" spans="1:43" ht="18" hidden="1" customHeight="1" x14ac:dyDescent="0.25">
      <c r="A167" s="1474"/>
      <c r="B167" s="1158" t="s">
        <v>39</v>
      </c>
      <c r="C167" s="1334"/>
      <c r="D167" s="1334"/>
      <c r="E167" s="1334"/>
      <c r="F167" s="1472"/>
      <c r="G167" s="1474"/>
      <c r="H167" s="1474"/>
      <c r="I167" s="1465"/>
      <c r="J167" s="1629"/>
      <c r="K167" s="1629"/>
      <c r="L167" s="1190">
        <v>67541.3</v>
      </c>
      <c r="M167" s="83">
        <v>16509</v>
      </c>
      <c r="N167" s="83">
        <v>800</v>
      </c>
      <c r="O167" s="83">
        <v>6409</v>
      </c>
      <c r="P167" s="83">
        <v>6409</v>
      </c>
      <c r="Q167" s="83">
        <f>Q168</f>
        <v>67.5</v>
      </c>
      <c r="R167" s="83">
        <f t="shared" si="112"/>
        <v>36</v>
      </c>
      <c r="S167" s="83">
        <f t="shared" si="112"/>
        <v>36</v>
      </c>
      <c r="T167" s="83">
        <f t="shared" si="112"/>
        <v>31.5</v>
      </c>
      <c r="U167" s="83">
        <f t="shared" si="112"/>
        <v>31.5</v>
      </c>
      <c r="V167" s="83">
        <f t="shared" si="112"/>
        <v>0</v>
      </c>
      <c r="W167" s="83">
        <f t="shared" si="112"/>
        <v>0</v>
      </c>
      <c r="X167" s="83">
        <f t="shared" si="112"/>
        <v>0</v>
      </c>
      <c r="Y167" s="83">
        <f t="shared" si="112"/>
        <v>0</v>
      </c>
      <c r="Z167" s="259"/>
      <c r="AA167" s="83">
        <f t="shared" si="112"/>
        <v>67.5</v>
      </c>
      <c r="AB167" s="83">
        <f t="shared" si="112"/>
        <v>36</v>
      </c>
      <c r="AC167" s="83">
        <f t="shared" si="112"/>
        <v>0</v>
      </c>
      <c r="AD167" s="83">
        <f t="shared" si="112"/>
        <v>31.5</v>
      </c>
      <c r="AE167" s="83">
        <f t="shared" si="112"/>
        <v>0</v>
      </c>
      <c r="AF167" s="83">
        <f t="shared" si="112"/>
        <v>0</v>
      </c>
      <c r="AG167" s="83">
        <f t="shared" si="112"/>
        <v>0</v>
      </c>
      <c r="AH167" s="83">
        <f t="shared" si="112"/>
        <v>0</v>
      </c>
      <c r="AI167" s="83">
        <f t="shared" si="112"/>
        <v>0</v>
      </c>
      <c r="AJ167" s="83">
        <f t="shared" si="112"/>
        <v>0</v>
      </c>
      <c r="AK167" s="83">
        <f t="shared" si="112"/>
        <v>0</v>
      </c>
      <c r="AL167" s="83">
        <v>0</v>
      </c>
      <c r="AM167" s="83">
        <v>0</v>
      </c>
      <c r="AN167" s="83">
        <v>0</v>
      </c>
      <c r="AO167" s="83">
        <v>0</v>
      </c>
      <c r="AP167" s="409"/>
      <c r="AQ167" s="259"/>
    </row>
    <row r="168" spans="1:43" s="266" customFormat="1" ht="26.25" hidden="1" customHeight="1" x14ac:dyDescent="0.25">
      <c r="A168" s="616"/>
      <c r="B168" s="537" t="s">
        <v>300</v>
      </c>
      <c r="C168" s="647"/>
      <c r="D168" s="647"/>
      <c r="E168" s="647"/>
      <c r="F168" s="539"/>
      <c r="G168" s="540"/>
      <c r="H168" s="540"/>
      <c r="I168" s="370"/>
      <c r="J168" s="648"/>
      <c r="K168" s="648"/>
      <c r="L168" s="258"/>
      <c r="M168" s="259"/>
      <c r="N168" s="259"/>
      <c r="O168" s="259"/>
      <c r="P168" s="259"/>
      <c r="Q168" s="259">
        <f>S168+U168</f>
        <v>67.5</v>
      </c>
      <c r="R168" s="259">
        <f>S168</f>
        <v>36</v>
      </c>
      <c r="S168" s="259">
        <v>36</v>
      </c>
      <c r="T168" s="259">
        <f>U168</f>
        <v>31.5</v>
      </c>
      <c r="U168" s="259">
        <v>31.5</v>
      </c>
      <c r="V168" s="259"/>
      <c r="W168" s="259"/>
      <c r="X168" s="259"/>
      <c r="Y168" s="259"/>
      <c r="Z168" s="259"/>
      <c r="AA168" s="259">
        <f>AB168+AD168</f>
        <v>67.5</v>
      </c>
      <c r="AB168" s="259">
        <v>36</v>
      </c>
      <c r="AC168" s="259"/>
      <c r="AD168" s="259">
        <v>31.5</v>
      </c>
      <c r="AE168" s="259"/>
      <c r="AF168" s="259"/>
      <c r="AG168" s="259"/>
      <c r="AH168" s="259"/>
      <c r="AI168" s="259"/>
      <c r="AJ168" s="259"/>
      <c r="AK168" s="259"/>
      <c r="AL168" s="259"/>
      <c r="AM168" s="543"/>
      <c r="AN168" s="259"/>
      <c r="AO168" s="259"/>
      <c r="AP168" s="411"/>
      <c r="AQ168" s="259"/>
    </row>
    <row r="169" spans="1:43" s="327" customFormat="1" ht="24" customHeight="1" x14ac:dyDescent="0.25">
      <c r="A169" s="1473" t="s">
        <v>42</v>
      </c>
      <c r="B169" s="780" t="s">
        <v>205</v>
      </c>
      <c r="C169" s="807"/>
      <c r="D169" s="807"/>
      <c r="E169" s="807"/>
      <c r="F169" s="1644">
        <v>2400</v>
      </c>
      <c r="G169" s="807"/>
      <c r="H169" s="807"/>
      <c r="I169" s="1463" t="s">
        <v>19</v>
      </c>
      <c r="J169" s="25">
        <v>12351.86</v>
      </c>
      <c r="K169" s="25">
        <f t="shared" ref="K169:P169" si="113">K170+K172</f>
        <v>8845.1</v>
      </c>
      <c r="L169" s="3">
        <f t="shared" si="113"/>
        <v>25182.28</v>
      </c>
      <c r="M169" s="3">
        <f t="shared" si="113"/>
        <v>1753.38</v>
      </c>
      <c r="N169" s="3">
        <f t="shared" si="113"/>
        <v>1168.92</v>
      </c>
      <c r="O169" s="3">
        <f t="shared" si="113"/>
        <v>997.45</v>
      </c>
      <c r="P169" s="3">
        <f t="shared" si="113"/>
        <v>1632.45</v>
      </c>
      <c r="Q169" s="3">
        <f t="shared" ref="Q169:AO169" si="114">Q172+Q170</f>
        <v>0</v>
      </c>
      <c r="R169" s="3">
        <f t="shared" si="114"/>
        <v>707.47199999999998</v>
      </c>
      <c r="S169" s="3">
        <f t="shared" si="114"/>
        <v>707.47199999999998</v>
      </c>
      <c r="T169" s="3">
        <f t="shared" si="114"/>
        <v>0</v>
      </c>
      <c r="U169" s="3">
        <f t="shared" si="114"/>
        <v>0</v>
      </c>
      <c r="V169" s="3">
        <f t="shared" si="114"/>
        <v>0</v>
      </c>
      <c r="W169" s="3">
        <f t="shared" si="114"/>
        <v>0</v>
      </c>
      <c r="X169" s="3">
        <f t="shared" si="114"/>
        <v>0</v>
      </c>
      <c r="Y169" s="3">
        <f t="shared" si="114"/>
        <v>0</v>
      </c>
      <c r="Z169" s="95">
        <v>0</v>
      </c>
      <c r="AA169" s="3">
        <f t="shared" si="114"/>
        <v>0</v>
      </c>
      <c r="AB169" s="3">
        <f t="shared" si="114"/>
        <v>707.47</v>
      </c>
      <c r="AC169" s="3">
        <f t="shared" si="114"/>
        <v>0</v>
      </c>
      <c r="AD169" s="3">
        <f t="shared" si="114"/>
        <v>0</v>
      </c>
      <c r="AE169" s="3">
        <f t="shared" si="114"/>
        <v>0</v>
      </c>
      <c r="AF169" s="3">
        <f t="shared" si="114"/>
        <v>0</v>
      </c>
      <c r="AG169" s="3">
        <f t="shared" si="114"/>
        <v>0</v>
      </c>
      <c r="AH169" s="3">
        <f t="shared" si="114"/>
        <v>0</v>
      </c>
      <c r="AI169" s="3">
        <f t="shared" si="114"/>
        <v>0</v>
      </c>
      <c r="AJ169" s="3">
        <f t="shared" si="114"/>
        <v>0</v>
      </c>
      <c r="AK169" s="3">
        <f>P169-Q169</f>
        <v>1632.45</v>
      </c>
      <c r="AL169" s="3">
        <f>AK169</f>
        <v>1632.45</v>
      </c>
      <c r="AM169" s="318">
        <f>ROUND((Q169*100%/P169*100),2)</f>
        <v>0</v>
      </c>
      <c r="AN169" s="3">
        <f t="shared" si="114"/>
        <v>0</v>
      </c>
      <c r="AO169" s="3">
        <f t="shared" si="114"/>
        <v>0</v>
      </c>
      <c r="AP169" s="808"/>
      <c r="AQ169" s="95">
        <v>0</v>
      </c>
    </row>
    <row r="170" spans="1:43" ht="16.5" customHeight="1" x14ac:dyDescent="0.25">
      <c r="A170" s="1643"/>
      <c r="B170" s="1" t="s">
        <v>15</v>
      </c>
      <c r="C170" s="48"/>
      <c r="D170" s="48"/>
      <c r="E170" s="48"/>
      <c r="F170" s="1645"/>
      <c r="G170" s="1179">
        <v>2018</v>
      </c>
      <c r="H170" s="1179">
        <v>2018</v>
      </c>
      <c r="I170" s="1464"/>
      <c r="J170" s="634">
        <v>1815.76</v>
      </c>
      <c r="K170" s="634">
        <v>1815.76</v>
      </c>
      <c r="L170" s="47">
        <v>2458.14</v>
      </c>
      <c r="M170" s="47">
        <v>0</v>
      </c>
      <c r="N170" s="47">
        <v>412.99</v>
      </c>
      <c r="O170" s="47">
        <v>0</v>
      </c>
      <c r="P170" s="47">
        <v>246.67</v>
      </c>
      <c r="Q170" s="83">
        <v>0</v>
      </c>
      <c r="R170" s="83">
        <f t="shared" ref="R170:AG170" si="115">R171</f>
        <v>707.47199999999998</v>
      </c>
      <c r="S170" s="83">
        <f t="shared" si="115"/>
        <v>707.47199999999998</v>
      </c>
      <c r="T170" s="83">
        <f t="shared" si="115"/>
        <v>0</v>
      </c>
      <c r="U170" s="83">
        <f t="shared" si="115"/>
        <v>0</v>
      </c>
      <c r="V170" s="83">
        <f t="shared" si="115"/>
        <v>0</v>
      </c>
      <c r="W170" s="83">
        <f t="shared" si="115"/>
        <v>0</v>
      </c>
      <c r="X170" s="83">
        <f t="shared" si="115"/>
        <v>0</v>
      </c>
      <c r="Y170" s="83">
        <f t="shared" si="115"/>
        <v>0</v>
      </c>
      <c r="Z170" s="259"/>
      <c r="AA170" s="83">
        <v>0</v>
      </c>
      <c r="AB170" s="83">
        <f t="shared" si="115"/>
        <v>707.47</v>
      </c>
      <c r="AC170" s="83">
        <f t="shared" si="115"/>
        <v>0</v>
      </c>
      <c r="AD170" s="83">
        <f t="shared" si="115"/>
        <v>0</v>
      </c>
      <c r="AE170" s="83">
        <f t="shared" si="115"/>
        <v>0</v>
      </c>
      <c r="AF170" s="83">
        <f t="shared" si="115"/>
        <v>0</v>
      </c>
      <c r="AG170" s="83">
        <f t="shared" si="115"/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617"/>
      <c r="AQ170" s="259"/>
    </row>
    <row r="171" spans="1:43" s="266" customFormat="1" ht="27" hidden="1" customHeight="1" x14ac:dyDescent="0.25">
      <c r="A171" s="1643"/>
      <c r="B171" s="537" t="s">
        <v>301</v>
      </c>
      <c r="C171" s="544"/>
      <c r="D171" s="544"/>
      <c r="E171" s="544"/>
      <c r="F171" s="1645"/>
      <c r="G171" s="104"/>
      <c r="H171" s="104"/>
      <c r="I171" s="1464"/>
      <c r="J171" s="636"/>
      <c r="K171" s="636"/>
      <c r="L171" s="96"/>
      <c r="M171" s="96"/>
      <c r="N171" s="96"/>
      <c r="O171" s="96"/>
      <c r="P171" s="96"/>
      <c r="Q171" s="259">
        <f>S171</f>
        <v>707.47199999999998</v>
      </c>
      <c r="R171" s="259">
        <f>S171</f>
        <v>707.47199999999998</v>
      </c>
      <c r="S171" s="259">
        <v>707.47199999999998</v>
      </c>
      <c r="T171" s="259"/>
      <c r="U171" s="259"/>
      <c r="V171" s="259"/>
      <c r="W171" s="259"/>
      <c r="X171" s="259"/>
      <c r="Y171" s="259"/>
      <c r="Z171" s="259"/>
      <c r="AA171" s="259">
        <f>AB171</f>
        <v>707.47</v>
      </c>
      <c r="AB171" s="259">
        <v>707.47</v>
      </c>
      <c r="AC171" s="259"/>
      <c r="AD171" s="259"/>
      <c r="AE171" s="259"/>
      <c r="AF171" s="259"/>
      <c r="AG171" s="259"/>
      <c r="AH171" s="96"/>
      <c r="AI171" s="96"/>
      <c r="AJ171" s="96"/>
      <c r="AK171" s="96"/>
      <c r="AL171" s="96"/>
      <c r="AM171" s="96"/>
      <c r="AN171" s="96"/>
      <c r="AO171" s="96"/>
      <c r="AP171" s="618"/>
      <c r="AQ171" s="259"/>
    </row>
    <row r="172" spans="1:43" ht="14.25" customHeight="1" x14ac:dyDescent="0.25">
      <c r="A172" s="1474"/>
      <c r="B172" s="1" t="s">
        <v>32</v>
      </c>
      <c r="C172" s="48"/>
      <c r="D172" s="48"/>
      <c r="E172" s="48"/>
      <c r="F172" s="1328"/>
      <c r="G172" s="1179">
        <v>2018</v>
      </c>
      <c r="H172" s="1179">
        <v>2021</v>
      </c>
      <c r="I172" s="1465"/>
      <c r="J172" s="634">
        <v>10536.1</v>
      </c>
      <c r="K172" s="634">
        <v>7029.34</v>
      </c>
      <c r="L172" s="47">
        <v>22724.14</v>
      </c>
      <c r="M172" s="47">
        <v>1753.38</v>
      </c>
      <c r="N172" s="47">
        <v>755.93</v>
      </c>
      <c r="O172" s="47">
        <v>997.45</v>
      </c>
      <c r="P172" s="47">
        <v>1385.78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47">
        <v>0</v>
      </c>
      <c r="X172" s="47">
        <v>0</v>
      </c>
      <c r="Y172" s="47">
        <v>0</v>
      </c>
      <c r="Z172" s="96"/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47">
        <v>0</v>
      </c>
      <c r="AP172" s="397"/>
      <c r="AQ172" s="96"/>
    </row>
    <row r="173" spans="1:43" s="327" customFormat="1" ht="30.75" customHeight="1" x14ac:dyDescent="0.25">
      <c r="A173" s="1398" t="s">
        <v>63</v>
      </c>
      <c r="B173" s="780" t="s">
        <v>66</v>
      </c>
      <c r="C173" s="1471"/>
      <c r="D173" s="1471"/>
      <c r="E173" s="1471"/>
      <c r="F173" s="1466"/>
      <c r="G173" s="1489">
        <v>2019</v>
      </c>
      <c r="H173" s="1469">
        <v>2021</v>
      </c>
      <c r="I173" s="1466" t="s">
        <v>19</v>
      </c>
      <c r="J173" s="1648">
        <f>K173+L173</f>
        <v>74500.679999999993</v>
      </c>
      <c r="K173" s="1646">
        <v>0</v>
      </c>
      <c r="L173" s="70">
        <f t="shared" ref="L173:W173" si="116">L174</f>
        <v>74500.679999999993</v>
      </c>
      <c r="M173" s="70">
        <f t="shared" si="116"/>
        <v>24180.74</v>
      </c>
      <c r="N173" s="70">
        <f t="shared" si="116"/>
        <v>24180.74</v>
      </c>
      <c r="O173" s="70">
        <f t="shared" si="116"/>
        <v>13819.52</v>
      </c>
      <c r="P173" s="70">
        <v>0</v>
      </c>
      <c r="Q173" s="804">
        <f t="shared" si="116"/>
        <v>0</v>
      </c>
      <c r="R173" s="804">
        <f t="shared" si="116"/>
        <v>0</v>
      </c>
      <c r="S173" s="804">
        <f t="shared" si="116"/>
        <v>0</v>
      </c>
      <c r="T173" s="804">
        <f t="shared" si="116"/>
        <v>0</v>
      </c>
      <c r="U173" s="804">
        <f t="shared" si="116"/>
        <v>0</v>
      </c>
      <c r="V173" s="804">
        <f t="shared" si="116"/>
        <v>0</v>
      </c>
      <c r="W173" s="804">
        <f t="shared" si="116"/>
        <v>0</v>
      </c>
      <c r="X173" s="804">
        <f>X174</f>
        <v>0</v>
      </c>
      <c r="Y173" s="804">
        <f>Y174</f>
        <v>0</v>
      </c>
      <c r="Z173" s="805">
        <v>0</v>
      </c>
      <c r="AA173" s="804">
        <f>AA174</f>
        <v>0</v>
      </c>
      <c r="AB173" s="804">
        <f>AB174</f>
        <v>0</v>
      </c>
      <c r="AC173" s="804">
        <f>AC174</f>
        <v>0</v>
      </c>
      <c r="AD173" s="804">
        <f t="shared" ref="AD173:AO173" si="117">AD174</f>
        <v>0</v>
      </c>
      <c r="AE173" s="804">
        <f t="shared" si="117"/>
        <v>0</v>
      </c>
      <c r="AF173" s="804">
        <f t="shared" si="117"/>
        <v>0</v>
      </c>
      <c r="AG173" s="804">
        <f t="shared" si="117"/>
        <v>0</v>
      </c>
      <c r="AH173" s="804">
        <f t="shared" si="117"/>
        <v>0</v>
      </c>
      <c r="AI173" s="804">
        <f t="shared" si="117"/>
        <v>0</v>
      </c>
      <c r="AJ173" s="804">
        <f t="shared" si="117"/>
        <v>0</v>
      </c>
      <c r="AK173" s="3">
        <v>0</v>
      </c>
      <c r="AL173" s="3">
        <f>AK173</f>
        <v>0</v>
      </c>
      <c r="AM173" s="318" t="e">
        <f>ROUND((Q173*100%/P173*100),2)</f>
        <v>#DIV/0!</v>
      </c>
      <c r="AN173" s="804">
        <f t="shared" si="117"/>
        <v>0</v>
      </c>
      <c r="AO173" s="804">
        <f t="shared" si="117"/>
        <v>0</v>
      </c>
      <c r="AP173" s="806" t="s">
        <v>295</v>
      </c>
      <c r="AQ173" s="805">
        <v>0</v>
      </c>
    </row>
    <row r="174" spans="1:43" ht="18" hidden="1" customHeight="1" x14ac:dyDescent="0.25">
      <c r="A174" s="1488"/>
      <c r="B174" s="1" t="s">
        <v>16</v>
      </c>
      <c r="C174" s="1471"/>
      <c r="D174" s="1471"/>
      <c r="E174" s="1471"/>
      <c r="F174" s="1466"/>
      <c r="G174" s="1489"/>
      <c r="H174" s="1470"/>
      <c r="I174" s="1466"/>
      <c r="J174" s="1648"/>
      <c r="K174" s="1647"/>
      <c r="L174" s="1190">
        <v>74500.679999999993</v>
      </c>
      <c r="M174" s="83">
        <v>24180.74</v>
      </c>
      <c r="N174" s="83">
        <v>24180.74</v>
      </c>
      <c r="O174" s="83">
        <v>13819.52</v>
      </c>
      <c r="P174" s="83">
        <v>26139.200000000001</v>
      </c>
      <c r="Q174" s="83">
        <v>0</v>
      </c>
      <c r="R174" s="83">
        <f t="shared" ref="R174:W174" si="118">SUM(R175:R181)</f>
        <v>0</v>
      </c>
      <c r="S174" s="83">
        <f t="shared" si="118"/>
        <v>0</v>
      </c>
      <c r="T174" s="83">
        <f t="shared" si="118"/>
        <v>0</v>
      </c>
      <c r="U174" s="83">
        <f t="shared" si="118"/>
        <v>0</v>
      </c>
      <c r="V174" s="83">
        <f t="shared" si="118"/>
        <v>0</v>
      </c>
      <c r="W174" s="83">
        <f t="shared" si="118"/>
        <v>0</v>
      </c>
      <c r="X174" s="83">
        <v>0</v>
      </c>
      <c r="Y174" s="83">
        <f t="shared" ref="Y174:AE174" si="119">SUM(Y175:Y181)</f>
        <v>0</v>
      </c>
      <c r="Z174" s="259"/>
      <c r="AA174" s="83">
        <f t="shared" si="119"/>
        <v>0</v>
      </c>
      <c r="AB174" s="83">
        <f t="shared" si="119"/>
        <v>0</v>
      </c>
      <c r="AC174" s="83">
        <f t="shared" si="119"/>
        <v>0</v>
      </c>
      <c r="AD174" s="83">
        <f t="shared" si="119"/>
        <v>0</v>
      </c>
      <c r="AE174" s="83">
        <f t="shared" si="119"/>
        <v>0</v>
      </c>
      <c r="AF174" s="83">
        <f>SUM(AG174:AI174)</f>
        <v>0</v>
      </c>
      <c r="AG174" s="83">
        <f>SUM(AG175:AG181)</f>
        <v>0</v>
      </c>
      <c r="AH174" s="83">
        <f>SUM(AH175:AH181)</f>
        <v>0</v>
      </c>
      <c r="AI174" s="83">
        <v>0</v>
      </c>
      <c r="AJ174" s="83">
        <v>0</v>
      </c>
      <c r="AK174" s="83">
        <f>SUM(AK175:AK181)</f>
        <v>0</v>
      </c>
      <c r="AL174" s="83">
        <f>SUM(AL175:AL181)</f>
        <v>0</v>
      </c>
      <c r="AM174" s="83">
        <f>SUM(AM175:AM181)</f>
        <v>0</v>
      </c>
      <c r="AN174" s="83">
        <f>SUM(AN175:AN181)</f>
        <v>0</v>
      </c>
      <c r="AO174" s="83">
        <f>SUM(AO175:AO181)</f>
        <v>0</v>
      </c>
      <c r="AP174" s="409"/>
      <c r="AQ174" s="259"/>
    </row>
    <row r="175" spans="1:43" s="266" customFormat="1" ht="18" hidden="1" customHeight="1" x14ac:dyDescent="0.25">
      <c r="A175" s="324"/>
      <c r="B175" s="252" t="s">
        <v>152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</f>
        <v>0</v>
      </c>
      <c r="R175" s="259">
        <f>S175</f>
        <v>0</v>
      </c>
      <c r="S175" s="259">
        <v>0</v>
      </c>
      <c r="T175" s="259">
        <v>0</v>
      </c>
      <c r="U175" s="259">
        <v>0</v>
      </c>
      <c r="V175" s="259"/>
      <c r="W175" s="259"/>
      <c r="X175" s="259"/>
      <c r="Y175" s="259"/>
      <c r="Z175" s="259"/>
      <c r="AA175" s="259">
        <v>0</v>
      </c>
      <c r="AB175" s="259"/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156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S176+U176+W176</f>
        <v>0</v>
      </c>
      <c r="R176" s="259"/>
      <c r="S176" s="259"/>
      <c r="T176" s="259"/>
      <c r="U176" s="259"/>
      <c r="V176" s="259">
        <v>0</v>
      </c>
      <c r="W176" s="259">
        <v>0</v>
      </c>
      <c r="X176" s="259"/>
      <c r="Y176" s="259"/>
      <c r="Z176" s="259"/>
      <c r="AA176" s="259">
        <v>0</v>
      </c>
      <c r="AB176" s="259">
        <v>0</v>
      </c>
      <c r="AC176" s="259"/>
      <c r="AD176" s="259"/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26.25" hidden="1" customHeight="1" x14ac:dyDescent="0.25">
      <c r="A177" s="324"/>
      <c r="B177" s="252" t="s">
        <v>229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/>
      <c r="S177" s="259"/>
      <c r="T177" s="259"/>
      <c r="U177" s="259"/>
      <c r="V177" s="259"/>
      <c r="W177" s="259"/>
      <c r="X177" s="259">
        <v>0</v>
      </c>
      <c r="Y177" s="259">
        <v>0</v>
      </c>
      <c r="Z177" s="259"/>
      <c r="AA177" s="259"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18" hidden="1" customHeight="1" x14ac:dyDescent="0.25">
      <c r="A178" s="324"/>
      <c r="B178" s="252" t="s">
        <v>230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f>S178+U178+W178+Y178</f>
        <v>0</v>
      </c>
      <c r="R178" s="259">
        <f>S178</f>
        <v>0</v>
      </c>
      <c r="S178" s="259">
        <v>0</v>
      </c>
      <c r="T178" s="259">
        <v>0</v>
      </c>
      <c r="U178" s="259">
        <v>0</v>
      </c>
      <c r="V178" s="259"/>
      <c r="W178" s="259">
        <v>0</v>
      </c>
      <c r="X178" s="259">
        <v>0</v>
      </c>
      <c r="Y178" s="259">
        <v>0</v>
      </c>
      <c r="Z178" s="259"/>
      <c r="AA178" s="259">
        <f>AB178+AC178</f>
        <v>0</v>
      </c>
      <c r="AB178" s="259">
        <v>0</v>
      </c>
      <c r="AC178" s="259">
        <v>0</v>
      </c>
      <c r="AD178" s="259">
        <v>0</v>
      </c>
      <c r="AE178" s="259"/>
      <c r="AF178" s="259">
        <f>SUM(AG178:AG178)</f>
        <v>0</v>
      </c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231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/>
      <c r="S179" s="259"/>
      <c r="T179" s="259">
        <v>0</v>
      </c>
      <c r="U179" s="259">
        <v>0</v>
      </c>
      <c r="V179" s="259"/>
      <c r="W179" s="259"/>
      <c r="X179" s="259">
        <v>0</v>
      </c>
      <c r="Y179" s="259">
        <v>0</v>
      </c>
      <c r="Z179" s="259"/>
      <c r="AA179" s="259">
        <f>AB179+AC179</f>
        <v>0</v>
      </c>
      <c r="AB179" s="259">
        <v>0</v>
      </c>
      <c r="AC179" s="259"/>
      <c r="AD179" s="259"/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266" customFormat="1" ht="18" hidden="1" customHeight="1" x14ac:dyDescent="0.25">
      <c r="A180" s="324"/>
      <c r="B180" s="252" t="s">
        <v>259</v>
      </c>
      <c r="C180" s="253"/>
      <c r="D180" s="253"/>
      <c r="E180" s="253"/>
      <c r="F180" s="363"/>
      <c r="G180" s="255"/>
      <c r="H180" s="256"/>
      <c r="I180" s="104"/>
      <c r="J180" s="533"/>
      <c r="K180" s="534"/>
      <c r="L180" s="258"/>
      <c r="M180" s="259"/>
      <c r="N180" s="259"/>
      <c r="O180" s="259"/>
      <c r="P180" s="83"/>
      <c r="Q180" s="259">
        <v>0</v>
      </c>
      <c r="R180" s="259"/>
      <c r="S180" s="259"/>
      <c r="T180" s="259">
        <v>0</v>
      </c>
      <c r="U180" s="259">
        <v>0</v>
      </c>
      <c r="V180" s="259"/>
      <c r="W180" s="259"/>
      <c r="X180" s="259"/>
      <c r="Y180" s="259"/>
      <c r="Z180" s="259"/>
      <c r="AA180" s="259">
        <f>AB180+AC180</f>
        <v>0</v>
      </c>
      <c r="AB180" s="259"/>
      <c r="AC180" s="259">
        <v>0</v>
      </c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411"/>
      <c r="AQ180" s="259"/>
    </row>
    <row r="181" spans="1:43" s="266" customFormat="1" ht="18" hidden="1" customHeight="1" x14ac:dyDescent="0.25">
      <c r="A181" s="324"/>
      <c r="B181" s="252" t="s">
        <v>153</v>
      </c>
      <c r="C181" s="253"/>
      <c r="D181" s="253"/>
      <c r="E181" s="253"/>
      <c r="F181" s="363"/>
      <c r="G181" s="255"/>
      <c r="H181" s="256"/>
      <c r="I181" s="104"/>
      <c r="J181" s="533"/>
      <c r="K181" s="534"/>
      <c r="L181" s="258"/>
      <c r="M181" s="259"/>
      <c r="N181" s="259"/>
      <c r="O181" s="259"/>
      <c r="P181" s="83"/>
      <c r="Q181" s="259">
        <f>S181+U181+W181+Y181</f>
        <v>0</v>
      </c>
      <c r="R181" s="259">
        <f>S181</f>
        <v>0</v>
      </c>
      <c r="S181" s="259">
        <v>0</v>
      </c>
      <c r="T181" s="259">
        <v>0</v>
      </c>
      <c r="U181" s="259">
        <v>0</v>
      </c>
      <c r="V181" s="259"/>
      <c r="W181" s="259"/>
      <c r="X181" s="259">
        <v>0</v>
      </c>
      <c r="Y181" s="259">
        <v>0</v>
      </c>
      <c r="Z181" s="259"/>
      <c r="AA181" s="259">
        <v>0</v>
      </c>
      <c r="AB181" s="259">
        <v>0</v>
      </c>
      <c r="AC181" s="259"/>
      <c r="AD181" s="259"/>
      <c r="AE181" s="259"/>
      <c r="AF181" s="259">
        <f>SUM(AG181:AG181)</f>
        <v>0</v>
      </c>
      <c r="AG181" s="259"/>
      <c r="AH181" s="259"/>
      <c r="AI181" s="259"/>
      <c r="AJ181" s="259"/>
      <c r="AK181" s="259"/>
      <c r="AL181" s="259"/>
      <c r="AM181" s="259"/>
      <c r="AN181" s="259"/>
      <c r="AO181" s="259"/>
      <c r="AP181" s="411"/>
      <c r="AQ181" s="259"/>
    </row>
    <row r="182" spans="1:43" s="327" customFormat="1" ht="42" customHeight="1" x14ac:dyDescent="0.25">
      <c r="A182" s="1398" t="s">
        <v>167</v>
      </c>
      <c r="B182" s="772" t="s">
        <v>168</v>
      </c>
      <c r="C182" s="809"/>
      <c r="D182" s="809"/>
      <c r="E182" s="809"/>
      <c r="F182" s="312"/>
      <c r="G182" s="775"/>
      <c r="H182" s="810"/>
      <c r="I182" s="1326" t="s">
        <v>19</v>
      </c>
      <c r="J182" s="283"/>
      <c r="K182" s="811"/>
      <c r="L182" s="1181">
        <f>L183</f>
        <v>7644.31</v>
      </c>
      <c r="M182" s="1181">
        <f>M183</f>
        <v>0</v>
      </c>
      <c r="N182" s="1181">
        <f t="shared" ref="N182:AO182" si="120">N183</f>
        <v>377.26</v>
      </c>
      <c r="O182" s="1181">
        <f t="shared" si="120"/>
        <v>0</v>
      </c>
      <c r="P182" s="1181">
        <f>P183+P185</f>
        <v>70000</v>
      </c>
      <c r="Q182" s="1181">
        <f>Q183+Q185</f>
        <v>0</v>
      </c>
      <c r="R182" s="1181">
        <f t="shared" ref="R182:AA182" si="121">R183+R185</f>
        <v>0</v>
      </c>
      <c r="S182" s="1181">
        <f t="shared" si="121"/>
        <v>0</v>
      </c>
      <c r="T182" s="1181">
        <f t="shared" si="121"/>
        <v>0</v>
      </c>
      <c r="U182" s="1181">
        <f t="shared" si="121"/>
        <v>0</v>
      </c>
      <c r="V182" s="1181">
        <f t="shared" si="121"/>
        <v>0</v>
      </c>
      <c r="W182" s="1181">
        <f t="shared" si="121"/>
        <v>0</v>
      </c>
      <c r="X182" s="1181">
        <f t="shared" si="121"/>
        <v>0</v>
      </c>
      <c r="Y182" s="1181">
        <f t="shared" si="121"/>
        <v>0</v>
      </c>
      <c r="Z182" s="1181">
        <f t="shared" si="121"/>
        <v>0</v>
      </c>
      <c r="AA182" s="1181">
        <f t="shared" si="121"/>
        <v>0</v>
      </c>
      <c r="AB182" s="1181">
        <f t="shared" si="120"/>
        <v>0</v>
      </c>
      <c r="AC182" s="1181">
        <f t="shared" si="120"/>
        <v>0</v>
      </c>
      <c r="AD182" s="1181">
        <f t="shared" si="120"/>
        <v>0</v>
      </c>
      <c r="AE182" s="1181">
        <f t="shared" si="120"/>
        <v>0</v>
      </c>
      <c r="AF182" s="1181">
        <f t="shared" si="120"/>
        <v>0</v>
      </c>
      <c r="AG182" s="1181">
        <f t="shared" si="120"/>
        <v>0</v>
      </c>
      <c r="AH182" s="1181">
        <f t="shared" si="120"/>
        <v>0</v>
      </c>
      <c r="AI182" s="1181">
        <f t="shared" si="120"/>
        <v>0</v>
      </c>
      <c r="AJ182" s="1181">
        <f t="shared" si="120"/>
        <v>0</v>
      </c>
      <c r="AK182" s="1181">
        <f t="shared" si="120"/>
        <v>0</v>
      </c>
      <c r="AL182" s="1181">
        <f t="shared" si="120"/>
        <v>0</v>
      </c>
      <c r="AM182" s="1181">
        <f t="shared" si="120"/>
        <v>0</v>
      </c>
      <c r="AN182" s="1181">
        <f t="shared" si="120"/>
        <v>0</v>
      </c>
      <c r="AO182" s="1181">
        <f t="shared" si="120"/>
        <v>0</v>
      </c>
      <c r="AP182" s="806" t="s">
        <v>244</v>
      </c>
      <c r="AQ182" s="812">
        <v>0</v>
      </c>
    </row>
    <row r="183" spans="1:43" ht="18" customHeight="1" x14ac:dyDescent="0.25">
      <c r="A183" s="1488"/>
      <c r="B183" s="42" t="s">
        <v>15</v>
      </c>
      <c r="C183" s="334"/>
      <c r="D183" s="334"/>
      <c r="E183" s="334"/>
      <c r="F183" s="313"/>
      <c r="G183" s="335"/>
      <c r="H183" s="336"/>
      <c r="I183" s="1328"/>
      <c r="J183" s="1204"/>
      <c r="K183" s="649"/>
      <c r="L183" s="1190">
        <v>7644.31</v>
      </c>
      <c r="M183" s="83">
        <v>0</v>
      </c>
      <c r="N183" s="83">
        <v>377.26</v>
      </c>
      <c r="O183" s="83">
        <v>0</v>
      </c>
      <c r="P183" s="83">
        <v>7000</v>
      </c>
      <c r="Q183" s="83">
        <v>0</v>
      </c>
      <c r="R183" s="83">
        <v>0</v>
      </c>
      <c r="S183" s="83">
        <v>0</v>
      </c>
      <c r="T183" s="83">
        <f>SUM(T184:T185)</f>
        <v>0</v>
      </c>
      <c r="U183" s="83">
        <f>SUM(U184:U185)</f>
        <v>0</v>
      </c>
      <c r="V183" s="83">
        <f t="shared" ref="V183:AE183" si="122">SUM(V184:V185)</f>
        <v>0</v>
      </c>
      <c r="W183" s="83">
        <f t="shared" si="122"/>
        <v>0</v>
      </c>
      <c r="X183" s="83">
        <f t="shared" si="122"/>
        <v>0</v>
      </c>
      <c r="Y183" s="83">
        <f t="shared" si="122"/>
        <v>0</v>
      </c>
      <c r="Z183" s="259"/>
      <c r="AA183" s="83">
        <f t="shared" si="122"/>
        <v>0</v>
      </c>
      <c r="AB183" s="83">
        <f t="shared" si="122"/>
        <v>0</v>
      </c>
      <c r="AC183" s="83">
        <f t="shared" si="122"/>
        <v>0</v>
      </c>
      <c r="AD183" s="83">
        <f t="shared" si="122"/>
        <v>0</v>
      </c>
      <c r="AE183" s="83">
        <f t="shared" si="122"/>
        <v>0</v>
      </c>
      <c r="AF183" s="83">
        <v>0</v>
      </c>
      <c r="AG183" s="83">
        <v>0</v>
      </c>
      <c r="AH183" s="83">
        <v>0</v>
      </c>
      <c r="AI183" s="83">
        <v>0</v>
      </c>
      <c r="AJ183" s="83">
        <v>0</v>
      </c>
      <c r="AK183" s="83">
        <v>0</v>
      </c>
      <c r="AL183" s="83">
        <v>0</v>
      </c>
      <c r="AM183" s="83">
        <v>0</v>
      </c>
      <c r="AN183" s="83">
        <v>0</v>
      </c>
      <c r="AO183" s="83">
        <v>0</v>
      </c>
      <c r="AP183" s="409"/>
      <c r="AQ183" s="259"/>
    </row>
    <row r="184" spans="1:43" s="266" customFormat="1" ht="18" hidden="1" customHeight="1" x14ac:dyDescent="0.25">
      <c r="A184" s="366"/>
      <c r="B184" s="252" t="s">
        <v>232</v>
      </c>
      <c r="C184" s="253"/>
      <c r="D184" s="253"/>
      <c r="E184" s="253"/>
      <c r="F184" s="363"/>
      <c r="G184" s="255"/>
      <c r="H184" s="256"/>
      <c r="I184" s="367"/>
      <c r="J184" s="533"/>
      <c r="K184" s="534"/>
      <c r="L184" s="258"/>
      <c r="M184" s="259"/>
      <c r="N184" s="259"/>
      <c r="O184" s="259"/>
      <c r="P184" s="83"/>
      <c r="Q184" s="259"/>
      <c r="R184" s="259"/>
      <c r="S184" s="259"/>
      <c r="T184" s="259"/>
      <c r="U184" s="259"/>
      <c r="V184" s="259"/>
      <c r="W184" s="259"/>
      <c r="X184" s="83"/>
      <c r="Y184" s="83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411"/>
      <c r="AQ184" s="259"/>
    </row>
    <row r="185" spans="1:43" ht="18" customHeight="1" x14ac:dyDescent="0.25">
      <c r="A185" s="1166"/>
      <c r="B185" s="42" t="s">
        <v>32</v>
      </c>
      <c r="C185" s="334"/>
      <c r="D185" s="334"/>
      <c r="E185" s="334"/>
      <c r="F185" s="313"/>
      <c r="G185" s="335"/>
      <c r="H185" s="336"/>
      <c r="I185" s="1165"/>
      <c r="J185" s="1204"/>
      <c r="K185" s="649"/>
      <c r="L185" s="1190"/>
      <c r="M185" s="83"/>
      <c r="N185" s="83"/>
      <c r="O185" s="83"/>
      <c r="P185" s="83">
        <v>63000</v>
      </c>
      <c r="Q185" s="83">
        <f>S185+U185</f>
        <v>0</v>
      </c>
      <c r="R185" s="83"/>
      <c r="S185" s="83"/>
      <c r="T185" s="83">
        <v>0</v>
      </c>
      <c r="U185" s="83">
        <v>0</v>
      </c>
      <c r="V185" s="83"/>
      <c r="W185" s="83"/>
      <c r="X185" s="83"/>
      <c r="Y185" s="83"/>
      <c r="Z185" s="83"/>
      <c r="AA185" s="83">
        <f>SUM(AB185:AC185)</f>
        <v>0</v>
      </c>
      <c r="AB185" s="83"/>
      <c r="AC185" s="83">
        <v>0</v>
      </c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409"/>
      <c r="AQ185" s="83"/>
    </row>
    <row r="186" spans="1:43" s="327" customFormat="1" ht="26.25" customHeight="1" x14ac:dyDescent="0.25">
      <c r="A186" s="1398" t="s">
        <v>169</v>
      </c>
      <c r="B186" s="772" t="s">
        <v>170</v>
      </c>
      <c r="C186" s="809"/>
      <c r="D186" s="809"/>
      <c r="E186" s="809"/>
      <c r="F186" s="312"/>
      <c r="G186" s="775"/>
      <c r="H186" s="810"/>
      <c r="I186" s="1326" t="s">
        <v>19</v>
      </c>
      <c r="J186" s="283"/>
      <c r="K186" s="811"/>
      <c r="L186" s="1181">
        <f>L187</f>
        <v>8790.08</v>
      </c>
      <c r="M186" s="1181">
        <f>M187</f>
        <v>0</v>
      </c>
      <c r="N186" s="1181">
        <f t="shared" ref="N186:AO187" si="123">N187</f>
        <v>612.4</v>
      </c>
      <c r="O186" s="1181">
        <f t="shared" si="123"/>
        <v>7188.28</v>
      </c>
      <c r="P186" s="1181">
        <v>1215.26</v>
      </c>
      <c r="Q186" s="1181">
        <v>0</v>
      </c>
      <c r="R186" s="1181">
        <f t="shared" si="123"/>
        <v>0</v>
      </c>
      <c r="S186" s="1181">
        <f t="shared" si="123"/>
        <v>0</v>
      </c>
      <c r="T186" s="1181">
        <f t="shared" si="123"/>
        <v>0</v>
      </c>
      <c r="U186" s="1181">
        <f t="shared" si="123"/>
        <v>2205.3380000000002</v>
      </c>
      <c r="V186" s="1181">
        <f t="shared" si="123"/>
        <v>0</v>
      </c>
      <c r="W186" s="1181">
        <f t="shared" si="123"/>
        <v>0</v>
      </c>
      <c r="X186" s="1181">
        <f t="shared" si="123"/>
        <v>0</v>
      </c>
      <c r="Y186" s="1181">
        <f t="shared" si="123"/>
        <v>0</v>
      </c>
      <c r="Z186" s="1181">
        <v>0</v>
      </c>
      <c r="AA186" s="1181">
        <v>0</v>
      </c>
      <c r="AB186" s="1181">
        <f>AB187</f>
        <v>2205.337</v>
      </c>
      <c r="AC186" s="1181">
        <f>AC187</f>
        <v>0</v>
      </c>
      <c r="AD186" s="1181">
        <f>AD187</f>
        <v>0</v>
      </c>
      <c r="AE186" s="1181">
        <f>AE187</f>
        <v>0</v>
      </c>
      <c r="AF186" s="1181">
        <f t="shared" si="123"/>
        <v>0</v>
      </c>
      <c r="AG186" s="1181">
        <f t="shared" si="123"/>
        <v>0</v>
      </c>
      <c r="AH186" s="1181">
        <f t="shared" si="123"/>
        <v>0</v>
      </c>
      <c r="AI186" s="1181">
        <f t="shared" si="123"/>
        <v>0</v>
      </c>
      <c r="AJ186" s="1181">
        <f t="shared" si="123"/>
        <v>0</v>
      </c>
      <c r="AK186" s="1181">
        <f t="shared" si="123"/>
        <v>0</v>
      </c>
      <c r="AL186" s="1181">
        <f t="shared" si="123"/>
        <v>0</v>
      </c>
      <c r="AM186" s="1181">
        <f t="shared" si="123"/>
        <v>0</v>
      </c>
      <c r="AN186" s="1181">
        <f t="shared" si="123"/>
        <v>0</v>
      </c>
      <c r="AO186" s="1181">
        <f t="shared" si="123"/>
        <v>0</v>
      </c>
      <c r="AP186" s="806"/>
      <c r="AQ186" s="1181">
        <v>0</v>
      </c>
    </row>
    <row r="187" spans="1:43" ht="24" hidden="1" customHeight="1" x14ac:dyDescent="0.25">
      <c r="A187" s="1488"/>
      <c r="B187" s="42" t="s">
        <v>15</v>
      </c>
      <c r="C187" s="334"/>
      <c r="D187" s="334"/>
      <c r="E187" s="334"/>
      <c r="F187" s="313"/>
      <c r="G187" s="335"/>
      <c r="H187" s="336"/>
      <c r="I187" s="1328"/>
      <c r="J187" s="1204"/>
      <c r="K187" s="649"/>
      <c r="L187" s="1190">
        <v>8790.08</v>
      </c>
      <c r="M187" s="83">
        <v>0</v>
      </c>
      <c r="N187" s="83">
        <v>612.4</v>
      </c>
      <c r="O187" s="83">
        <v>7188.28</v>
      </c>
      <c r="P187" s="83">
        <v>8177.68</v>
      </c>
      <c r="Q187" s="83">
        <f>Q188</f>
        <v>2205.3380000000002</v>
      </c>
      <c r="R187" s="83">
        <f t="shared" si="123"/>
        <v>0</v>
      </c>
      <c r="S187" s="83">
        <f t="shared" si="123"/>
        <v>0</v>
      </c>
      <c r="T187" s="83">
        <f t="shared" si="123"/>
        <v>0</v>
      </c>
      <c r="U187" s="83">
        <f t="shared" si="123"/>
        <v>2205.3380000000002</v>
      </c>
      <c r="V187" s="83">
        <f t="shared" si="123"/>
        <v>0</v>
      </c>
      <c r="W187" s="83">
        <f t="shared" si="123"/>
        <v>0</v>
      </c>
      <c r="X187" s="83">
        <f t="shared" si="123"/>
        <v>0</v>
      </c>
      <c r="Y187" s="83">
        <f t="shared" si="123"/>
        <v>0</v>
      </c>
      <c r="Z187" s="259"/>
      <c r="AA187" s="83">
        <f t="shared" si="123"/>
        <v>2205.337</v>
      </c>
      <c r="AB187" s="83">
        <f t="shared" si="123"/>
        <v>2205.337</v>
      </c>
      <c r="AC187" s="83">
        <f t="shared" si="123"/>
        <v>0</v>
      </c>
      <c r="AD187" s="83">
        <f>AD188</f>
        <v>0</v>
      </c>
      <c r="AE187" s="83">
        <f>AE188</f>
        <v>0</v>
      </c>
      <c r="AF187" s="83">
        <f t="shared" si="123"/>
        <v>0</v>
      </c>
      <c r="AG187" s="83">
        <f t="shared" si="123"/>
        <v>0</v>
      </c>
      <c r="AH187" s="83">
        <v>0</v>
      </c>
      <c r="AI187" s="83">
        <v>0</v>
      </c>
      <c r="AJ187" s="83">
        <v>0</v>
      </c>
      <c r="AK187" s="83">
        <v>0</v>
      </c>
      <c r="AL187" s="83">
        <v>0</v>
      </c>
      <c r="AM187" s="83">
        <v>0</v>
      </c>
      <c r="AN187" s="83">
        <v>0</v>
      </c>
      <c r="AO187" s="83">
        <v>0</v>
      </c>
      <c r="AP187" s="409"/>
      <c r="AQ187" s="259"/>
    </row>
    <row r="188" spans="1:43" s="266" customFormat="1" ht="27" hidden="1" customHeight="1" x14ac:dyDescent="0.25">
      <c r="A188" s="366"/>
      <c r="B188" s="252" t="s">
        <v>302</v>
      </c>
      <c r="C188" s="253"/>
      <c r="D188" s="253"/>
      <c r="E188" s="253"/>
      <c r="F188" s="363"/>
      <c r="G188" s="255"/>
      <c r="H188" s="256"/>
      <c r="I188" s="367"/>
      <c r="J188" s="533"/>
      <c r="K188" s="534"/>
      <c r="L188" s="258"/>
      <c r="M188" s="259"/>
      <c r="N188" s="259"/>
      <c r="O188" s="259"/>
      <c r="P188" s="259"/>
      <c r="Q188" s="259">
        <f>S188+U188</f>
        <v>2205.3380000000002</v>
      </c>
      <c r="R188" s="259"/>
      <c r="S188" s="259"/>
      <c r="T188" s="259"/>
      <c r="U188" s="259">
        <v>2205.3380000000002</v>
      </c>
      <c r="V188" s="259"/>
      <c r="W188" s="259"/>
      <c r="X188" s="259"/>
      <c r="Y188" s="259"/>
      <c r="Z188" s="259"/>
      <c r="AA188" s="259">
        <f>AB188</f>
        <v>2205.337</v>
      </c>
      <c r="AB188" s="259">
        <v>2205.337</v>
      </c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411"/>
      <c r="AQ188" s="259"/>
    </row>
    <row r="189" spans="1:43" s="327" customFormat="1" ht="43.5" customHeight="1" x14ac:dyDescent="0.25">
      <c r="A189" s="1398" t="s">
        <v>171</v>
      </c>
      <c r="B189" s="772" t="s">
        <v>172</v>
      </c>
      <c r="C189" s="809"/>
      <c r="D189" s="809"/>
      <c r="E189" s="809"/>
      <c r="F189" s="312"/>
      <c r="G189" s="775"/>
      <c r="H189" s="810"/>
      <c r="I189" s="1326" t="s">
        <v>19</v>
      </c>
      <c r="J189" s="283"/>
      <c r="K189" s="811"/>
      <c r="L189" s="1181">
        <f>L190+L196</f>
        <v>204849.53</v>
      </c>
      <c r="M189" s="1181">
        <f>M190+M196</f>
        <v>195485</v>
      </c>
      <c r="N189" s="1181">
        <f>N190+N196</f>
        <v>203676.84</v>
      </c>
      <c r="O189" s="1181">
        <f t="shared" ref="O189:AO189" si="124">O190</f>
        <v>1116.69</v>
      </c>
      <c r="P189" s="1181">
        <f>P190+P196</f>
        <v>0</v>
      </c>
      <c r="Q189" s="1181">
        <f t="shared" si="124"/>
        <v>0</v>
      </c>
      <c r="R189" s="1181">
        <f t="shared" si="124"/>
        <v>0</v>
      </c>
      <c r="S189" s="1181">
        <f t="shared" si="124"/>
        <v>3000</v>
      </c>
      <c r="T189" s="1181">
        <f t="shared" si="124"/>
        <v>0</v>
      </c>
      <c r="U189" s="1181">
        <f t="shared" si="124"/>
        <v>0</v>
      </c>
      <c r="V189" s="1181">
        <f t="shared" si="124"/>
        <v>0</v>
      </c>
      <c r="W189" s="1181">
        <f t="shared" si="124"/>
        <v>0</v>
      </c>
      <c r="X189" s="1181">
        <f t="shared" si="124"/>
        <v>0</v>
      </c>
      <c r="Y189" s="1181">
        <f t="shared" si="124"/>
        <v>0</v>
      </c>
      <c r="Z189" s="812">
        <v>0</v>
      </c>
      <c r="AA189" s="1181">
        <f t="shared" si="124"/>
        <v>0</v>
      </c>
      <c r="AB189" s="1181">
        <f t="shared" si="124"/>
        <v>0</v>
      </c>
      <c r="AC189" s="1181">
        <f t="shared" si="124"/>
        <v>0</v>
      </c>
      <c r="AD189" s="1181">
        <f t="shared" si="124"/>
        <v>0</v>
      </c>
      <c r="AE189" s="1181">
        <f t="shared" si="124"/>
        <v>0</v>
      </c>
      <c r="AF189" s="1181">
        <f t="shared" si="124"/>
        <v>0</v>
      </c>
      <c r="AG189" s="1181">
        <f t="shared" si="124"/>
        <v>0</v>
      </c>
      <c r="AH189" s="1181">
        <f t="shared" si="124"/>
        <v>0</v>
      </c>
      <c r="AI189" s="1181">
        <f t="shared" si="124"/>
        <v>0</v>
      </c>
      <c r="AJ189" s="1181">
        <f t="shared" si="124"/>
        <v>0</v>
      </c>
      <c r="AK189" s="1181">
        <f t="shared" si="124"/>
        <v>0</v>
      </c>
      <c r="AL189" s="1181">
        <f t="shared" si="124"/>
        <v>0</v>
      </c>
      <c r="AM189" s="1181">
        <f t="shared" si="124"/>
        <v>0</v>
      </c>
      <c r="AN189" s="1181">
        <f t="shared" si="124"/>
        <v>0</v>
      </c>
      <c r="AO189" s="1181">
        <f t="shared" si="124"/>
        <v>0</v>
      </c>
      <c r="AP189" s="813" t="s">
        <v>295</v>
      </c>
      <c r="AQ189" s="812">
        <v>0</v>
      </c>
    </row>
    <row r="190" spans="1:43" x14ac:dyDescent="0.25">
      <c r="A190" s="1488"/>
      <c r="B190" s="42" t="s">
        <v>15</v>
      </c>
      <c r="C190" s="334"/>
      <c r="D190" s="334"/>
      <c r="E190" s="334"/>
      <c r="F190" s="313"/>
      <c r="G190" s="335"/>
      <c r="H190" s="336"/>
      <c r="I190" s="1328"/>
      <c r="J190" s="1204"/>
      <c r="K190" s="649"/>
      <c r="L190" s="1190">
        <v>9364.5300000000007</v>
      </c>
      <c r="M190" s="83">
        <v>0</v>
      </c>
      <c r="N190" s="83">
        <v>8191.84</v>
      </c>
      <c r="O190" s="83">
        <v>1116.69</v>
      </c>
      <c r="P190" s="83">
        <v>0</v>
      </c>
      <c r="Q190" s="83">
        <v>0</v>
      </c>
      <c r="R190" s="83">
        <f>P190</f>
        <v>0</v>
      </c>
      <c r="S190" s="83">
        <f>SUM(S191:S195)</f>
        <v>3000</v>
      </c>
      <c r="T190" s="83">
        <v>0</v>
      </c>
      <c r="U190" s="83">
        <v>0</v>
      </c>
      <c r="V190" s="83">
        <v>0</v>
      </c>
      <c r="W190" s="83">
        <v>0</v>
      </c>
      <c r="X190" s="83">
        <v>0</v>
      </c>
      <c r="Y190" s="83">
        <v>0</v>
      </c>
      <c r="Z190" s="259"/>
      <c r="AA190" s="83">
        <f>SUM(AA191:AA195)</f>
        <v>0</v>
      </c>
      <c r="AB190" s="83">
        <f t="shared" ref="AB190:AJ190" si="125">SUM(AB191:AB193)</f>
        <v>0</v>
      </c>
      <c r="AC190" s="83">
        <f t="shared" si="125"/>
        <v>0</v>
      </c>
      <c r="AD190" s="83">
        <f t="shared" si="125"/>
        <v>0</v>
      </c>
      <c r="AE190" s="83">
        <f>SUM(AE191:AE195)</f>
        <v>0</v>
      </c>
      <c r="AF190" s="83">
        <f t="shared" si="125"/>
        <v>0</v>
      </c>
      <c r="AG190" s="83">
        <f t="shared" si="125"/>
        <v>0</v>
      </c>
      <c r="AH190" s="83">
        <f t="shared" si="125"/>
        <v>0</v>
      </c>
      <c r="AI190" s="83">
        <f t="shared" si="125"/>
        <v>0</v>
      </c>
      <c r="AJ190" s="83">
        <f t="shared" si="125"/>
        <v>0</v>
      </c>
      <c r="AK190" s="83">
        <v>0</v>
      </c>
      <c r="AL190" s="83">
        <v>0</v>
      </c>
      <c r="AM190" s="83">
        <v>0</v>
      </c>
      <c r="AN190" s="83">
        <v>0</v>
      </c>
      <c r="AO190" s="83">
        <v>0</v>
      </c>
      <c r="AP190" s="409"/>
      <c r="AQ190" s="259"/>
    </row>
    <row r="191" spans="1:43" s="266" customFormat="1" ht="15.75" hidden="1" x14ac:dyDescent="0.25">
      <c r="A191" s="324"/>
      <c r="B191" s="252" t="s">
        <v>233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83"/>
      <c r="Q191" s="259">
        <f>Y191</f>
        <v>0</v>
      </c>
      <c r="R191" s="259"/>
      <c r="S191" s="259"/>
      <c r="T191" s="259"/>
      <c r="U191" s="259"/>
      <c r="V191" s="259"/>
      <c r="W191" s="259"/>
      <c r="X191" s="259">
        <f>Y191</f>
        <v>0</v>
      </c>
      <c r="Y191" s="83"/>
      <c r="Z191" s="259"/>
      <c r="AA191" s="259"/>
      <c r="AB191" s="259"/>
      <c r="AC191" s="259"/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s="266" customFormat="1" ht="15.75" hidden="1" x14ac:dyDescent="0.25">
      <c r="A192" s="324"/>
      <c r="B192" s="252" t="s">
        <v>262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259"/>
      <c r="Q192" s="259">
        <f>S192+U192+W192</f>
        <v>3000</v>
      </c>
      <c r="R192" s="259">
        <f>S192</f>
        <v>3000</v>
      </c>
      <c r="S192" s="259">
        <v>3000</v>
      </c>
      <c r="T192" s="259">
        <f>U192</f>
        <v>0</v>
      </c>
      <c r="U192" s="259">
        <v>0</v>
      </c>
      <c r="V192" s="259"/>
      <c r="W192" s="259">
        <v>0</v>
      </c>
      <c r="X192" s="259"/>
      <c r="Y192" s="259"/>
      <c r="Z192" s="259"/>
      <c r="AA192" s="259">
        <f>SUM(AB192:AC192)</f>
        <v>0</v>
      </c>
      <c r="AB192" s="259"/>
      <c r="AC192" s="259">
        <v>0</v>
      </c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263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v>0</v>
      </c>
      <c r="R193" s="259">
        <v>0</v>
      </c>
      <c r="S193" s="259">
        <v>0</v>
      </c>
      <c r="T193" s="259">
        <v>0</v>
      </c>
      <c r="U193" s="259">
        <v>0</v>
      </c>
      <c r="V193" s="259"/>
      <c r="W193" s="259"/>
      <c r="X193" s="259"/>
      <c r="Y193" s="259"/>
      <c r="Z193" s="259"/>
      <c r="AA193" s="259">
        <f>SUM(AB193:AC193)</f>
        <v>0</v>
      </c>
      <c r="AB193" s="259"/>
      <c r="AC193" s="259">
        <v>0</v>
      </c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s="266" customFormat="1" ht="15.75" hidden="1" x14ac:dyDescent="0.25">
      <c r="A194" s="324"/>
      <c r="B194" s="252" t="s">
        <v>292</v>
      </c>
      <c r="C194" s="253"/>
      <c r="D194" s="253"/>
      <c r="E194" s="253"/>
      <c r="F194" s="363"/>
      <c r="G194" s="255"/>
      <c r="H194" s="256"/>
      <c r="I194" s="368"/>
      <c r="J194" s="533"/>
      <c r="K194" s="534"/>
      <c r="L194" s="258"/>
      <c r="M194" s="259"/>
      <c r="N194" s="259"/>
      <c r="O194" s="259"/>
      <c r="P194" s="259"/>
      <c r="Q194" s="259">
        <f>Y194</f>
        <v>0</v>
      </c>
      <c r="R194" s="259"/>
      <c r="S194" s="259"/>
      <c r="T194" s="259"/>
      <c r="U194" s="259"/>
      <c r="V194" s="259"/>
      <c r="W194" s="259"/>
      <c r="X194" s="259">
        <f>Y194</f>
        <v>0</v>
      </c>
      <c r="Y194" s="259">
        <v>0</v>
      </c>
      <c r="Z194" s="259"/>
      <c r="AA194" s="259">
        <f>SUM(AB194:AE194)</f>
        <v>0</v>
      </c>
      <c r="AB194" s="259"/>
      <c r="AC194" s="259"/>
      <c r="AD194" s="259"/>
      <c r="AE194" s="259">
        <v>0</v>
      </c>
      <c r="AF194" s="259"/>
      <c r="AG194" s="259"/>
      <c r="AH194" s="259"/>
      <c r="AI194" s="259"/>
      <c r="AJ194" s="259"/>
      <c r="AK194" s="259"/>
      <c r="AL194" s="259"/>
      <c r="AM194" s="259"/>
      <c r="AN194" s="259"/>
      <c r="AO194" s="259"/>
      <c r="AP194" s="411"/>
      <c r="AQ194" s="259"/>
    </row>
    <row r="195" spans="1:43" s="266" customFormat="1" ht="15.75" hidden="1" x14ac:dyDescent="0.25">
      <c r="A195" s="324"/>
      <c r="B195" s="252" t="s">
        <v>293</v>
      </c>
      <c r="C195" s="253"/>
      <c r="D195" s="253"/>
      <c r="E195" s="253"/>
      <c r="F195" s="363"/>
      <c r="G195" s="255"/>
      <c r="H195" s="256"/>
      <c r="I195" s="368"/>
      <c r="J195" s="533"/>
      <c r="K195" s="534"/>
      <c r="L195" s="258"/>
      <c r="M195" s="259"/>
      <c r="N195" s="259"/>
      <c r="O195" s="259"/>
      <c r="P195" s="259"/>
      <c r="Q195" s="259">
        <f>Y195</f>
        <v>0</v>
      </c>
      <c r="R195" s="259"/>
      <c r="S195" s="259"/>
      <c r="T195" s="259"/>
      <c r="U195" s="259"/>
      <c r="V195" s="259"/>
      <c r="W195" s="259"/>
      <c r="X195" s="259">
        <f>Y195</f>
        <v>0</v>
      </c>
      <c r="Y195" s="259">
        <v>0</v>
      </c>
      <c r="Z195" s="259"/>
      <c r="AA195" s="259">
        <f>SUM(AB195:AE195)</f>
        <v>0</v>
      </c>
      <c r="AB195" s="259"/>
      <c r="AC195" s="259"/>
      <c r="AD195" s="259"/>
      <c r="AE195" s="259">
        <v>0</v>
      </c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  <c r="AP195" s="411"/>
      <c r="AQ195" s="259"/>
    </row>
    <row r="196" spans="1:43" ht="17.25" customHeight="1" x14ac:dyDescent="0.25">
      <c r="A196" s="1159"/>
      <c r="B196" s="42" t="s">
        <v>32</v>
      </c>
      <c r="C196" s="334"/>
      <c r="D196" s="334"/>
      <c r="E196" s="334"/>
      <c r="F196" s="313"/>
      <c r="G196" s="335"/>
      <c r="H196" s="336"/>
      <c r="I196" s="1162" t="s">
        <v>10</v>
      </c>
      <c r="J196" s="1204"/>
      <c r="K196" s="649"/>
      <c r="L196" s="1190">
        <v>195485</v>
      </c>
      <c r="M196" s="1190">
        <v>195485</v>
      </c>
      <c r="N196" s="1190">
        <v>195485</v>
      </c>
      <c r="O196" s="1190">
        <v>195485</v>
      </c>
      <c r="P196" s="1190">
        <v>0</v>
      </c>
      <c r="Q196" s="83"/>
      <c r="R196" s="83"/>
      <c r="S196" s="83"/>
      <c r="T196" s="83"/>
      <c r="U196" s="83"/>
      <c r="V196" s="83"/>
      <c r="W196" s="83"/>
      <c r="X196" s="83"/>
      <c r="Y196" s="83"/>
      <c r="Z196" s="259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409"/>
      <c r="AQ196" s="259"/>
    </row>
    <row r="197" spans="1:43" s="327" customFormat="1" ht="25.5" x14ac:dyDescent="0.25">
      <c r="A197" s="1200"/>
      <c r="B197" s="772" t="s">
        <v>409</v>
      </c>
      <c r="C197" s="809"/>
      <c r="D197" s="809"/>
      <c r="E197" s="809"/>
      <c r="F197" s="312"/>
      <c r="G197" s="775"/>
      <c r="H197" s="810"/>
      <c r="I197" s="1202"/>
      <c r="J197" s="283"/>
      <c r="K197" s="811"/>
      <c r="L197" s="1181"/>
      <c r="M197" s="1181"/>
      <c r="N197" s="1181"/>
      <c r="O197" s="1181"/>
      <c r="P197" s="1181">
        <f>P198+P199</f>
        <v>12759.949999999999</v>
      </c>
      <c r="Q197" s="816">
        <v>0</v>
      </c>
      <c r="R197" s="816"/>
      <c r="S197" s="816"/>
      <c r="T197" s="816"/>
      <c r="U197" s="816"/>
      <c r="V197" s="816"/>
      <c r="W197" s="816"/>
      <c r="X197" s="816"/>
      <c r="Y197" s="816"/>
      <c r="Z197" s="817"/>
      <c r="AA197" s="816">
        <v>0</v>
      </c>
      <c r="AB197" s="816"/>
      <c r="AC197" s="816"/>
      <c r="AD197" s="816"/>
      <c r="AE197" s="816"/>
      <c r="AF197" s="816"/>
      <c r="AG197" s="816"/>
      <c r="AH197" s="816"/>
      <c r="AI197" s="816"/>
      <c r="AJ197" s="816"/>
      <c r="AK197" s="816"/>
      <c r="AL197" s="816"/>
      <c r="AM197" s="816"/>
      <c r="AN197" s="816"/>
      <c r="AO197" s="816"/>
      <c r="AP197" s="818"/>
      <c r="AQ197" s="817"/>
    </row>
    <row r="198" spans="1:43" ht="15.75" x14ac:dyDescent="0.25">
      <c r="A198" s="1159"/>
      <c r="B198" s="42" t="s">
        <v>39</v>
      </c>
      <c r="C198" s="334"/>
      <c r="D198" s="334"/>
      <c r="E198" s="334"/>
      <c r="F198" s="313"/>
      <c r="G198" s="335"/>
      <c r="H198" s="336"/>
      <c r="I198" s="1162"/>
      <c r="J198" s="1204"/>
      <c r="K198" s="649"/>
      <c r="L198" s="1190"/>
      <c r="M198" s="1190"/>
      <c r="N198" s="1190"/>
      <c r="O198" s="1190"/>
      <c r="P198" s="1190">
        <v>1652.72</v>
      </c>
      <c r="Q198" s="83">
        <v>0</v>
      </c>
      <c r="R198" s="83"/>
      <c r="S198" s="83"/>
      <c r="T198" s="83"/>
      <c r="U198" s="83"/>
      <c r="V198" s="83"/>
      <c r="W198" s="83"/>
      <c r="X198" s="83"/>
      <c r="Y198" s="83"/>
      <c r="Z198" s="259"/>
      <c r="AA198" s="83">
        <v>0</v>
      </c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409"/>
      <c r="AQ198" s="259"/>
    </row>
    <row r="199" spans="1:43" ht="15.75" x14ac:dyDescent="0.25">
      <c r="A199" s="1159"/>
      <c r="B199" s="42" t="s">
        <v>32</v>
      </c>
      <c r="C199" s="334"/>
      <c r="D199" s="334"/>
      <c r="E199" s="334"/>
      <c r="F199" s="313"/>
      <c r="G199" s="335"/>
      <c r="H199" s="336"/>
      <c r="I199" s="1164"/>
      <c r="J199" s="1204"/>
      <c r="K199" s="649"/>
      <c r="L199" s="1190"/>
      <c r="M199" s="83"/>
      <c r="N199" s="83"/>
      <c r="O199" s="83"/>
      <c r="P199" s="83">
        <v>11107.23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83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83"/>
    </row>
    <row r="200" spans="1:43" s="327" customFormat="1" ht="15.75" x14ac:dyDescent="0.25">
      <c r="A200" s="1200"/>
      <c r="B200" s="772" t="s">
        <v>410</v>
      </c>
      <c r="C200" s="809"/>
      <c r="D200" s="809"/>
      <c r="E200" s="809"/>
      <c r="F200" s="312"/>
      <c r="G200" s="775"/>
      <c r="H200" s="810"/>
      <c r="I200" s="1202"/>
      <c r="J200" s="283"/>
      <c r="K200" s="811"/>
      <c r="L200" s="1181"/>
      <c r="M200" s="1181"/>
      <c r="N200" s="1181"/>
      <c r="O200" s="1181"/>
      <c r="P200" s="1181">
        <f>P201+P202</f>
        <v>21627.71</v>
      </c>
      <c r="Q200" s="816">
        <v>0</v>
      </c>
      <c r="R200" s="816"/>
      <c r="S200" s="816"/>
      <c r="T200" s="816"/>
      <c r="U200" s="816"/>
      <c r="V200" s="816"/>
      <c r="W200" s="816"/>
      <c r="X200" s="816"/>
      <c r="Y200" s="816"/>
      <c r="Z200" s="817"/>
      <c r="AA200" s="816">
        <v>0</v>
      </c>
      <c r="AB200" s="816"/>
      <c r="AC200" s="816"/>
      <c r="AD200" s="816"/>
      <c r="AE200" s="816"/>
      <c r="AF200" s="816"/>
      <c r="AG200" s="816"/>
      <c r="AH200" s="816"/>
      <c r="AI200" s="816"/>
      <c r="AJ200" s="816"/>
      <c r="AK200" s="816"/>
      <c r="AL200" s="816"/>
      <c r="AM200" s="816"/>
      <c r="AN200" s="816"/>
      <c r="AO200" s="816"/>
      <c r="AP200" s="818"/>
      <c r="AQ200" s="817"/>
    </row>
    <row r="201" spans="1:43" ht="15.75" x14ac:dyDescent="0.25">
      <c r="A201" s="1159"/>
      <c r="B201" s="42" t="s">
        <v>39</v>
      </c>
      <c r="C201" s="334"/>
      <c r="D201" s="334"/>
      <c r="E201" s="334"/>
      <c r="F201" s="313"/>
      <c r="G201" s="335"/>
      <c r="H201" s="336"/>
      <c r="I201" s="1162"/>
      <c r="J201" s="1204"/>
      <c r="K201" s="649"/>
      <c r="L201" s="1190"/>
      <c r="M201" s="1190"/>
      <c r="N201" s="1190"/>
      <c r="O201" s="1190"/>
      <c r="P201" s="1190">
        <v>1821.34</v>
      </c>
      <c r="Q201" s="83">
        <v>0</v>
      </c>
      <c r="R201" s="83"/>
      <c r="S201" s="83"/>
      <c r="T201" s="83"/>
      <c r="U201" s="83"/>
      <c r="V201" s="83"/>
      <c r="W201" s="83"/>
      <c r="X201" s="83"/>
      <c r="Y201" s="83"/>
      <c r="Z201" s="259"/>
      <c r="AA201" s="83">
        <v>0</v>
      </c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409"/>
      <c r="AQ201" s="259"/>
    </row>
    <row r="202" spans="1:43" ht="15.75" x14ac:dyDescent="0.25">
      <c r="A202" s="1159"/>
      <c r="B202" s="42" t="s">
        <v>16</v>
      </c>
      <c r="C202" s="334"/>
      <c r="D202" s="334"/>
      <c r="E202" s="334"/>
      <c r="F202" s="313"/>
      <c r="G202" s="335"/>
      <c r="H202" s="336"/>
      <c r="I202" s="1164"/>
      <c r="J202" s="1204"/>
      <c r="K202" s="649"/>
      <c r="L202" s="1190"/>
      <c r="M202" s="83"/>
      <c r="N202" s="83"/>
      <c r="O202" s="83"/>
      <c r="P202" s="83">
        <v>19806.37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83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83"/>
    </row>
    <row r="203" spans="1:43" s="327" customFormat="1" ht="25.5" x14ac:dyDescent="0.25">
      <c r="A203" s="1200"/>
      <c r="B203" s="772" t="s">
        <v>411</v>
      </c>
      <c r="C203" s="809"/>
      <c r="D203" s="809"/>
      <c r="E203" s="809"/>
      <c r="F203" s="312"/>
      <c r="G203" s="775"/>
      <c r="H203" s="810"/>
      <c r="I203" s="1202"/>
      <c r="J203" s="283"/>
      <c r="K203" s="811"/>
      <c r="L203" s="1181"/>
      <c r="M203" s="1181"/>
      <c r="N203" s="1181"/>
      <c r="O203" s="1181"/>
      <c r="P203" s="1181">
        <f>P204+P205</f>
        <v>12759.59</v>
      </c>
      <c r="Q203" s="816">
        <v>0</v>
      </c>
      <c r="R203" s="816"/>
      <c r="S203" s="816"/>
      <c r="T203" s="816"/>
      <c r="U203" s="816"/>
      <c r="V203" s="816"/>
      <c r="W203" s="816"/>
      <c r="X203" s="816"/>
      <c r="Y203" s="816"/>
      <c r="Z203" s="817"/>
      <c r="AA203" s="816">
        <v>0</v>
      </c>
      <c r="AB203" s="816"/>
      <c r="AC203" s="816"/>
      <c r="AD203" s="816"/>
      <c r="AE203" s="816"/>
      <c r="AF203" s="816"/>
      <c r="AG203" s="816"/>
      <c r="AH203" s="816"/>
      <c r="AI203" s="816"/>
      <c r="AJ203" s="816"/>
      <c r="AK203" s="816"/>
      <c r="AL203" s="816"/>
      <c r="AM203" s="816"/>
      <c r="AN203" s="816"/>
      <c r="AO203" s="816"/>
      <c r="AP203" s="818"/>
      <c r="AQ203" s="817"/>
    </row>
    <row r="204" spans="1:43" ht="15.75" x14ac:dyDescent="0.25">
      <c r="A204" s="1159"/>
      <c r="B204" s="42" t="s">
        <v>39</v>
      </c>
      <c r="C204" s="334"/>
      <c r="D204" s="334"/>
      <c r="E204" s="334"/>
      <c r="F204" s="313"/>
      <c r="G204" s="335"/>
      <c r="H204" s="336"/>
      <c r="I204" s="1162"/>
      <c r="J204" s="1204"/>
      <c r="K204" s="649"/>
      <c r="L204" s="1190"/>
      <c r="M204" s="1190"/>
      <c r="N204" s="1190"/>
      <c r="O204" s="1190"/>
      <c r="P204" s="1190">
        <v>1652.36</v>
      </c>
      <c r="Q204" s="83">
        <v>0</v>
      </c>
      <c r="R204" s="83"/>
      <c r="S204" s="83"/>
      <c r="T204" s="83"/>
      <c r="U204" s="83"/>
      <c r="V204" s="83"/>
      <c r="W204" s="83"/>
      <c r="X204" s="83"/>
      <c r="Y204" s="83"/>
      <c r="Z204" s="259"/>
      <c r="AA204" s="83">
        <v>0</v>
      </c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409"/>
      <c r="AQ204" s="259"/>
    </row>
    <row r="205" spans="1:43" ht="15.75" x14ac:dyDescent="0.25">
      <c r="A205" s="1159"/>
      <c r="B205" s="42" t="s">
        <v>32</v>
      </c>
      <c r="C205" s="334"/>
      <c r="D205" s="334"/>
      <c r="E205" s="334"/>
      <c r="F205" s="313"/>
      <c r="G205" s="335"/>
      <c r="H205" s="336"/>
      <c r="I205" s="1164"/>
      <c r="J205" s="1204"/>
      <c r="K205" s="649"/>
      <c r="L205" s="1190"/>
      <c r="M205" s="83"/>
      <c r="N205" s="83"/>
      <c r="O205" s="83"/>
      <c r="P205" s="83">
        <v>11107.23</v>
      </c>
      <c r="Q205" s="83">
        <v>0</v>
      </c>
      <c r="R205" s="83"/>
      <c r="S205" s="83"/>
      <c r="T205" s="83"/>
      <c r="U205" s="83"/>
      <c r="V205" s="83"/>
      <c r="W205" s="83"/>
      <c r="X205" s="83"/>
      <c r="Y205" s="83"/>
      <c r="Z205" s="83"/>
      <c r="AA205" s="83">
        <v>0</v>
      </c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409"/>
      <c r="AQ205" s="83"/>
    </row>
    <row r="206" spans="1:43" ht="43.5" hidden="1" customHeight="1" x14ac:dyDescent="0.25">
      <c r="A206" s="1535" t="s">
        <v>24</v>
      </c>
      <c r="B206" s="1613" t="s">
        <v>206</v>
      </c>
      <c r="C206" s="1614"/>
      <c r="D206" s="1614"/>
      <c r="E206" s="1614"/>
      <c r="F206" s="1614"/>
      <c r="G206" s="1614"/>
      <c r="H206" s="1615"/>
      <c r="I206" s="23" t="s">
        <v>19</v>
      </c>
      <c r="J206" s="1204">
        <v>0</v>
      </c>
      <c r="K206" s="1204">
        <v>0</v>
      </c>
      <c r="L206" s="47">
        <v>0</v>
      </c>
      <c r="M206" s="47">
        <v>0</v>
      </c>
      <c r="N206" s="47">
        <v>0</v>
      </c>
      <c r="O206" s="47">
        <v>1</v>
      </c>
      <c r="P206" s="47">
        <v>0</v>
      </c>
      <c r="Q206" s="47">
        <v>0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47">
        <v>0</v>
      </c>
      <c r="X206" s="47">
        <v>0</v>
      </c>
      <c r="Y206" s="47">
        <v>0</v>
      </c>
      <c r="Z206" s="96"/>
      <c r="AA206" s="47">
        <v>0</v>
      </c>
      <c r="AB206" s="47">
        <v>0</v>
      </c>
      <c r="AC206" s="47">
        <v>0</v>
      </c>
      <c r="AD206" s="47">
        <v>0</v>
      </c>
      <c r="AE206" s="47">
        <v>0</v>
      </c>
      <c r="AF206" s="47">
        <v>0</v>
      </c>
      <c r="AG206" s="47">
        <v>0</v>
      </c>
      <c r="AH206" s="47">
        <v>0</v>
      </c>
      <c r="AI206" s="47">
        <v>0</v>
      </c>
      <c r="AJ206" s="47"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397"/>
      <c r="AQ206" s="96"/>
    </row>
    <row r="207" spans="1:43" ht="41.25" hidden="1" customHeight="1" x14ac:dyDescent="0.25">
      <c r="A207" s="1535"/>
      <c r="B207" s="1616"/>
      <c r="C207" s="1617"/>
      <c r="D207" s="1617"/>
      <c r="E207" s="1617"/>
      <c r="F207" s="1617"/>
      <c r="G207" s="1617"/>
      <c r="H207" s="1618"/>
      <c r="I207" s="23" t="s">
        <v>20</v>
      </c>
      <c r="J207" s="1204">
        <f>J210</f>
        <v>6379.79</v>
      </c>
      <c r="K207" s="1204">
        <f>K210</f>
        <v>0</v>
      </c>
      <c r="L207" s="47">
        <f t="shared" ref="L207:AK207" si="126">L210+L215+L221</f>
        <v>13097.62</v>
      </c>
      <c r="M207" s="47">
        <f t="shared" si="126"/>
        <v>4269.0300000000007</v>
      </c>
      <c r="N207" s="47">
        <f t="shared" si="126"/>
        <v>5370.84</v>
      </c>
      <c r="O207" s="47">
        <f t="shared" si="126"/>
        <v>3372.5</v>
      </c>
      <c r="P207" s="47">
        <f t="shared" si="126"/>
        <v>78556.570000000007</v>
      </c>
      <c r="Q207" s="47">
        <f t="shared" si="126"/>
        <v>0</v>
      </c>
      <c r="R207" s="47">
        <f t="shared" si="126"/>
        <v>0</v>
      </c>
      <c r="S207" s="47">
        <f t="shared" si="126"/>
        <v>0</v>
      </c>
      <c r="T207" s="47">
        <f t="shared" si="126"/>
        <v>753.46</v>
      </c>
      <c r="U207" s="47">
        <f t="shared" si="126"/>
        <v>753.46</v>
      </c>
      <c r="V207" s="47">
        <f t="shared" si="126"/>
        <v>4173.82</v>
      </c>
      <c r="W207" s="47">
        <f t="shared" si="126"/>
        <v>4173.82</v>
      </c>
      <c r="X207" s="47">
        <f t="shared" si="126"/>
        <v>0</v>
      </c>
      <c r="Y207" s="47">
        <f t="shared" si="126"/>
        <v>0</v>
      </c>
      <c r="Z207" s="96"/>
      <c r="AA207" s="47">
        <f t="shared" si="126"/>
        <v>0</v>
      </c>
      <c r="AB207" s="47">
        <f t="shared" si="126"/>
        <v>0</v>
      </c>
      <c r="AC207" s="47">
        <f t="shared" si="126"/>
        <v>753.46</v>
      </c>
      <c r="AD207" s="47">
        <f t="shared" si="126"/>
        <v>4900</v>
      </c>
      <c r="AE207" s="47">
        <f t="shared" si="126"/>
        <v>0</v>
      </c>
      <c r="AF207" s="47">
        <f t="shared" si="126"/>
        <v>0</v>
      </c>
      <c r="AG207" s="47">
        <f t="shared" si="126"/>
        <v>0</v>
      </c>
      <c r="AH207" s="47">
        <f t="shared" si="126"/>
        <v>0</v>
      </c>
      <c r="AI207" s="47">
        <f t="shared" si="126"/>
        <v>0</v>
      </c>
      <c r="AJ207" s="47">
        <f t="shared" si="126"/>
        <v>0</v>
      </c>
      <c r="AK207" s="47">
        <f t="shared" si="126"/>
        <v>78556.570000000007</v>
      </c>
      <c r="AL207" s="47">
        <f>AL210</f>
        <v>78556.570000000007</v>
      </c>
      <c r="AM207" s="47">
        <f>AM210</f>
        <v>0</v>
      </c>
      <c r="AN207" s="47">
        <f>AN210</f>
        <v>0</v>
      </c>
      <c r="AO207" s="47">
        <f>AO210</f>
        <v>0</v>
      </c>
      <c r="AP207" s="397"/>
      <c r="AQ207" s="96"/>
    </row>
    <row r="208" spans="1:43" ht="38.25" hidden="1" customHeight="1" x14ac:dyDescent="0.25">
      <c r="A208" s="1535"/>
      <c r="B208" s="1616"/>
      <c r="C208" s="1617"/>
      <c r="D208" s="1617"/>
      <c r="E208" s="1617"/>
      <c r="F208" s="1617"/>
      <c r="G208" s="1617"/>
      <c r="H208" s="1618"/>
      <c r="I208" s="23" t="s">
        <v>10</v>
      </c>
      <c r="J208" s="1204">
        <v>0</v>
      </c>
      <c r="K208" s="1204">
        <v>0</v>
      </c>
      <c r="L208" s="47">
        <f>L227+L229</f>
        <v>2305.4499999999998</v>
      </c>
      <c r="M208" s="47">
        <f>M227+M229</f>
        <v>1650.1</v>
      </c>
      <c r="N208" s="47">
        <f t="shared" ref="N208:AJ208" si="127">N227+N229</f>
        <v>0</v>
      </c>
      <c r="O208" s="47">
        <f t="shared" si="127"/>
        <v>0</v>
      </c>
      <c r="P208" s="47">
        <f t="shared" si="127"/>
        <v>0</v>
      </c>
      <c r="Q208" s="47">
        <f t="shared" si="127"/>
        <v>99.9</v>
      </c>
      <c r="R208" s="47">
        <f t="shared" si="127"/>
        <v>0</v>
      </c>
      <c r="S208" s="47">
        <f t="shared" si="127"/>
        <v>0</v>
      </c>
      <c r="T208" s="47">
        <f t="shared" si="127"/>
        <v>0</v>
      </c>
      <c r="U208" s="47">
        <f t="shared" si="127"/>
        <v>0</v>
      </c>
      <c r="V208" s="47">
        <f t="shared" si="127"/>
        <v>0</v>
      </c>
      <c r="W208" s="47">
        <f t="shared" si="127"/>
        <v>0</v>
      </c>
      <c r="X208" s="47">
        <f t="shared" si="127"/>
        <v>0</v>
      </c>
      <c r="Y208" s="47">
        <f t="shared" si="127"/>
        <v>0</v>
      </c>
      <c r="Z208" s="96"/>
      <c r="AA208" s="47">
        <f t="shared" si="127"/>
        <v>99.9</v>
      </c>
      <c r="AB208" s="47">
        <f t="shared" si="127"/>
        <v>0</v>
      </c>
      <c r="AC208" s="47">
        <f t="shared" si="127"/>
        <v>0</v>
      </c>
      <c r="AD208" s="47">
        <f t="shared" si="127"/>
        <v>0</v>
      </c>
      <c r="AE208" s="47">
        <f t="shared" si="127"/>
        <v>0</v>
      </c>
      <c r="AF208" s="47">
        <f t="shared" si="127"/>
        <v>0</v>
      </c>
      <c r="AG208" s="47">
        <f t="shared" si="127"/>
        <v>0</v>
      </c>
      <c r="AH208" s="47">
        <f t="shared" si="127"/>
        <v>0</v>
      </c>
      <c r="AI208" s="47">
        <f t="shared" si="127"/>
        <v>0</v>
      </c>
      <c r="AJ208" s="47">
        <f t="shared" si="127"/>
        <v>0</v>
      </c>
      <c r="AK208" s="47">
        <v>0</v>
      </c>
      <c r="AL208" s="47">
        <v>0</v>
      </c>
      <c r="AM208" s="47">
        <v>0</v>
      </c>
      <c r="AN208" s="47">
        <v>0</v>
      </c>
      <c r="AO208" s="47">
        <v>0</v>
      </c>
      <c r="AP208" s="397"/>
      <c r="AQ208" s="96"/>
    </row>
    <row r="209" spans="1:43" ht="25.5" hidden="1" x14ac:dyDescent="0.25">
      <c r="A209" s="1535"/>
      <c r="B209" s="1619"/>
      <c r="C209" s="1620"/>
      <c r="D209" s="1620"/>
      <c r="E209" s="1620"/>
      <c r="F209" s="1620"/>
      <c r="G209" s="1620"/>
      <c r="H209" s="1621"/>
      <c r="I209" s="23" t="s">
        <v>9</v>
      </c>
      <c r="J209" s="1204">
        <v>0</v>
      </c>
      <c r="K209" s="1204">
        <v>0</v>
      </c>
      <c r="L209" s="47">
        <v>0</v>
      </c>
      <c r="M209" s="47">
        <v>0</v>
      </c>
      <c r="N209" s="47">
        <v>0</v>
      </c>
      <c r="O209" s="47">
        <v>1</v>
      </c>
      <c r="P209" s="47">
        <v>0</v>
      </c>
      <c r="Q209" s="47">
        <v>0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47">
        <v>0</v>
      </c>
      <c r="X209" s="47">
        <v>0</v>
      </c>
      <c r="Y209" s="47">
        <v>0</v>
      </c>
      <c r="Z209" s="96"/>
      <c r="AA209" s="47">
        <v>0</v>
      </c>
      <c r="AB209" s="47">
        <v>0</v>
      </c>
      <c r="AC209" s="47">
        <v>0</v>
      </c>
      <c r="AD209" s="47">
        <v>0</v>
      </c>
      <c r="AE209" s="47">
        <v>0</v>
      </c>
      <c r="AF209" s="47">
        <v>0</v>
      </c>
      <c r="AG209" s="47">
        <v>0</v>
      </c>
      <c r="AH209" s="47">
        <v>0</v>
      </c>
      <c r="AI209" s="47">
        <v>0</v>
      </c>
      <c r="AJ209" s="47">
        <v>0</v>
      </c>
      <c r="AK209" s="47">
        <v>0</v>
      </c>
      <c r="AL209" s="47">
        <v>0</v>
      </c>
      <c r="AM209" s="47">
        <v>0</v>
      </c>
      <c r="AN209" s="47">
        <v>0</v>
      </c>
      <c r="AO209" s="47">
        <v>0</v>
      </c>
      <c r="AP209" s="397"/>
      <c r="AQ209" s="96"/>
    </row>
    <row r="210" spans="1:43" s="327" customFormat="1" ht="33" customHeight="1" x14ac:dyDescent="0.25">
      <c r="A210" s="1450" t="s">
        <v>30</v>
      </c>
      <c r="B210" s="780" t="s">
        <v>173</v>
      </c>
      <c r="C210" s="1326">
        <v>300</v>
      </c>
      <c r="D210" s="1326">
        <v>570</v>
      </c>
      <c r="E210" s="1326"/>
      <c r="F210" s="1326"/>
      <c r="G210" s="778"/>
      <c r="H210" s="778"/>
      <c r="I210" s="1463" t="s">
        <v>20</v>
      </c>
      <c r="J210" s="1622">
        <v>6379.79</v>
      </c>
      <c r="K210" s="3">
        <v>0</v>
      </c>
      <c r="L210" s="3">
        <f t="shared" ref="L210:AJ210" si="128">L211+L214</f>
        <v>5597.58</v>
      </c>
      <c r="M210" s="3">
        <f t="shared" si="128"/>
        <v>0</v>
      </c>
      <c r="N210" s="3">
        <f t="shared" si="128"/>
        <v>5370.84</v>
      </c>
      <c r="O210" s="3">
        <f t="shared" si="128"/>
        <v>3372.5</v>
      </c>
      <c r="P210" s="3">
        <f t="shared" si="128"/>
        <v>78556.570000000007</v>
      </c>
      <c r="Q210" s="3">
        <f t="shared" si="128"/>
        <v>0</v>
      </c>
      <c r="R210" s="3">
        <f t="shared" si="128"/>
        <v>0</v>
      </c>
      <c r="S210" s="3">
        <f t="shared" si="128"/>
        <v>0</v>
      </c>
      <c r="T210" s="3">
        <f t="shared" si="128"/>
        <v>753.46</v>
      </c>
      <c r="U210" s="3">
        <f t="shared" si="128"/>
        <v>753.46</v>
      </c>
      <c r="V210" s="3">
        <f t="shared" si="128"/>
        <v>4173.82</v>
      </c>
      <c r="W210" s="3">
        <f t="shared" si="128"/>
        <v>4173.82</v>
      </c>
      <c r="X210" s="3">
        <f t="shared" si="128"/>
        <v>0</v>
      </c>
      <c r="Y210" s="3">
        <f t="shared" si="128"/>
        <v>0</v>
      </c>
      <c r="Z210" s="95">
        <v>0</v>
      </c>
      <c r="AA210" s="3">
        <f t="shared" si="128"/>
        <v>0</v>
      </c>
      <c r="AB210" s="3">
        <f t="shared" si="128"/>
        <v>0</v>
      </c>
      <c r="AC210" s="3">
        <f t="shared" si="128"/>
        <v>753.46</v>
      </c>
      <c r="AD210" s="3">
        <f t="shared" si="128"/>
        <v>4900</v>
      </c>
      <c r="AE210" s="3">
        <f t="shared" si="128"/>
        <v>0</v>
      </c>
      <c r="AF210" s="3">
        <f t="shared" si="128"/>
        <v>0</v>
      </c>
      <c r="AG210" s="3">
        <f t="shared" si="128"/>
        <v>0</v>
      </c>
      <c r="AH210" s="3">
        <f t="shared" si="128"/>
        <v>0</v>
      </c>
      <c r="AI210" s="3">
        <f t="shared" si="128"/>
        <v>0</v>
      </c>
      <c r="AJ210" s="3">
        <f t="shared" si="128"/>
        <v>0</v>
      </c>
      <c r="AK210" s="3">
        <f>P210-Q210</f>
        <v>78556.570000000007</v>
      </c>
      <c r="AL210" s="3">
        <f>AK210</f>
        <v>78556.570000000007</v>
      </c>
      <c r="AM210" s="318">
        <f>ROUND((Q210*100%/P210*100),2)</f>
        <v>0</v>
      </c>
      <c r="AN210" s="3">
        <f>AN211+AN214</f>
        <v>0</v>
      </c>
      <c r="AO210" s="3">
        <f>AO211+AO214</f>
        <v>0</v>
      </c>
      <c r="AP210" s="633" t="s">
        <v>245</v>
      </c>
      <c r="AQ210" s="95">
        <v>0</v>
      </c>
    </row>
    <row r="211" spans="1:43" x14ac:dyDescent="0.25">
      <c r="A211" s="1399"/>
      <c r="B211" s="1" t="s">
        <v>15</v>
      </c>
      <c r="C211" s="1327"/>
      <c r="D211" s="1327"/>
      <c r="E211" s="1327"/>
      <c r="F211" s="1327"/>
      <c r="G211" s="1179">
        <v>2019</v>
      </c>
      <c r="H211" s="1179">
        <v>2019</v>
      </c>
      <c r="I211" s="1464"/>
      <c r="J211" s="1623"/>
      <c r="K211" s="47"/>
      <c r="L211" s="47">
        <v>5597.58</v>
      </c>
      <c r="M211" s="50">
        <v>0</v>
      </c>
      <c r="N211" s="50">
        <v>5370.84</v>
      </c>
      <c r="O211" s="50">
        <v>0</v>
      </c>
      <c r="P211" s="447">
        <v>89.08</v>
      </c>
      <c r="Q211" s="447">
        <v>0</v>
      </c>
      <c r="R211" s="447">
        <f t="shared" ref="R211:AD211" si="129">SUM(R212:R213)</f>
        <v>0</v>
      </c>
      <c r="S211" s="447">
        <f t="shared" si="129"/>
        <v>0</v>
      </c>
      <c r="T211" s="447">
        <f t="shared" si="129"/>
        <v>753.46</v>
      </c>
      <c r="U211" s="447">
        <f t="shared" si="129"/>
        <v>753.46</v>
      </c>
      <c r="V211" s="447">
        <f t="shared" si="129"/>
        <v>4173.82</v>
      </c>
      <c r="W211" s="447">
        <f t="shared" si="129"/>
        <v>4173.82</v>
      </c>
      <c r="X211" s="447">
        <f t="shared" si="129"/>
        <v>0</v>
      </c>
      <c r="Y211" s="447">
        <f t="shared" si="129"/>
        <v>0</v>
      </c>
      <c r="Z211" s="584"/>
      <c r="AA211" s="447">
        <v>0</v>
      </c>
      <c r="AB211" s="447">
        <f t="shared" si="129"/>
        <v>0</v>
      </c>
      <c r="AC211" s="447">
        <f t="shared" si="129"/>
        <v>753.46</v>
      </c>
      <c r="AD211" s="447">
        <f t="shared" si="129"/>
        <v>4900</v>
      </c>
      <c r="AE211" s="50">
        <f t="shared" ref="AE211:AO211" si="130">SUM(AE213)</f>
        <v>0</v>
      </c>
      <c r="AF211" s="50">
        <f>SUM(AF213)</f>
        <v>0</v>
      </c>
      <c r="AG211" s="50">
        <f>SUM(AG213)</f>
        <v>0</v>
      </c>
      <c r="AH211" s="50">
        <f>SUM(AH213)</f>
        <v>0</v>
      </c>
      <c r="AI211" s="50">
        <f>SUM(AI213)</f>
        <v>0</v>
      </c>
      <c r="AJ211" s="50">
        <f>SUM(AJ213)</f>
        <v>0</v>
      </c>
      <c r="AK211" s="50">
        <f t="shared" si="130"/>
        <v>0</v>
      </c>
      <c r="AL211" s="50">
        <f t="shared" si="130"/>
        <v>0</v>
      </c>
      <c r="AM211" s="50">
        <f t="shared" si="130"/>
        <v>0</v>
      </c>
      <c r="AN211" s="50">
        <f t="shared" si="130"/>
        <v>0</v>
      </c>
      <c r="AO211" s="50">
        <f t="shared" si="130"/>
        <v>0</v>
      </c>
      <c r="AP211" s="412"/>
      <c r="AQ211" s="584"/>
    </row>
    <row r="212" spans="1:43" s="266" customFormat="1" hidden="1" x14ac:dyDescent="0.25">
      <c r="A212" s="1399"/>
      <c r="B212" s="92" t="s">
        <v>322</v>
      </c>
      <c r="C212" s="1327"/>
      <c r="D212" s="1327"/>
      <c r="E212" s="1327"/>
      <c r="F212" s="1327"/>
      <c r="G212" s="104"/>
      <c r="H212" s="104"/>
      <c r="I212" s="1464"/>
      <c r="J212" s="1623"/>
      <c r="K212" s="96"/>
      <c r="L212" s="96"/>
      <c r="M212" s="263"/>
      <c r="N212" s="263"/>
      <c r="O212" s="263"/>
      <c r="P212" s="584"/>
      <c r="Q212" s="584">
        <f>V212</f>
        <v>4173.82</v>
      </c>
      <c r="R212" s="584"/>
      <c r="S212" s="584"/>
      <c r="T212" s="584"/>
      <c r="U212" s="584"/>
      <c r="V212" s="584">
        <f>W212</f>
        <v>4173.82</v>
      </c>
      <c r="W212" s="584">
        <v>4173.82</v>
      </c>
      <c r="X212" s="584"/>
      <c r="Y212" s="584"/>
      <c r="Z212" s="584"/>
      <c r="AA212" s="584">
        <f>AD212</f>
        <v>4900</v>
      </c>
      <c r="AB212" s="584"/>
      <c r="AC212" s="584"/>
      <c r="AD212" s="584">
        <v>4900</v>
      </c>
      <c r="AE212" s="263"/>
      <c r="AF212" s="263"/>
      <c r="AG212" s="263"/>
      <c r="AH212" s="263"/>
      <c r="AI212" s="263"/>
      <c r="AJ212" s="263"/>
      <c r="AK212" s="263"/>
      <c r="AL212" s="263"/>
      <c r="AM212" s="263"/>
      <c r="AN212" s="263"/>
      <c r="AO212" s="263"/>
      <c r="AP212" s="413"/>
      <c r="AQ212" s="584"/>
    </row>
    <row r="213" spans="1:43" s="266" customFormat="1" hidden="1" x14ac:dyDescent="0.25">
      <c r="A213" s="1399"/>
      <c r="B213" s="92" t="s">
        <v>267</v>
      </c>
      <c r="C213" s="1327"/>
      <c r="D213" s="1327"/>
      <c r="E213" s="1327"/>
      <c r="F213" s="1327"/>
      <c r="G213" s="104"/>
      <c r="H213" s="104"/>
      <c r="I213" s="1464"/>
      <c r="J213" s="1623"/>
      <c r="K213" s="96"/>
      <c r="L213" s="96"/>
      <c r="M213" s="263"/>
      <c r="N213" s="263"/>
      <c r="O213" s="263"/>
      <c r="P213" s="263"/>
      <c r="Q213" s="263">
        <f>S213+U213</f>
        <v>753.46</v>
      </c>
      <c r="R213" s="263"/>
      <c r="S213" s="263"/>
      <c r="T213" s="263">
        <f>U213</f>
        <v>753.46</v>
      </c>
      <c r="U213" s="263">
        <f>ROUND((904.153/1.2),2)</f>
        <v>753.46</v>
      </c>
      <c r="V213" s="263"/>
      <c r="W213" s="263"/>
      <c r="X213" s="263"/>
      <c r="Y213" s="263"/>
      <c r="Z213" s="263"/>
      <c r="AA213" s="263">
        <f>AC213</f>
        <v>753.46</v>
      </c>
      <c r="AB213" s="263"/>
      <c r="AC213" s="263">
        <v>753.46</v>
      </c>
      <c r="AD213" s="263"/>
      <c r="AE213" s="263"/>
      <c r="AF213" s="263">
        <f>SUM(AG213:AG213)</f>
        <v>0</v>
      </c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413"/>
      <c r="AQ213" s="263"/>
    </row>
    <row r="214" spans="1:43" ht="15.75" customHeight="1" x14ac:dyDescent="0.25">
      <c r="A214" s="1488"/>
      <c r="B214" s="1157" t="s">
        <v>16</v>
      </c>
      <c r="C214" s="1328"/>
      <c r="D214" s="1328"/>
      <c r="E214" s="1328"/>
      <c r="F214" s="1328"/>
      <c r="G214" s="1179">
        <v>2021</v>
      </c>
      <c r="H214" s="1179">
        <v>2021</v>
      </c>
      <c r="I214" s="1465"/>
      <c r="J214" s="1624"/>
      <c r="K214" s="47"/>
      <c r="L214" s="47">
        <v>0</v>
      </c>
      <c r="M214" s="50">
        <v>0</v>
      </c>
      <c r="N214" s="50">
        <v>0</v>
      </c>
      <c r="O214" s="50">
        <v>3372.5</v>
      </c>
      <c r="P214" s="50">
        <v>78467.490000000005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50">
        <v>0</v>
      </c>
      <c r="W214" s="50">
        <v>0</v>
      </c>
      <c r="X214" s="50">
        <v>0</v>
      </c>
      <c r="Y214" s="50">
        <v>0</v>
      </c>
      <c r="Z214" s="263"/>
      <c r="AA214" s="50">
        <v>0</v>
      </c>
      <c r="AB214" s="50">
        <v>0</v>
      </c>
      <c r="AC214" s="50">
        <v>0</v>
      </c>
      <c r="AD214" s="50">
        <v>0</v>
      </c>
      <c r="AE214" s="50">
        <v>0</v>
      </c>
      <c r="AF214" s="50">
        <v>0</v>
      </c>
      <c r="AG214" s="50">
        <v>0</v>
      </c>
      <c r="AH214" s="50">
        <v>0</v>
      </c>
      <c r="AI214" s="50">
        <v>0</v>
      </c>
      <c r="AJ214" s="50">
        <v>0</v>
      </c>
      <c r="AK214" s="50">
        <v>0</v>
      </c>
      <c r="AL214" s="50">
        <v>0</v>
      </c>
      <c r="AM214" s="50">
        <v>0</v>
      </c>
      <c r="AN214" s="50">
        <v>0</v>
      </c>
      <c r="AO214" s="50">
        <v>0</v>
      </c>
      <c r="AP214" s="412"/>
      <c r="AQ214" s="263"/>
    </row>
    <row r="215" spans="1:43" s="327" customFormat="1" ht="42" customHeight="1" x14ac:dyDescent="0.25">
      <c r="A215" s="1649" t="s">
        <v>174</v>
      </c>
      <c r="B215" s="780" t="s">
        <v>175</v>
      </c>
      <c r="C215" s="133"/>
      <c r="D215" s="133"/>
      <c r="E215" s="133"/>
      <c r="F215" s="133"/>
      <c r="G215" s="778"/>
      <c r="H215" s="778"/>
      <c r="I215" s="1651" t="s">
        <v>20</v>
      </c>
      <c r="J215" s="1180"/>
      <c r="K215" s="3"/>
      <c r="L215" s="3">
        <f>L216</f>
        <v>3750.02</v>
      </c>
      <c r="M215" s="3">
        <f>M216</f>
        <v>1639</v>
      </c>
      <c r="N215" s="3">
        <f t="shared" ref="N215:AO215" si="131">N216</f>
        <v>0</v>
      </c>
      <c r="O215" s="3">
        <f t="shared" si="131"/>
        <v>0</v>
      </c>
      <c r="P215" s="3">
        <f t="shared" si="131"/>
        <v>0</v>
      </c>
      <c r="Q215" s="3">
        <f t="shared" si="131"/>
        <v>0</v>
      </c>
      <c r="R215" s="3">
        <f t="shared" si="131"/>
        <v>0</v>
      </c>
      <c r="S215" s="3">
        <f t="shared" si="131"/>
        <v>0</v>
      </c>
      <c r="T215" s="3">
        <f t="shared" si="131"/>
        <v>0</v>
      </c>
      <c r="U215" s="3">
        <f t="shared" si="131"/>
        <v>0</v>
      </c>
      <c r="V215" s="3">
        <f t="shared" si="131"/>
        <v>0</v>
      </c>
      <c r="W215" s="3">
        <f t="shared" si="131"/>
        <v>0</v>
      </c>
      <c r="X215" s="3">
        <f t="shared" si="131"/>
        <v>0</v>
      </c>
      <c r="Y215" s="3">
        <f t="shared" si="131"/>
        <v>0</v>
      </c>
      <c r="Z215" s="95">
        <v>0</v>
      </c>
      <c r="AA215" s="3">
        <f t="shared" si="131"/>
        <v>0</v>
      </c>
      <c r="AB215" s="3">
        <f t="shared" si="131"/>
        <v>0</v>
      </c>
      <c r="AC215" s="3">
        <f t="shared" si="131"/>
        <v>0</v>
      </c>
      <c r="AD215" s="3">
        <f t="shared" si="131"/>
        <v>0</v>
      </c>
      <c r="AE215" s="3">
        <f t="shared" si="131"/>
        <v>0</v>
      </c>
      <c r="AF215" s="3">
        <f t="shared" si="131"/>
        <v>0</v>
      </c>
      <c r="AG215" s="3">
        <f t="shared" si="131"/>
        <v>0</v>
      </c>
      <c r="AH215" s="3">
        <f t="shared" si="131"/>
        <v>0</v>
      </c>
      <c r="AI215" s="3">
        <f t="shared" si="131"/>
        <v>0</v>
      </c>
      <c r="AJ215" s="3">
        <f t="shared" si="131"/>
        <v>0</v>
      </c>
      <c r="AK215" s="3">
        <f t="shared" si="131"/>
        <v>0</v>
      </c>
      <c r="AL215" s="3">
        <f t="shared" si="131"/>
        <v>0</v>
      </c>
      <c r="AM215" s="3">
        <f t="shared" si="131"/>
        <v>0</v>
      </c>
      <c r="AN215" s="3">
        <f t="shared" si="131"/>
        <v>0</v>
      </c>
      <c r="AO215" s="3">
        <f t="shared" si="131"/>
        <v>0</v>
      </c>
      <c r="AP215" s="633" t="s">
        <v>256</v>
      </c>
      <c r="AQ215" s="95">
        <v>0</v>
      </c>
    </row>
    <row r="216" spans="1:43" s="327" customFormat="1" ht="15.75" hidden="1" customHeight="1" x14ac:dyDescent="0.25">
      <c r="A216" s="1650"/>
      <c r="B216" s="772" t="s">
        <v>15</v>
      </c>
      <c r="C216" s="133"/>
      <c r="D216" s="133"/>
      <c r="E216" s="133"/>
      <c r="F216" s="133"/>
      <c r="G216" s="312"/>
      <c r="H216" s="1174"/>
      <c r="I216" s="1652"/>
      <c r="J216" s="1180"/>
      <c r="K216" s="318"/>
      <c r="L216" s="3">
        <v>3750.02</v>
      </c>
      <c r="M216" s="3">
        <v>1639</v>
      </c>
      <c r="N216" s="3">
        <v>0</v>
      </c>
      <c r="O216" s="3">
        <v>0</v>
      </c>
      <c r="P216" s="3">
        <v>0</v>
      </c>
      <c r="Q216" s="819">
        <f>SUM(Q217:Q220)</f>
        <v>0</v>
      </c>
      <c r="R216" s="819">
        <f t="shared" ref="R216:AJ216" si="132">SUM(R217:R220)</f>
        <v>0</v>
      </c>
      <c r="S216" s="819">
        <f t="shared" si="132"/>
        <v>0</v>
      </c>
      <c r="T216" s="819">
        <f t="shared" si="132"/>
        <v>0</v>
      </c>
      <c r="U216" s="819">
        <f t="shared" si="132"/>
        <v>0</v>
      </c>
      <c r="V216" s="819">
        <f t="shared" si="132"/>
        <v>0</v>
      </c>
      <c r="W216" s="819">
        <f t="shared" si="132"/>
        <v>0</v>
      </c>
      <c r="X216" s="3">
        <v>0</v>
      </c>
      <c r="Y216" s="819">
        <f t="shared" si="132"/>
        <v>0</v>
      </c>
      <c r="Z216" s="820"/>
      <c r="AA216" s="819">
        <f t="shared" si="132"/>
        <v>0</v>
      </c>
      <c r="AB216" s="819">
        <f t="shared" si="132"/>
        <v>0</v>
      </c>
      <c r="AC216" s="819">
        <f t="shared" si="132"/>
        <v>0</v>
      </c>
      <c r="AD216" s="819">
        <f t="shared" si="132"/>
        <v>0</v>
      </c>
      <c r="AE216" s="819">
        <f t="shared" si="132"/>
        <v>0</v>
      </c>
      <c r="AF216" s="819">
        <f t="shared" si="132"/>
        <v>0</v>
      </c>
      <c r="AG216" s="819">
        <f t="shared" si="132"/>
        <v>0</v>
      </c>
      <c r="AH216" s="819">
        <f t="shared" si="132"/>
        <v>0</v>
      </c>
      <c r="AI216" s="819">
        <f t="shared" si="132"/>
        <v>0</v>
      </c>
      <c r="AJ216" s="819">
        <f t="shared" si="132"/>
        <v>0</v>
      </c>
      <c r="AK216" s="819">
        <f>SUM(AK217:AK220)</f>
        <v>0</v>
      </c>
      <c r="AL216" s="819">
        <f>SUM(AL217:AL220)</f>
        <v>0</v>
      </c>
      <c r="AM216" s="819">
        <f>SUM(AM217:AM220)</f>
        <v>0</v>
      </c>
      <c r="AN216" s="819">
        <f>SUM(AN217:AN220)</f>
        <v>0</v>
      </c>
      <c r="AO216" s="819">
        <f>SUM(AO217:AO220)</f>
        <v>0</v>
      </c>
      <c r="AP216" s="821"/>
      <c r="AQ216" s="820"/>
    </row>
    <row r="217" spans="1:43" s="827" customFormat="1" ht="15.75" hidden="1" customHeight="1" x14ac:dyDescent="0.25">
      <c r="A217" s="822"/>
      <c r="B217" s="823" t="s">
        <v>234</v>
      </c>
      <c r="C217" s="369"/>
      <c r="D217" s="369"/>
      <c r="E217" s="369"/>
      <c r="F217" s="369"/>
      <c r="G217" s="254"/>
      <c r="H217" s="824"/>
      <c r="I217" s="825"/>
      <c r="J217" s="371"/>
      <c r="K217" s="372"/>
      <c r="L217" s="95"/>
      <c r="M217" s="95"/>
      <c r="N217" s="95"/>
      <c r="O217" s="95"/>
      <c r="P217" s="3"/>
      <c r="Q217" s="820">
        <f>Y217</f>
        <v>0</v>
      </c>
      <c r="R217" s="820"/>
      <c r="S217" s="820"/>
      <c r="T217" s="820"/>
      <c r="U217" s="820"/>
      <c r="V217" s="820"/>
      <c r="W217" s="820"/>
      <c r="X217" s="820">
        <v>0</v>
      </c>
      <c r="Y217" s="820">
        <v>0</v>
      </c>
      <c r="Z217" s="820"/>
      <c r="AA217" s="820">
        <v>0</v>
      </c>
      <c r="AB217" s="820">
        <v>0</v>
      </c>
      <c r="AC217" s="820"/>
      <c r="AD217" s="820"/>
      <c r="AE217" s="820"/>
      <c r="AF217" s="820"/>
      <c r="AG217" s="820"/>
      <c r="AH217" s="820"/>
      <c r="AI217" s="820"/>
      <c r="AJ217" s="820"/>
      <c r="AK217" s="820"/>
      <c r="AL217" s="820"/>
      <c r="AM217" s="820"/>
      <c r="AN217" s="820"/>
      <c r="AO217" s="820"/>
      <c r="AP217" s="826"/>
      <c r="AQ217" s="820"/>
    </row>
    <row r="218" spans="1:43" s="827" customFormat="1" ht="15.75" hidden="1" customHeight="1" x14ac:dyDescent="0.25">
      <c r="A218" s="822"/>
      <c r="B218" s="823" t="s">
        <v>235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827" customFormat="1" ht="15.75" hidden="1" customHeight="1" x14ac:dyDescent="0.25">
      <c r="A219" s="822"/>
      <c r="B219" s="823" t="s">
        <v>236</v>
      </c>
      <c r="C219" s="369"/>
      <c r="D219" s="369"/>
      <c r="E219" s="369"/>
      <c r="F219" s="369"/>
      <c r="G219" s="254"/>
      <c r="H219" s="824"/>
      <c r="I219" s="825"/>
      <c r="J219" s="371"/>
      <c r="K219" s="372"/>
      <c r="L219" s="95"/>
      <c r="M219" s="95"/>
      <c r="N219" s="95"/>
      <c r="O219" s="95"/>
      <c r="P219" s="3"/>
      <c r="Q219" s="820">
        <f>Y219</f>
        <v>0</v>
      </c>
      <c r="R219" s="820"/>
      <c r="S219" s="820"/>
      <c r="T219" s="820"/>
      <c r="U219" s="820"/>
      <c r="V219" s="820"/>
      <c r="W219" s="820"/>
      <c r="X219" s="820">
        <v>0</v>
      </c>
      <c r="Y219" s="820">
        <v>0</v>
      </c>
      <c r="Z219" s="820"/>
      <c r="AA219" s="820">
        <v>0</v>
      </c>
      <c r="AB219" s="820">
        <v>0</v>
      </c>
      <c r="AC219" s="820"/>
      <c r="AD219" s="820"/>
      <c r="AE219" s="820"/>
      <c r="AF219" s="820"/>
      <c r="AG219" s="820"/>
      <c r="AH219" s="820"/>
      <c r="AI219" s="820"/>
      <c r="AJ219" s="820"/>
      <c r="AK219" s="820"/>
      <c r="AL219" s="820"/>
      <c r="AM219" s="820"/>
      <c r="AN219" s="820"/>
      <c r="AO219" s="820"/>
      <c r="AP219" s="826"/>
      <c r="AQ219" s="820"/>
    </row>
    <row r="220" spans="1:43" s="827" customFormat="1" ht="15.75" hidden="1" customHeight="1" x14ac:dyDescent="0.25">
      <c r="A220" s="822"/>
      <c r="B220" s="823" t="s">
        <v>237</v>
      </c>
      <c r="C220" s="369"/>
      <c r="D220" s="369"/>
      <c r="E220" s="369"/>
      <c r="F220" s="369"/>
      <c r="G220" s="254"/>
      <c r="H220" s="824"/>
      <c r="I220" s="825"/>
      <c r="J220" s="371"/>
      <c r="K220" s="372"/>
      <c r="L220" s="95"/>
      <c r="M220" s="95"/>
      <c r="N220" s="95"/>
      <c r="O220" s="95"/>
      <c r="P220" s="3"/>
      <c r="Q220" s="820">
        <f>Y220</f>
        <v>0</v>
      </c>
      <c r="R220" s="820"/>
      <c r="S220" s="820"/>
      <c r="T220" s="820"/>
      <c r="U220" s="820"/>
      <c r="V220" s="820"/>
      <c r="W220" s="820"/>
      <c r="X220" s="820">
        <v>0</v>
      </c>
      <c r="Y220" s="820">
        <v>0</v>
      </c>
      <c r="Z220" s="820"/>
      <c r="AA220" s="820">
        <v>0</v>
      </c>
      <c r="AB220" s="820">
        <v>0</v>
      </c>
      <c r="AC220" s="820"/>
      <c r="AD220" s="820"/>
      <c r="AE220" s="820"/>
      <c r="AF220" s="820"/>
      <c r="AG220" s="820"/>
      <c r="AH220" s="820"/>
      <c r="AI220" s="820"/>
      <c r="AJ220" s="820"/>
      <c r="AK220" s="820"/>
      <c r="AL220" s="820"/>
      <c r="AM220" s="820"/>
      <c r="AN220" s="820"/>
      <c r="AO220" s="820"/>
      <c r="AP220" s="826"/>
      <c r="AQ220" s="820"/>
    </row>
    <row r="221" spans="1:43" s="327" customFormat="1" ht="40.5" customHeight="1" x14ac:dyDescent="0.25">
      <c r="A221" s="1199" t="s">
        <v>176</v>
      </c>
      <c r="B221" s="780" t="s">
        <v>177</v>
      </c>
      <c r="C221" s="133"/>
      <c r="D221" s="133"/>
      <c r="E221" s="133"/>
      <c r="F221" s="133"/>
      <c r="G221" s="778"/>
      <c r="H221" s="778"/>
      <c r="I221" s="1463" t="s">
        <v>20</v>
      </c>
      <c r="J221" s="1180"/>
      <c r="K221" s="3"/>
      <c r="L221" s="3">
        <f>L222</f>
        <v>3750.02</v>
      </c>
      <c r="M221" s="3">
        <f>M222</f>
        <v>2630.03</v>
      </c>
      <c r="N221" s="3">
        <f t="shared" ref="N221:AO221" si="133">N222</f>
        <v>0</v>
      </c>
      <c r="O221" s="3">
        <f t="shared" si="133"/>
        <v>0</v>
      </c>
      <c r="P221" s="3">
        <f t="shared" si="133"/>
        <v>0</v>
      </c>
      <c r="Q221" s="3">
        <f t="shared" si="133"/>
        <v>0</v>
      </c>
      <c r="R221" s="3">
        <f t="shared" si="133"/>
        <v>0</v>
      </c>
      <c r="S221" s="3">
        <f t="shared" si="133"/>
        <v>0</v>
      </c>
      <c r="T221" s="3">
        <f t="shared" si="133"/>
        <v>0</v>
      </c>
      <c r="U221" s="3">
        <f t="shared" si="133"/>
        <v>0</v>
      </c>
      <c r="V221" s="3">
        <f t="shared" si="133"/>
        <v>0</v>
      </c>
      <c r="W221" s="3">
        <f t="shared" si="133"/>
        <v>0</v>
      </c>
      <c r="X221" s="3">
        <f t="shared" si="133"/>
        <v>0</v>
      </c>
      <c r="Y221" s="3">
        <f t="shared" si="133"/>
        <v>0</v>
      </c>
      <c r="Z221" s="95">
        <v>0</v>
      </c>
      <c r="AA221" s="3">
        <f t="shared" si="133"/>
        <v>0</v>
      </c>
      <c r="AB221" s="3">
        <f t="shared" si="133"/>
        <v>0</v>
      </c>
      <c r="AC221" s="3">
        <f t="shared" si="133"/>
        <v>0</v>
      </c>
      <c r="AD221" s="3">
        <f t="shared" si="133"/>
        <v>0</v>
      </c>
      <c r="AE221" s="3">
        <f t="shared" si="133"/>
        <v>0</v>
      </c>
      <c r="AF221" s="3">
        <f t="shared" si="133"/>
        <v>0</v>
      </c>
      <c r="AG221" s="3">
        <f t="shared" si="133"/>
        <v>0</v>
      </c>
      <c r="AH221" s="3">
        <f t="shared" si="133"/>
        <v>0</v>
      </c>
      <c r="AI221" s="3">
        <f t="shared" si="133"/>
        <v>0</v>
      </c>
      <c r="AJ221" s="3">
        <f t="shared" si="133"/>
        <v>0</v>
      </c>
      <c r="AK221" s="3">
        <f t="shared" si="133"/>
        <v>0</v>
      </c>
      <c r="AL221" s="3">
        <f t="shared" si="133"/>
        <v>0</v>
      </c>
      <c r="AM221" s="3">
        <f t="shared" si="133"/>
        <v>0</v>
      </c>
      <c r="AN221" s="3">
        <f t="shared" si="133"/>
        <v>0</v>
      </c>
      <c r="AO221" s="3">
        <f t="shared" si="133"/>
        <v>0</v>
      </c>
      <c r="AP221" s="633" t="s">
        <v>256</v>
      </c>
      <c r="AQ221" s="95">
        <v>0</v>
      </c>
    </row>
    <row r="222" spans="1:43" ht="15.75" hidden="1" customHeight="1" x14ac:dyDescent="0.25">
      <c r="A222" s="1166"/>
      <c r="B222" s="42" t="s">
        <v>15</v>
      </c>
      <c r="C222" s="341"/>
      <c r="D222" s="341"/>
      <c r="E222" s="341"/>
      <c r="F222" s="341"/>
      <c r="G222" s="313"/>
      <c r="H222" s="1196"/>
      <c r="I222" s="1465"/>
      <c r="J222" s="1198"/>
      <c r="K222" s="4"/>
      <c r="L222" s="47">
        <v>3750.02</v>
      </c>
      <c r="M222" s="47">
        <v>2630.03</v>
      </c>
      <c r="N222" s="47">
        <v>0</v>
      </c>
      <c r="O222" s="47">
        <v>0</v>
      </c>
      <c r="P222" s="47">
        <v>0</v>
      </c>
      <c r="Q222" s="50">
        <f>SUM(Q223:Q226)</f>
        <v>0</v>
      </c>
      <c r="R222" s="50">
        <f t="shared" ref="R222:W222" si="134">SUM(R223:R226)</f>
        <v>0</v>
      </c>
      <c r="S222" s="50">
        <f t="shared" si="134"/>
        <v>0</v>
      </c>
      <c r="T222" s="50">
        <f t="shared" si="134"/>
        <v>0</v>
      </c>
      <c r="U222" s="50">
        <f t="shared" si="134"/>
        <v>0</v>
      </c>
      <c r="V222" s="50">
        <f t="shared" si="134"/>
        <v>0</v>
      </c>
      <c r="W222" s="50">
        <f t="shared" si="134"/>
        <v>0</v>
      </c>
      <c r="X222" s="47">
        <v>0</v>
      </c>
      <c r="Y222" s="50">
        <f t="shared" ref="Y222:AJ222" si="135">SUM(Y223:Y226)</f>
        <v>0</v>
      </c>
      <c r="Z222" s="263"/>
      <c r="AA222" s="50">
        <f t="shared" si="135"/>
        <v>0</v>
      </c>
      <c r="AB222" s="50">
        <f t="shared" si="135"/>
        <v>0</v>
      </c>
      <c r="AC222" s="50">
        <f t="shared" si="135"/>
        <v>0</v>
      </c>
      <c r="AD222" s="50">
        <f t="shared" si="135"/>
        <v>0</v>
      </c>
      <c r="AE222" s="50">
        <f t="shared" si="135"/>
        <v>0</v>
      </c>
      <c r="AF222" s="50">
        <f t="shared" si="135"/>
        <v>0</v>
      </c>
      <c r="AG222" s="50">
        <f t="shared" si="135"/>
        <v>0</v>
      </c>
      <c r="AH222" s="50">
        <f t="shared" si="135"/>
        <v>0</v>
      </c>
      <c r="AI222" s="50">
        <f t="shared" si="135"/>
        <v>0</v>
      </c>
      <c r="AJ222" s="50">
        <f t="shared" si="135"/>
        <v>0</v>
      </c>
      <c r="AK222" s="50">
        <v>0</v>
      </c>
      <c r="AL222" s="50">
        <v>0</v>
      </c>
      <c r="AM222" s="50">
        <v>0</v>
      </c>
      <c r="AN222" s="50">
        <v>0</v>
      </c>
      <c r="AO222" s="50">
        <v>0</v>
      </c>
      <c r="AP222" s="412"/>
      <c r="AQ222" s="263"/>
    </row>
    <row r="223" spans="1:43" s="266" customFormat="1" ht="15.75" hidden="1" customHeight="1" x14ac:dyDescent="0.25">
      <c r="A223" s="366"/>
      <c r="B223" s="252" t="s">
        <v>238</v>
      </c>
      <c r="C223" s="453"/>
      <c r="D223" s="453"/>
      <c r="E223" s="453"/>
      <c r="F223" s="453"/>
      <c r="G223" s="363"/>
      <c r="H223" s="364"/>
      <c r="I223" s="370"/>
      <c r="J223" s="651"/>
      <c r="K223" s="268"/>
      <c r="L223" s="96"/>
      <c r="M223" s="96"/>
      <c r="N223" s="96"/>
      <c r="O223" s="96"/>
      <c r="P223" s="47"/>
      <c r="Q223" s="263">
        <f>Y223</f>
        <v>0</v>
      </c>
      <c r="R223" s="263"/>
      <c r="S223" s="263"/>
      <c r="T223" s="263"/>
      <c r="U223" s="263"/>
      <c r="V223" s="263"/>
      <c r="W223" s="263"/>
      <c r="X223" s="263">
        <v>0</v>
      </c>
      <c r="Y223" s="263">
        <v>0</v>
      </c>
      <c r="Z223" s="263"/>
      <c r="AA223" s="263">
        <v>0</v>
      </c>
      <c r="AB223" s="263">
        <v>0</v>
      </c>
      <c r="AC223" s="263"/>
      <c r="AD223" s="263"/>
      <c r="AE223" s="263"/>
      <c r="AF223" s="263"/>
      <c r="AG223" s="263"/>
      <c r="AH223" s="263"/>
      <c r="AI223" s="263"/>
      <c r="AJ223" s="263"/>
      <c r="AK223" s="263"/>
      <c r="AL223" s="263"/>
      <c r="AM223" s="263"/>
      <c r="AN223" s="263"/>
      <c r="AO223" s="263"/>
      <c r="AP223" s="413"/>
      <c r="AQ223" s="263"/>
    </row>
    <row r="224" spans="1:43" s="266" customFormat="1" ht="15.75" hidden="1" customHeight="1" x14ac:dyDescent="0.25">
      <c r="A224" s="366"/>
      <c r="B224" s="252" t="s">
        <v>239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266" customFormat="1" ht="15.75" hidden="1" customHeight="1" x14ac:dyDescent="0.25">
      <c r="A225" s="366"/>
      <c r="B225" s="252" t="s">
        <v>234</v>
      </c>
      <c r="C225" s="453"/>
      <c r="D225" s="453"/>
      <c r="E225" s="453"/>
      <c r="F225" s="453"/>
      <c r="G225" s="363"/>
      <c r="H225" s="364"/>
      <c r="I225" s="370"/>
      <c r="J225" s="651"/>
      <c r="K225" s="268"/>
      <c r="L225" s="96"/>
      <c r="M225" s="96"/>
      <c r="N225" s="96"/>
      <c r="O225" s="96"/>
      <c r="P225" s="47"/>
      <c r="Q225" s="263">
        <f>Y225</f>
        <v>0</v>
      </c>
      <c r="R225" s="263"/>
      <c r="S225" s="263"/>
      <c r="T225" s="263"/>
      <c r="U225" s="263"/>
      <c r="V225" s="263"/>
      <c r="W225" s="263"/>
      <c r="X225" s="263">
        <v>0</v>
      </c>
      <c r="Y225" s="263">
        <v>0</v>
      </c>
      <c r="Z225" s="263"/>
      <c r="AA225" s="263">
        <v>0</v>
      </c>
      <c r="AB225" s="263">
        <v>0</v>
      </c>
      <c r="AC225" s="263"/>
      <c r="AD225" s="263"/>
      <c r="AE225" s="263"/>
      <c r="AF225" s="263"/>
      <c r="AG225" s="263"/>
      <c r="AH225" s="263"/>
      <c r="AI225" s="263"/>
      <c r="AJ225" s="263"/>
      <c r="AK225" s="263"/>
      <c r="AL225" s="263"/>
      <c r="AM225" s="263"/>
      <c r="AN225" s="263"/>
      <c r="AO225" s="263"/>
      <c r="AP225" s="413"/>
      <c r="AQ225" s="263"/>
    </row>
    <row r="226" spans="1:43" s="266" customFormat="1" ht="15.75" hidden="1" customHeight="1" x14ac:dyDescent="0.25">
      <c r="A226" s="366"/>
      <c r="B226" s="252" t="s">
        <v>237</v>
      </c>
      <c r="C226" s="453"/>
      <c r="D226" s="453"/>
      <c r="E226" s="453"/>
      <c r="F226" s="453"/>
      <c r="G226" s="363"/>
      <c r="H226" s="364"/>
      <c r="I226" s="370"/>
      <c r="J226" s="651"/>
      <c r="K226" s="268"/>
      <c r="L226" s="96"/>
      <c r="M226" s="96"/>
      <c r="N226" s="96"/>
      <c r="O226" s="96"/>
      <c r="P226" s="47"/>
      <c r="Q226" s="263">
        <f>Y226</f>
        <v>0</v>
      </c>
      <c r="R226" s="263"/>
      <c r="S226" s="263"/>
      <c r="T226" s="263"/>
      <c r="U226" s="263"/>
      <c r="V226" s="263"/>
      <c r="W226" s="263"/>
      <c r="X226" s="263">
        <v>0</v>
      </c>
      <c r="Y226" s="263">
        <v>0</v>
      </c>
      <c r="Z226" s="263"/>
      <c r="AA226" s="263">
        <v>0</v>
      </c>
      <c r="AB226" s="263">
        <v>0</v>
      </c>
      <c r="AC226" s="263"/>
      <c r="AD226" s="263"/>
      <c r="AE226" s="263"/>
      <c r="AF226" s="263"/>
      <c r="AG226" s="263"/>
      <c r="AH226" s="263"/>
      <c r="AI226" s="263"/>
      <c r="AJ226" s="263"/>
      <c r="AK226" s="263"/>
      <c r="AL226" s="263"/>
      <c r="AM226" s="263"/>
      <c r="AN226" s="263"/>
      <c r="AO226" s="263"/>
      <c r="AP226" s="413"/>
      <c r="AQ226" s="263"/>
    </row>
    <row r="227" spans="1:43" s="327" customFormat="1" ht="52.5" customHeight="1" x14ac:dyDescent="0.25">
      <c r="A227" s="1199" t="s">
        <v>178</v>
      </c>
      <c r="B227" s="780" t="s">
        <v>180</v>
      </c>
      <c r="C227" s="133"/>
      <c r="D227" s="133"/>
      <c r="E227" s="133"/>
      <c r="F227" s="133"/>
      <c r="G227" s="778"/>
      <c r="H227" s="778"/>
      <c r="I227" s="1651" t="s">
        <v>181</v>
      </c>
      <c r="J227" s="1180"/>
      <c r="K227" s="3"/>
      <c r="L227" s="3">
        <f>L228</f>
        <v>962.68</v>
      </c>
      <c r="M227" s="3">
        <f>M228</f>
        <v>403.33</v>
      </c>
      <c r="N227" s="3">
        <f t="shared" ref="N227:AO227" si="136">N228</f>
        <v>0</v>
      </c>
      <c r="O227" s="3">
        <f t="shared" si="136"/>
        <v>0</v>
      </c>
      <c r="P227" s="3">
        <f t="shared" si="136"/>
        <v>0</v>
      </c>
      <c r="Q227" s="3">
        <f>Q228</f>
        <v>99.9</v>
      </c>
      <c r="R227" s="3">
        <f t="shared" si="136"/>
        <v>0</v>
      </c>
      <c r="S227" s="3">
        <f t="shared" si="136"/>
        <v>0</v>
      </c>
      <c r="T227" s="3">
        <f t="shared" si="136"/>
        <v>0</v>
      </c>
      <c r="U227" s="3">
        <f t="shared" si="136"/>
        <v>0</v>
      </c>
      <c r="V227" s="3">
        <f t="shared" si="136"/>
        <v>0</v>
      </c>
      <c r="W227" s="3">
        <f t="shared" si="136"/>
        <v>0</v>
      </c>
      <c r="X227" s="3">
        <f t="shared" si="136"/>
        <v>0</v>
      </c>
      <c r="Y227" s="3">
        <f t="shared" si="136"/>
        <v>0</v>
      </c>
      <c r="Z227" s="95">
        <v>0</v>
      </c>
      <c r="AA227" s="3">
        <f>AA228</f>
        <v>99.9</v>
      </c>
      <c r="AB227" s="3">
        <f t="shared" si="136"/>
        <v>0</v>
      </c>
      <c r="AC227" s="3">
        <f t="shared" si="136"/>
        <v>0</v>
      </c>
      <c r="AD227" s="3">
        <f t="shared" si="136"/>
        <v>0</v>
      </c>
      <c r="AE227" s="3">
        <f t="shared" si="136"/>
        <v>0</v>
      </c>
      <c r="AF227" s="3">
        <f t="shared" si="136"/>
        <v>0</v>
      </c>
      <c r="AG227" s="3">
        <f t="shared" si="136"/>
        <v>0</v>
      </c>
      <c r="AH227" s="3">
        <f t="shared" si="136"/>
        <v>0</v>
      </c>
      <c r="AI227" s="3">
        <f t="shared" si="136"/>
        <v>0</v>
      </c>
      <c r="AJ227" s="3">
        <f t="shared" si="136"/>
        <v>0</v>
      </c>
      <c r="AK227" s="3">
        <f t="shared" si="136"/>
        <v>0</v>
      </c>
      <c r="AL227" s="3">
        <f t="shared" si="136"/>
        <v>0</v>
      </c>
      <c r="AM227" s="3">
        <f t="shared" si="136"/>
        <v>0</v>
      </c>
      <c r="AN227" s="3">
        <f t="shared" si="136"/>
        <v>0</v>
      </c>
      <c r="AO227" s="3">
        <f t="shared" si="136"/>
        <v>0</v>
      </c>
      <c r="AP227" s="829" t="s">
        <v>207</v>
      </c>
      <c r="AQ227" s="95">
        <v>0</v>
      </c>
    </row>
    <row r="228" spans="1:43" ht="15.75" customHeight="1" x14ac:dyDescent="0.25">
      <c r="A228" s="1166"/>
      <c r="B228" s="42" t="s">
        <v>16</v>
      </c>
      <c r="C228" s="341"/>
      <c r="D228" s="341"/>
      <c r="E228" s="341"/>
      <c r="F228" s="341"/>
      <c r="G228" s="313"/>
      <c r="H228" s="1196"/>
      <c r="I228" s="1652"/>
      <c r="J228" s="1198"/>
      <c r="K228" s="4"/>
      <c r="L228" s="47">
        <v>962.68</v>
      </c>
      <c r="M228" s="47">
        <v>403.33</v>
      </c>
      <c r="N228" s="47">
        <v>0</v>
      </c>
      <c r="O228" s="50">
        <v>0</v>
      </c>
      <c r="P228" s="50">
        <v>0</v>
      </c>
      <c r="Q228" s="50">
        <v>99.9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50">
        <v>0</v>
      </c>
      <c r="Y228" s="50">
        <v>0</v>
      </c>
      <c r="Z228" s="263"/>
      <c r="AA228" s="50">
        <v>99.9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841"/>
      <c r="AQ228" s="263"/>
    </row>
    <row r="229" spans="1:43" s="327" customFormat="1" ht="29.25" customHeight="1" x14ac:dyDescent="0.25">
      <c r="A229" s="1199" t="s">
        <v>179</v>
      </c>
      <c r="B229" s="780" t="s">
        <v>182</v>
      </c>
      <c r="C229" s="133"/>
      <c r="D229" s="133"/>
      <c r="E229" s="133"/>
      <c r="F229" s="133"/>
      <c r="G229" s="778"/>
      <c r="H229" s="778"/>
      <c r="I229" s="1463" t="s">
        <v>181</v>
      </c>
      <c r="J229" s="1180"/>
      <c r="K229" s="3"/>
      <c r="L229" s="3">
        <f>L230</f>
        <v>1342.77</v>
      </c>
      <c r="M229" s="3">
        <f>M230</f>
        <v>1246.77</v>
      </c>
      <c r="N229" s="3">
        <f t="shared" ref="N229:AO231" si="137">N230</f>
        <v>0</v>
      </c>
      <c r="O229" s="3">
        <f t="shared" si="137"/>
        <v>0</v>
      </c>
      <c r="P229" s="3">
        <f t="shared" si="137"/>
        <v>0</v>
      </c>
      <c r="Q229" s="3">
        <f t="shared" si="137"/>
        <v>0</v>
      </c>
      <c r="R229" s="3">
        <f t="shared" si="137"/>
        <v>0</v>
      </c>
      <c r="S229" s="3">
        <f t="shared" si="137"/>
        <v>0</v>
      </c>
      <c r="T229" s="3">
        <f t="shared" si="137"/>
        <v>0</v>
      </c>
      <c r="U229" s="3">
        <f t="shared" si="137"/>
        <v>0</v>
      </c>
      <c r="V229" s="3">
        <f t="shared" si="137"/>
        <v>0</v>
      </c>
      <c r="W229" s="3">
        <f t="shared" si="137"/>
        <v>0</v>
      </c>
      <c r="X229" s="3">
        <f t="shared" si="137"/>
        <v>0</v>
      </c>
      <c r="Y229" s="3">
        <f t="shared" si="137"/>
        <v>0</v>
      </c>
      <c r="Z229" s="95">
        <v>0</v>
      </c>
      <c r="AA229" s="3">
        <f t="shared" si="137"/>
        <v>0</v>
      </c>
      <c r="AB229" s="3">
        <f t="shared" si="137"/>
        <v>0</v>
      </c>
      <c r="AC229" s="3">
        <f t="shared" si="137"/>
        <v>0</v>
      </c>
      <c r="AD229" s="3">
        <f t="shared" si="137"/>
        <v>0</v>
      </c>
      <c r="AE229" s="3">
        <f t="shared" si="137"/>
        <v>0</v>
      </c>
      <c r="AF229" s="3">
        <f t="shared" si="137"/>
        <v>0</v>
      </c>
      <c r="AG229" s="3">
        <f t="shared" si="137"/>
        <v>0</v>
      </c>
      <c r="AH229" s="3">
        <f t="shared" si="137"/>
        <v>0</v>
      </c>
      <c r="AI229" s="3">
        <f t="shared" si="137"/>
        <v>0</v>
      </c>
      <c r="AJ229" s="3">
        <f t="shared" si="137"/>
        <v>0</v>
      </c>
      <c r="AK229" s="3">
        <f t="shared" si="137"/>
        <v>0</v>
      </c>
      <c r="AL229" s="3">
        <f t="shared" si="137"/>
        <v>0</v>
      </c>
      <c r="AM229" s="3">
        <f t="shared" si="137"/>
        <v>0</v>
      </c>
      <c r="AN229" s="3">
        <f t="shared" si="137"/>
        <v>0</v>
      </c>
      <c r="AO229" s="3">
        <f t="shared" si="137"/>
        <v>0</v>
      </c>
      <c r="AP229" s="829" t="s">
        <v>207</v>
      </c>
      <c r="AQ229" s="95">
        <v>0</v>
      </c>
    </row>
    <row r="230" spans="1:43" ht="15.75" customHeight="1" x14ac:dyDescent="0.25">
      <c r="A230" s="1166"/>
      <c r="B230" s="42" t="s">
        <v>15</v>
      </c>
      <c r="C230" s="341"/>
      <c r="D230" s="341"/>
      <c r="E230" s="341"/>
      <c r="F230" s="341"/>
      <c r="G230" s="313"/>
      <c r="H230" s="1196"/>
      <c r="I230" s="1465"/>
      <c r="J230" s="1198"/>
      <c r="K230" s="4"/>
      <c r="L230" s="47">
        <v>1342.77</v>
      </c>
      <c r="M230" s="47">
        <v>1246.77</v>
      </c>
      <c r="N230" s="50">
        <v>0</v>
      </c>
      <c r="O230" s="50">
        <v>0</v>
      </c>
      <c r="P230" s="47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47">
        <v>0</v>
      </c>
      <c r="Y230" s="50">
        <v>0</v>
      </c>
      <c r="Z230" s="263"/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412"/>
      <c r="AQ230" s="263"/>
    </row>
    <row r="231" spans="1:43" s="327" customFormat="1" ht="29.25" customHeight="1" x14ac:dyDescent="0.25">
      <c r="A231" s="1199" t="s">
        <v>179</v>
      </c>
      <c r="B231" s="780" t="s">
        <v>412</v>
      </c>
      <c r="C231" s="133"/>
      <c r="D231" s="133"/>
      <c r="E231" s="133"/>
      <c r="F231" s="133"/>
      <c r="G231" s="778"/>
      <c r="H231" s="778"/>
      <c r="I231" s="1463" t="s">
        <v>181</v>
      </c>
      <c r="J231" s="1180"/>
      <c r="K231" s="3"/>
      <c r="L231" s="3">
        <f>L232</f>
        <v>1342.77</v>
      </c>
      <c r="M231" s="3">
        <f>M232</f>
        <v>1246.77</v>
      </c>
      <c r="N231" s="3">
        <f t="shared" si="137"/>
        <v>0</v>
      </c>
      <c r="O231" s="3">
        <f t="shared" si="137"/>
        <v>0</v>
      </c>
      <c r="P231" s="3">
        <f t="shared" si="137"/>
        <v>2878.15</v>
      </c>
      <c r="Q231" s="3">
        <f t="shared" si="137"/>
        <v>398</v>
      </c>
      <c r="R231" s="3">
        <f t="shared" si="137"/>
        <v>0</v>
      </c>
      <c r="S231" s="3">
        <f t="shared" si="137"/>
        <v>0</v>
      </c>
      <c r="T231" s="3">
        <f t="shared" si="137"/>
        <v>0</v>
      </c>
      <c r="U231" s="3">
        <f t="shared" si="137"/>
        <v>0</v>
      </c>
      <c r="V231" s="3">
        <f t="shared" si="137"/>
        <v>0</v>
      </c>
      <c r="W231" s="3">
        <f t="shared" si="137"/>
        <v>0</v>
      </c>
      <c r="X231" s="3">
        <f t="shared" si="137"/>
        <v>0</v>
      </c>
      <c r="Y231" s="3">
        <f t="shared" si="137"/>
        <v>0</v>
      </c>
      <c r="Z231" s="95">
        <v>0</v>
      </c>
      <c r="AA231" s="3">
        <f t="shared" si="137"/>
        <v>398</v>
      </c>
      <c r="AB231" s="3">
        <f t="shared" si="137"/>
        <v>0</v>
      </c>
      <c r="AC231" s="3">
        <f t="shared" si="137"/>
        <v>0</v>
      </c>
      <c r="AD231" s="3">
        <f t="shared" si="137"/>
        <v>0</v>
      </c>
      <c r="AE231" s="3">
        <f t="shared" si="137"/>
        <v>0</v>
      </c>
      <c r="AF231" s="3">
        <f t="shared" si="137"/>
        <v>0</v>
      </c>
      <c r="AG231" s="3">
        <f t="shared" si="137"/>
        <v>0</v>
      </c>
      <c r="AH231" s="3">
        <f t="shared" si="137"/>
        <v>0</v>
      </c>
      <c r="AI231" s="3">
        <f t="shared" si="137"/>
        <v>0</v>
      </c>
      <c r="AJ231" s="3">
        <f t="shared" si="137"/>
        <v>0</v>
      </c>
      <c r="AK231" s="3">
        <f t="shared" si="137"/>
        <v>0</v>
      </c>
      <c r="AL231" s="3">
        <f t="shared" si="137"/>
        <v>0</v>
      </c>
      <c r="AM231" s="3">
        <f t="shared" si="137"/>
        <v>0</v>
      </c>
      <c r="AN231" s="3">
        <f t="shared" si="137"/>
        <v>0</v>
      </c>
      <c r="AO231" s="3">
        <f t="shared" si="137"/>
        <v>0</v>
      </c>
      <c r="AP231" s="829" t="s">
        <v>207</v>
      </c>
      <c r="AQ231" s="95">
        <v>0</v>
      </c>
    </row>
    <row r="232" spans="1:43" ht="15.75" customHeight="1" x14ac:dyDescent="0.25">
      <c r="A232" s="1166"/>
      <c r="B232" s="42" t="s">
        <v>16</v>
      </c>
      <c r="C232" s="341"/>
      <c r="D232" s="341"/>
      <c r="E232" s="341"/>
      <c r="F232" s="341"/>
      <c r="G232" s="313"/>
      <c r="H232" s="1196"/>
      <c r="I232" s="1465"/>
      <c r="J232" s="1198"/>
      <c r="K232" s="4"/>
      <c r="L232" s="47">
        <v>1342.77</v>
      </c>
      <c r="M232" s="47">
        <v>1246.77</v>
      </c>
      <c r="N232" s="50">
        <v>0</v>
      </c>
      <c r="O232" s="50">
        <v>0</v>
      </c>
      <c r="P232" s="47">
        <v>2878.15</v>
      </c>
      <c r="Q232" s="50">
        <v>398</v>
      </c>
      <c r="R232" s="50">
        <v>0</v>
      </c>
      <c r="S232" s="50">
        <v>0</v>
      </c>
      <c r="T232" s="50">
        <v>0</v>
      </c>
      <c r="U232" s="50">
        <v>0</v>
      </c>
      <c r="V232" s="50">
        <v>0</v>
      </c>
      <c r="W232" s="50">
        <v>0</v>
      </c>
      <c r="X232" s="47">
        <v>0</v>
      </c>
      <c r="Y232" s="50">
        <v>0</v>
      </c>
      <c r="Z232" s="263"/>
      <c r="AA232" s="50">
        <v>398</v>
      </c>
      <c r="AB232" s="50">
        <v>0</v>
      </c>
      <c r="AC232" s="50">
        <v>0</v>
      </c>
      <c r="AD232" s="50">
        <v>0</v>
      </c>
      <c r="AE232" s="50">
        <v>0</v>
      </c>
      <c r="AF232" s="50">
        <v>0</v>
      </c>
      <c r="AG232" s="50">
        <v>0</v>
      </c>
      <c r="AH232" s="50">
        <v>0</v>
      </c>
      <c r="AI232" s="50">
        <v>0</v>
      </c>
      <c r="AJ232" s="50">
        <v>0</v>
      </c>
      <c r="AK232" s="50">
        <v>0</v>
      </c>
      <c r="AL232" s="50">
        <v>0</v>
      </c>
      <c r="AM232" s="50">
        <v>0</v>
      </c>
      <c r="AN232" s="50">
        <v>0</v>
      </c>
      <c r="AO232" s="50">
        <v>0</v>
      </c>
      <c r="AP232" s="412"/>
      <c r="AQ232" s="263"/>
    </row>
    <row r="233" spans="1:43" ht="54" hidden="1" customHeight="1" x14ac:dyDescent="0.25">
      <c r="A233" s="1332" t="s">
        <v>31</v>
      </c>
      <c r="B233" s="1613" t="s">
        <v>208</v>
      </c>
      <c r="C233" s="1614"/>
      <c r="D233" s="1614"/>
      <c r="E233" s="1614"/>
      <c r="F233" s="1614"/>
      <c r="G233" s="1614"/>
      <c r="H233" s="1615"/>
      <c r="I233" s="23" t="s">
        <v>19</v>
      </c>
      <c r="J233" s="1189">
        <v>0</v>
      </c>
      <c r="K233" s="1189">
        <v>0</v>
      </c>
      <c r="L233" s="47">
        <f>M233+N233+O233</f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96"/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397"/>
      <c r="AQ233" s="96"/>
    </row>
    <row r="234" spans="1:43" ht="39.75" hidden="1" customHeight="1" x14ac:dyDescent="0.25">
      <c r="A234" s="1333"/>
      <c r="B234" s="1616"/>
      <c r="C234" s="1617"/>
      <c r="D234" s="1617"/>
      <c r="E234" s="1617"/>
      <c r="F234" s="1617"/>
      <c r="G234" s="1617"/>
      <c r="H234" s="1618"/>
      <c r="I234" s="23" t="s">
        <v>20</v>
      </c>
      <c r="J234" s="1189">
        <f>K234+L234</f>
        <v>6696.7899999999991</v>
      </c>
      <c r="K234" s="1189">
        <f>K240+K259+K262+K269</f>
        <v>0</v>
      </c>
      <c r="L234" s="47">
        <f t="shared" ref="L234:AE234" si="138">L240</f>
        <v>6696.7899999999991</v>
      </c>
      <c r="M234" s="47">
        <f t="shared" si="138"/>
        <v>0</v>
      </c>
      <c r="N234" s="47">
        <f t="shared" si="138"/>
        <v>2081.9299999999998</v>
      </c>
      <c r="O234" s="47">
        <f t="shared" si="138"/>
        <v>4372.5</v>
      </c>
      <c r="P234" s="47">
        <f t="shared" si="138"/>
        <v>0</v>
      </c>
      <c r="Q234" s="47">
        <f t="shared" si="138"/>
        <v>470</v>
      </c>
      <c r="R234" s="47">
        <f t="shared" si="138"/>
        <v>0</v>
      </c>
      <c r="S234" s="47">
        <f t="shared" si="138"/>
        <v>0</v>
      </c>
      <c r="T234" s="47">
        <f t="shared" si="138"/>
        <v>0</v>
      </c>
      <c r="U234" s="47">
        <f t="shared" si="138"/>
        <v>0</v>
      </c>
      <c r="V234" s="47">
        <f t="shared" si="138"/>
        <v>0</v>
      </c>
      <c r="W234" s="47">
        <f t="shared" si="138"/>
        <v>0</v>
      </c>
      <c r="X234" s="47">
        <f t="shared" si="138"/>
        <v>0</v>
      </c>
      <c r="Y234" s="47">
        <f t="shared" si="138"/>
        <v>0</v>
      </c>
      <c r="Z234" s="96"/>
      <c r="AA234" s="47">
        <f t="shared" si="138"/>
        <v>470</v>
      </c>
      <c r="AB234" s="47">
        <f t="shared" si="138"/>
        <v>0</v>
      </c>
      <c r="AC234" s="47">
        <f t="shared" si="138"/>
        <v>0</v>
      </c>
      <c r="AD234" s="47">
        <f t="shared" si="138"/>
        <v>0</v>
      </c>
      <c r="AE234" s="47">
        <f t="shared" si="138"/>
        <v>0</v>
      </c>
      <c r="AF234" s="47">
        <f t="shared" ref="AF234:AO234" si="139">AF240+AF259+AF262+AF269+AF271</f>
        <v>0</v>
      </c>
      <c r="AG234" s="47">
        <f t="shared" si="139"/>
        <v>0</v>
      </c>
      <c r="AH234" s="47">
        <f t="shared" si="139"/>
        <v>0</v>
      </c>
      <c r="AI234" s="47">
        <f t="shared" si="139"/>
        <v>0</v>
      </c>
      <c r="AJ234" s="47">
        <f t="shared" si="139"/>
        <v>0</v>
      </c>
      <c r="AK234" s="47">
        <f t="shared" si="139"/>
        <v>39749.919999999998</v>
      </c>
      <c r="AL234" s="47">
        <f t="shared" si="139"/>
        <v>39749.919999999998</v>
      </c>
      <c r="AM234" s="47" t="e">
        <f t="shared" si="139"/>
        <v>#DIV/0!</v>
      </c>
      <c r="AN234" s="47">
        <f t="shared" si="139"/>
        <v>0</v>
      </c>
      <c r="AO234" s="47">
        <f t="shared" si="139"/>
        <v>0</v>
      </c>
      <c r="AP234" s="397"/>
      <c r="AQ234" s="96"/>
    </row>
    <row r="235" spans="1:43" ht="26.25" hidden="1" customHeight="1" x14ac:dyDescent="0.25">
      <c r="A235" s="1333"/>
      <c r="B235" s="1616"/>
      <c r="C235" s="1617"/>
      <c r="D235" s="1617"/>
      <c r="E235" s="1617"/>
      <c r="F235" s="1617"/>
      <c r="G235" s="1617"/>
      <c r="H235" s="1618"/>
      <c r="I235" s="23" t="s">
        <v>10</v>
      </c>
      <c r="J235" s="1189">
        <v>0</v>
      </c>
      <c r="K235" s="1189">
        <v>0</v>
      </c>
      <c r="L235" s="47">
        <f>M235+N235+O235</f>
        <v>0</v>
      </c>
      <c r="M235" s="47">
        <v>0</v>
      </c>
      <c r="N235" s="47">
        <v>0</v>
      </c>
      <c r="O235" s="47">
        <v>0</v>
      </c>
      <c r="P235" s="47">
        <v>0</v>
      </c>
      <c r="Q235" s="47">
        <v>0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47">
        <v>0</v>
      </c>
      <c r="X235" s="47">
        <v>0</v>
      </c>
      <c r="Y235" s="47">
        <v>0</v>
      </c>
      <c r="Z235" s="96"/>
      <c r="AA235" s="47">
        <v>0</v>
      </c>
      <c r="AB235" s="47">
        <v>0</v>
      </c>
      <c r="AC235" s="47">
        <v>0</v>
      </c>
      <c r="AD235" s="47">
        <v>0</v>
      </c>
      <c r="AE235" s="47">
        <v>0</v>
      </c>
      <c r="AF235" s="47">
        <v>0</v>
      </c>
      <c r="AG235" s="47">
        <v>0</v>
      </c>
      <c r="AH235" s="47">
        <v>0</v>
      </c>
      <c r="AI235" s="47">
        <v>0</v>
      </c>
      <c r="AJ235" s="47">
        <v>0</v>
      </c>
      <c r="AK235" s="47">
        <v>0</v>
      </c>
      <c r="AL235" s="47">
        <v>0</v>
      </c>
      <c r="AM235" s="47">
        <v>0</v>
      </c>
      <c r="AN235" s="47">
        <v>0</v>
      </c>
      <c r="AO235" s="47">
        <v>0</v>
      </c>
      <c r="AP235" s="397"/>
      <c r="AQ235" s="96"/>
    </row>
    <row r="236" spans="1:43" ht="25.5" hidden="1" x14ac:dyDescent="0.25">
      <c r="A236" s="1334"/>
      <c r="B236" s="1619"/>
      <c r="C236" s="1620"/>
      <c r="D236" s="1620"/>
      <c r="E236" s="1620"/>
      <c r="F236" s="1620"/>
      <c r="G236" s="1620"/>
      <c r="H236" s="1621"/>
      <c r="I236" s="23" t="s">
        <v>9</v>
      </c>
      <c r="J236" s="1189">
        <v>0</v>
      </c>
      <c r="K236" s="1189">
        <v>0</v>
      </c>
      <c r="L236" s="47">
        <f>M236+N236+O236</f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96"/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397"/>
      <c r="AQ236" s="96"/>
    </row>
    <row r="237" spans="1:43" s="327" customFormat="1" ht="29.25" customHeight="1" x14ac:dyDescent="0.25">
      <c r="A237" s="1199" t="s">
        <v>179</v>
      </c>
      <c r="B237" s="780" t="s">
        <v>413</v>
      </c>
      <c r="C237" s="133"/>
      <c r="D237" s="133"/>
      <c r="E237" s="133"/>
      <c r="F237" s="133"/>
      <c r="G237" s="778"/>
      <c r="H237" s="778"/>
      <c r="I237" s="1463" t="s">
        <v>181</v>
      </c>
      <c r="J237" s="1180"/>
      <c r="K237" s="3"/>
      <c r="L237" s="3">
        <f>L238</f>
        <v>1342.77</v>
      </c>
      <c r="M237" s="3">
        <f>M238</f>
        <v>1246.77</v>
      </c>
      <c r="N237" s="3">
        <f t="shared" ref="N237:AO237" si="140">N238</f>
        <v>0</v>
      </c>
      <c r="O237" s="3">
        <f t="shared" si="140"/>
        <v>0</v>
      </c>
      <c r="P237" s="3">
        <f t="shared" si="140"/>
        <v>4959</v>
      </c>
      <c r="Q237" s="3">
        <f t="shared" si="140"/>
        <v>0</v>
      </c>
      <c r="R237" s="3">
        <f t="shared" si="140"/>
        <v>0</v>
      </c>
      <c r="S237" s="3">
        <f t="shared" si="140"/>
        <v>0</v>
      </c>
      <c r="T237" s="3">
        <f t="shared" si="140"/>
        <v>0</v>
      </c>
      <c r="U237" s="3">
        <f t="shared" si="140"/>
        <v>0</v>
      </c>
      <c r="V237" s="3">
        <f t="shared" si="140"/>
        <v>0</v>
      </c>
      <c r="W237" s="3">
        <f t="shared" si="140"/>
        <v>0</v>
      </c>
      <c r="X237" s="3">
        <f t="shared" si="140"/>
        <v>0</v>
      </c>
      <c r="Y237" s="3">
        <f t="shared" si="140"/>
        <v>0</v>
      </c>
      <c r="Z237" s="95">
        <v>0</v>
      </c>
      <c r="AA237" s="3">
        <f t="shared" si="140"/>
        <v>0</v>
      </c>
      <c r="AB237" s="3">
        <f t="shared" si="140"/>
        <v>0</v>
      </c>
      <c r="AC237" s="3">
        <f t="shared" si="140"/>
        <v>0</v>
      </c>
      <c r="AD237" s="3">
        <f t="shared" si="140"/>
        <v>0</v>
      </c>
      <c r="AE237" s="3">
        <f t="shared" si="140"/>
        <v>0</v>
      </c>
      <c r="AF237" s="3">
        <f t="shared" si="140"/>
        <v>0</v>
      </c>
      <c r="AG237" s="3">
        <f t="shared" si="140"/>
        <v>0</v>
      </c>
      <c r="AH237" s="3">
        <f t="shared" si="140"/>
        <v>0</v>
      </c>
      <c r="AI237" s="3">
        <f t="shared" si="140"/>
        <v>0</v>
      </c>
      <c r="AJ237" s="3">
        <f t="shared" si="140"/>
        <v>0</v>
      </c>
      <c r="AK237" s="3">
        <f t="shared" si="140"/>
        <v>0</v>
      </c>
      <c r="AL237" s="3">
        <f t="shared" si="140"/>
        <v>0</v>
      </c>
      <c r="AM237" s="3">
        <f t="shared" si="140"/>
        <v>0</v>
      </c>
      <c r="AN237" s="3">
        <f t="shared" si="140"/>
        <v>0</v>
      </c>
      <c r="AO237" s="3">
        <f t="shared" si="140"/>
        <v>0</v>
      </c>
      <c r="AP237" s="829" t="s">
        <v>207</v>
      </c>
      <c r="AQ237" s="95">
        <v>0</v>
      </c>
    </row>
    <row r="238" spans="1:43" ht="15.75" customHeight="1" x14ac:dyDescent="0.25">
      <c r="A238" s="1166"/>
      <c r="B238" s="42" t="s">
        <v>39</v>
      </c>
      <c r="C238" s="341"/>
      <c r="D238" s="341"/>
      <c r="E238" s="341"/>
      <c r="F238" s="341"/>
      <c r="G238" s="313"/>
      <c r="H238" s="1196"/>
      <c r="I238" s="1465"/>
      <c r="J238" s="1198"/>
      <c r="K238" s="4"/>
      <c r="L238" s="47">
        <v>1342.77</v>
      </c>
      <c r="M238" s="47">
        <v>1246.77</v>
      </c>
      <c r="N238" s="50">
        <v>0</v>
      </c>
      <c r="O238" s="50">
        <v>0</v>
      </c>
      <c r="P238" s="47">
        <v>4959</v>
      </c>
      <c r="Q238" s="50">
        <v>0</v>
      </c>
      <c r="R238" s="50">
        <v>0</v>
      </c>
      <c r="S238" s="50">
        <v>0</v>
      </c>
      <c r="T238" s="50">
        <v>0</v>
      </c>
      <c r="U238" s="50">
        <v>0</v>
      </c>
      <c r="V238" s="50">
        <v>0</v>
      </c>
      <c r="W238" s="50">
        <v>0</v>
      </c>
      <c r="X238" s="47">
        <v>0</v>
      </c>
      <c r="Y238" s="50">
        <v>0</v>
      </c>
      <c r="Z238" s="263"/>
      <c r="AA238" s="50">
        <v>0</v>
      </c>
      <c r="AB238" s="50">
        <v>0</v>
      </c>
      <c r="AC238" s="50">
        <v>0</v>
      </c>
      <c r="AD238" s="50">
        <v>0</v>
      </c>
      <c r="AE238" s="50">
        <v>0</v>
      </c>
      <c r="AF238" s="50">
        <v>0</v>
      </c>
      <c r="AG238" s="50">
        <v>0</v>
      </c>
      <c r="AH238" s="50">
        <v>0</v>
      </c>
      <c r="AI238" s="50">
        <v>0</v>
      </c>
      <c r="AJ238" s="50">
        <v>0</v>
      </c>
      <c r="AK238" s="50">
        <v>0</v>
      </c>
      <c r="AL238" s="50">
        <v>0</v>
      </c>
      <c r="AM238" s="50">
        <v>0</v>
      </c>
      <c r="AN238" s="50">
        <v>0</v>
      </c>
      <c r="AO238" s="50">
        <v>0</v>
      </c>
      <c r="AP238" s="412"/>
      <c r="AQ238" s="263"/>
    </row>
    <row r="239" spans="1:43" ht="15.75" x14ac:dyDescent="0.25">
      <c r="A239" s="1160"/>
      <c r="B239" s="42" t="s">
        <v>16</v>
      </c>
      <c r="C239" s="1192"/>
      <c r="D239" s="1192"/>
      <c r="E239" s="1192"/>
      <c r="F239" s="1192"/>
      <c r="G239" s="1192"/>
      <c r="H239" s="1193"/>
      <c r="I239" s="1161"/>
      <c r="J239" s="1189"/>
      <c r="K239" s="1189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96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"/>
      <c r="AN239" s="47"/>
      <c r="AO239" s="47"/>
      <c r="AP239" s="397"/>
      <c r="AQ239" s="96"/>
    </row>
    <row r="240" spans="1:43" s="327" customFormat="1" ht="30" customHeight="1" x14ac:dyDescent="0.25">
      <c r="A240" s="1344" t="s">
        <v>50</v>
      </c>
      <c r="B240" s="830" t="s">
        <v>183</v>
      </c>
      <c r="C240" s="1658"/>
      <c r="D240" s="1326"/>
      <c r="E240" s="1326"/>
      <c r="F240" s="1644">
        <v>150000</v>
      </c>
      <c r="G240" s="1326">
        <v>2019</v>
      </c>
      <c r="H240" s="1326">
        <v>2019</v>
      </c>
      <c r="I240" s="1326" t="s">
        <v>20</v>
      </c>
      <c r="J240" s="1653">
        <v>4914.5600000000004</v>
      </c>
      <c r="K240" s="3"/>
      <c r="L240" s="3">
        <f t="shared" ref="L240:P240" si="141">L243+L241</f>
        <v>6696.7899999999991</v>
      </c>
      <c r="M240" s="3">
        <f t="shared" si="141"/>
        <v>0</v>
      </c>
      <c r="N240" s="3">
        <f t="shared" si="141"/>
        <v>2081.9299999999998</v>
      </c>
      <c r="O240" s="3">
        <f t="shared" si="141"/>
        <v>4372.5</v>
      </c>
      <c r="P240" s="3">
        <f t="shared" si="141"/>
        <v>0</v>
      </c>
      <c r="Q240" s="3">
        <f>Q241+Q243</f>
        <v>470</v>
      </c>
      <c r="R240" s="3">
        <f t="shared" ref="R240:AA240" si="142">R241+R243</f>
        <v>0</v>
      </c>
      <c r="S240" s="3">
        <f t="shared" si="142"/>
        <v>0</v>
      </c>
      <c r="T240" s="3">
        <f t="shared" si="142"/>
        <v>0</v>
      </c>
      <c r="U240" s="3">
        <f t="shared" si="142"/>
        <v>0</v>
      </c>
      <c r="V240" s="3">
        <f t="shared" si="142"/>
        <v>0</v>
      </c>
      <c r="W240" s="3">
        <f t="shared" si="142"/>
        <v>0</v>
      </c>
      <c r="X240" s="3">
        <f t="shared" si="142"/>
        <v>0</v>
      </c>
      <c r="Y240" s="3">
        <f t="shared" si="142"/>
        <v>0</v>
      </c>
      <c r="Z240" s="3">
        <f t="shared" si="142"/>
        <v>0</v>
      </c>
      <c r="AA240" s="3">
        <f t="shared" si="142"/>
        <v>470</v>
      </c>
      <c r="AB240" s="3">
        <f t="shared" ref="AB240:AJ240" si="143">AB243+AB241</f>
        <v>0</v>
      </c>
      <c r="AC240" s="3">
        <f t="shared" si="143"/>
        <v>0</v>
      </c>
      <c r="AD240" s="3">
        <f t="shared" si="143"/>
        <v>0</v>
      </c>
      <c r="AE240" s="3">
        <f t="shared" si="143"/>
        <v>0</v>
      </c>
      <c r="AF240" s="3">
        <f t="shared" si="143"/>
        <v>0</v>
      </c>
      <c r="AG240" s="3">
        <f t="shared" si="143"/>
        <v>0</v>
      </c>
      <c r="AH240" s="3">
        <f t="shared" si="143"/>
        <v>0</v>
      </c>
      <c r="AI240" s="3">
        <f t="shared" si="143"/>
        <v>0</v>
      </c>
      <c r="AJ240" s="3">
        <f t="shared" si="143"/>
        <v>0</v>
      </c>
      <c r="AK240" s="3">
        <f>P240-Q240</f>
        <v>-470</v>
      </c>
      <c r="AL240" s="3">
        <f>AK240</f>
        <v>-470</v>
      </c>
      <c r="AM240" s="318" t="e">
        <f>ROUND((Q240*100%/P240*100),2)</f>
        <v>#DIV/0!</v>
      </c>
      <c r="AN240" s="3">
        <f>AN243</f>
        <v>0</v>
      </c>
      <c r="AO240" s="3">
        <f>AO243</f>
        <v>0</v>
      </c>
      <c r="AP240" s="633"/>
      <c r="AQ240" s="95">
        <v>45</v>
      </c>
    </row>
    <row r="241" spans="1:43" ht="19.5" customHeight="1" x14ac:dyDescent="0.25">
      <c r="A241" s="1345"/>
      <c r="B241" s="1" t="s">
        <v>15</v>
      </c>
      <c r="C241" s="1659"/>
      <c r="D241" s="1327"/>
      <c r="E241" s="1327"/>
      <c r="F241" s="1645"/>
      <c r="G241" s="1327"/>
      <c r="H241" s="1327"/>
      <c r="I241" s="1327"/>
      <c r="J241" s="1654"/>
      <c r="K241" s="47"/>
      <c r="L241" s="47">
        <f>SUM(M241:O241)</f>
        <v>2081.9299999999998</v>
      </c>
      <c r="M241" s="4">
        <v>0</v>
      </c>
      <c r="N241" s="4">
        <v>2081.9299999999998</v>
      </c>
      <c r="O241" s="4">
        <f t="shared" ref="O241:AO241" si="144">O242</f>
        <v>0</v>
      </c>
      <c r="P241" s="4">
        <f t="shared" si="144"/>
        <v>0</v>
      </c>
      <c r="Q241" s="4">
        <f t="shared" si="144"/>
        <v>470</v>
      </c>
      <c r="R241" s="4">
        <f t="shared" si="144"/>
        <v>0</v>
      </c>
      <c r="S241" s="4">
        <f t="shared" si="144"/>
        <v>0</v>
      </c>
      <c r="T241" s="4">
        <f t="shared" si="144"/>
        <v>0</v>
      </c>
      <c r="U241" s="4">
        <f t="shared" si="144"/>
        <v>0</v>
      </c>
      <c r="V241" s="4">
        <f t="shared" si="144"/>
        <v>0</v>
      </c>
      <c r="W241" s="4">
        <f t="shared" si="144"/>
        <v>0</v>
      </c>
      <c r="X241" s="4">
        <f t="shared" si="144"/>
        <v>0</v>
      </c>
      <c r="Y241" s="4">
        <f t="shared" si="144"/>
        <v>0</v>
      </c>
      <c r="Z241" s="268"/>
      <c r="AA241" s="4">
        <f t="shared" si="144"/>
        <v>470</v>
      </c>
      <c r="AB241" s="4">
        <f t="shared" si="144"/>
        <v>0</v>
      </c>
      <c r="AC241" s="4">
        <f t="shared" si="144"/>
        <v>0</v>
      </c>
      <c r="AD241" s="4">
        <f t="shared" si="144"/>
        <v>0</v>
      </c>
      <c r="AE241" s="4">
        <f t="shared" si="144"/>
        <v>0</v>
      </c>
      <c r="AF241" s="4">
        <f t="shared" si="144"/>
        <v>0</v>
      </c>
      <c r="AG241" s="4">
        <f t="shared" si="144"/>
        <v>0</v>
      </c>
      <c r="AH241" s="4">
        <v>0</v>
      </c>
      <c r="AI241" s="4">
        <v>0</v>
      </c>
      <c r="AJ241" s="4">
        <v>0</v>
      </c>
      <c r="AK241" s="4">
        <f t="shared" si="144"/>
        <v>0</v>
      </c>
      <c r="AL241" s="4">
        <f t="shared" si="144"/>
        <v>0</v>
      </c>
      <c r="AM241" s="4">
        <f t="shared" si="144"/>
        <v>0</v>
      </c>
      <c r="AN241" s="4">
        <f t="shared" si="144"/>
        <v>0</v>
      </c>
      <c r="AO241" s="4">
        <f t="shared" si="144"/>
        <v>0</v>
      </c>
      <c r="AP241" s="1185"/>
      <c r="AQ241" s="268"/>
    </row>
    <row r="242" spans="1:43" s="266" customFormat="1" x14ac:dyDescent="0.25">
      <c r="A242" s="1345"/>
      <c r="B242" s="92" t="s">
        <v>250</v>
      </c>
      <c r="C242" s="1659"/>
      <c r="D242" s="1327"/>
      <c r="E242" s="1327"/>
      <c r="F242" s="1645"/>
      <c r="G242" s="1327"/>
      <c r="H242" s="1327"/>
      <c r="I242" s="1327"/>
      <c r="J242" s="1654"/>
      <c r="K242" s="96"/>
      <c r="L242" s="96">
        <f>SUM(M242:O242)</f>
        <v>0</v>
      </c>
      <c r="M242" s="268">
        <v>0</v>
      </c>
      <c r="N242" s="263"/>
      <c r="O242" s="263"/>
      <c r="P242" s="263">
        <f>R242+T242</f>
        <v>0</v>
      </c>
      <c r="Q242" s="263">
        <f>75+395</f>
        <v>470</v>
      </c>
      <c r="R242" s="263">
        <f>S242</f>
        <v>0</v>
      </c>
      <c r="S242" s="263">
        <v>0</v>
      </c>
      <c r="T242" s="263">
        <v>0</v>
      </c>
      <c r="U242" s="263">
        <v>0</v>
      </c>
      <c r="V242" s="263">
        <v>0</v>
      </c>
      <c r="W242" s="263">
        <v>0</v>
      </c>
      <c r="X242" s="263">
        <v>0</v>
      </c>
      <c r="Y242" s="263">
        <v>0</v>
      </c>
      <c r="Z242" s="263"/>
      <c r="AA242" s="263">
        <f>75+395</f>
        <v>470</v>
      </c>
      <c r="AB242" s="263">
        <v>0</v>
      </c>
      <c r="AC242" s="263">
        <v>0</v>
      </c>
      <c r="AD242" s="263"/>
      <c r="AE242" s="263"/>
      <c r="AF242" s="263"/>
      <c r="AG242" s="263"/>
      <c r="AH242" s="263"/>
      <c r="AI242" s="263"/>
      <c r="AJ242" s="263"/>
      <c r="AK242" s="263"/>
      <c r="AL242" s="263"/>
      <c r="AM242" s="263"/>
      <c r="AN242" s="263"/>
      <c r="AO242" s="263"/>
      <c r="AP242" s="413"/>
      <c r="AQ242" s="263"/>
    </row>
    <row r="243" spans="1:43" ht="18" customHeight="1" x14ac:dyDescent="0.25">
      <c r="A243" s="1346"/>
      <c r="B243" s="575" t="s">
        <v>16</v>
      </c>
      <c r="C243" s="1356"/>
      <c r="D243" s="1356"/>
      <c r="E243" s="1327"/>
      <c r="F243" s="1357"/>
      <c r="G243" s="1327"/>
      <c r="H243" s="1327"/>
      <c r="I243" s="1327"/>
      <c r="J243" s="1655"/>
      <c r="K243" s="47">
        <v>0</v>
      </c>
      <c r="L243" s="47">
        <v>4614.8599999999997</v>
      </c>
      <c r="M243" s="4">
        <v>0</v>
      </c>
      <c r="N243" s="4">
        <v>0</v>
      </c>
      <c r="O243" s="4">
        <v>4372.5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268"/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1185"/>
      <c r="AQ243" s="268"/>
    </row>
    <row r="244" spans="1:43" s="327" customFormat="1" ht="21" customHeight="1" x14ac:dyDescent="0.25">
      <c r="A244" s="1175"/>
      <c r="B244" s="830" t="s">
        <v>414</v>
      </c>
      <c r="C244" s="654"/>
      <c r="D244" s="654"/>
      <c r="E244" s="341"/>
      <c r="F244" s="831"/>
      <c r="G244" s="341"/>
      <c r="H244" s="1197"/>
      <c r="I244" s="1165"/>
      <c r="J244" s="1191"/>
      <c r="K244" s="3"/>
      <c r="L244" s="3">
        <f t="shared" ref="L244:O244" si="145">L247+L245</f>
        <v>2081.9299999999998</v>
      </c>
      <c r="M244" s="3">
        <f t="shared" si="145"/>
        <v>0</v>
      </c>
      <c r="N244" s="3">
        <f t="shared" si="145"/>
        <v>2081.9299999999998</v>
      </c>
      <c r="O244" s="3">
        <f t="shared" si="145"/>
        <v>0</v>
      </c>
      <c r="P244" s="3">
        <f>SUM(P245:P246)</f>
        <v>2.7</v>
      </c>
      <c r="Q244" s="3">
        <f>SUM(Q245:Q246)</f>
        <v>0</v>
      </c>
      <c r="R244" s="3">
        <f t="shared" ref="R244:AA244" si="146">SUM(R245:R246)</f>
        <v>0</v>
      </c>
      <c r="S244" s="3">
        <f t="shared" si="146"/>
        <v>0</v>
      </c>
      <c r="T244" s="3">
        <f t="shared" si="146"/>
        <v>0</v>
      </c>
      <c r="U244" s="3">
        <f t="shared" si="146"/>
        <v>0</v>
      </c>
      <c r="V244" s="3">
        <f t="shared" si="146"/>
        <v>0</v>
      </c>
      <c r="W244" s="3">
        <f t="shared" si="146"/>
        <v>0</v>
      </c>
      <c r="X244" s="3">
        <f t="shared" si="146"/>
        <v>0</v>
      </c>
      <c r="Y244" s="3">
        <f t="shared" si="146"/>
        <v>0</v>
      </c>
      <c r="Z244" s="3">
        <f t="shared" si="146"/>
        <v>0</v>
      </c>
      <c r="AA244" s="3">
        <f t="shared" si="146"/>
        <v>0</v>
      </c>
      <c r="AB244" s="3">
        <f t="shared" ref="AB244:AJ244" si="147">AB247+AB245</f>
        <v>0</v>
      </c>
      <c r="AC244" s="3">
        <f t="shared" si="147"/>
        <v>0</v>
      </c>
      <c r="AD244" s="3">
        <f t="shared" si="147"/>
        <v>0</v>
      </c>
      <c r="AE244" s="3">
        <f t="shared" si="147"/>
        <v>0</v>
      </c>
      <c r="AF244" s="3">
        <f t="shared" si="147"/>
        <v>0</v>
      </c>
      <c r="AG244" s="3">
        <f t="shared" si="147"/>
        <v>0</v>
      </c>
      <c r="AH244" s="3">
        <f t="shared" si="147"/>
        <v>0</v>
      </c>
      <c r="AI244" s="3">
        <f t="shared" si="147"/>
        <v>0</v>
      </c>
      <c r="AJ244" s="3">
        <f t="shared" si="147"/>
        <v>0</v>
      </c>
      <c r="AK244" s="3">
        <f>P244-Q244</f>
        <v>2.7</v>
      </c>
      <c r="AL244" s="3">
        <f>AK244</f>
        <v>2.7</v>
      </c>
      <c r="AM244" s="318">
        <f>ROUND((Q244*100%/P244*100),2)</f>
        <v>0</v>
      </c>
      <c r="AN244" s="3">
        <f>AN247</f>
        <v>0</v>
      </c>
      <c r="AO244" s="3">
        <f>AO247</f>
        <v>0</v>
      </c>
      <c r="AP244" s="633"/>
      <c r="AQ244" s="95">
        <v>45</v>
      </c>
    </row>
    <row r="245" spans="1:43" ht="19.5" customHeight="1" x14ac:dyDescent="0.25">
      <c r="A245" s="1175"/>
      <c r="B245" s="1" t="s">
        <v>15</v>
      </c>
      <c r="C245" s="654"/>
      <c r="D245" s="654"/>
      <c r="E245" s="341"/>
      <c r="F245" s="831"/>
      <c r="G245" s="341"/>
      <c r="H245" s="1197"/>
      <c r="I245" s="1165"/>
      <c r="J245" s="1191"/>
      <c r="K245" s="47"/>
      <c r="L245" s="47">
        <f>SUM(M245:O245)</f>
        <v>2081.9299999999998</v>
      </c>
      <c r="M245" s="4">
        <v>0</v>
      </c>
      <c r="N245" s="4">
        <v>2081.9299999999998</v>
      </c>
      <c r="O245" s="4">
        <f t="shared" ref="O245:AO245" si="148">O246</f>
        <v>0</v>
      </c>
      <c r="P245" s="4">
        <v>2.7</v>
      </c>
      <c r="Q245" s="4">
        <v>0</v>
      </c>
      <c r="R245" s="4">
        <f t="shared" si="148"/>
        <v>0</v>
      </c>
      <c r="S245" s="4">
        <f t="shared" si="148"/>
        <v>0</v>
      </c>
      <c r="T245" s="4">
        <f t="shared" si="148"/>
        <v>0</v>
      </c>
      <c r="U245" s="4">
        <f t="shared" si="148"/>
        <v>0</v>
      </c>
      <c r="V245" s="4">
        <f t="shared" si="148"/>
        <v>0</v>
      </c>
      <c r="W245" s="4">
        <f t="shared" si="148"/>
        <v>0</v>
      </c>
      <c r="X245" s="4">
        <f t="shared" si="148"/>
        <v>0</v>
      </c>
      <c r="Y245" s="4">
        <f t="shared" si="148"/>
        <v>0</v>
      </c>
      <c r="Z245" s="268"/>
      <c r="AA245" s="4">
        <v>0</v>
      </c>
      <c r="AB245" s="4">
        <f t="shared" si="148"/>
        <v>0</v>
      </c>
      <c r="AC245" s="4">
        <f t="shared" si="148"/>
        <v>0</v>
      </c>
      <c r="AD245" s="4">
        <f t="shared" si="148"/>
        <v>0</v>
      </c>
      <c r="AE245" s="4">
        <f t="shared" si="148"/>
        <v>0</v>
      </c>
      <c r="AF245" s="4">
        <f t="shared" si="148"/>
        <v>0</v>
      </c>
      <c r="AG245" s="4">
        <f t="shared" si="148"/>
        <v>0</v>
      </c>
      <c r="AH245" s="4">
        <v>0</v>
      </c>
      <c r="AI245" s="4">
        <v>0</v>
      </c>
      <c r="AJ245" s="4">
        <v>0</v>
      </c>
      <c r="AK245" s="4">
        <f t="shared" si="148"/>
        <v>0</v>
      </c>
      <c r="AL245" s="4">
        <f t="shared" si="148"/>
        <v>0</v>
      </c>
      <c r="AM245" s="4">
        <f t="shared" si="148"/>
        <v>0</v>
      </c>
      <c r="AN245" s="4">
        <f t="shared" si="148"/>
        <v>0</v>
      </c>
      <c r="AO245" s="4">
        <f t="shared" si="148"/>
        <v>0</v>
      </c>
      <c r="AP245" s="1185"/>
      <c r="AQ245" s="268"/>
    </row>
    <row r="246" spans="1:43" ht="18" customHeight="1" x14ac:dyDescent="0.25">
      <c r="A246" s="1175"/>
      <c r="B246" s="575" t="s">
        <v>16</v>
      </c>
      <c r="C246" s="654"/>
      <c r="D246" s="654"/>
      <c r="E246" s="341"/>
      <c r="F246" s="831"/>
      <c r="G246" s="341"/>
      <c r="H246" s="1197"/>
      <c r="I246" s="1165"/>
      <c r="J246" s="1191"/>
      <c r="K246" s="4"/>
      <c r="L246" s="47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268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1185"/>
      <c r="AQ246" s="268"/>
    </row>
    <row r="247" spans="1:43" ht="54" hidden="1" customHeight="1" x14ac:dyDescent="0.25">
      <c r="A247" s="1332" t="s">
        <v>139</v>
      </c>
      <c r="B247" s="1613" t="s">
        <v>209</v>
      </c>
      <c r="C247" s="1614"/>
      <c r="D247" s="1614"/>
      <c r="E247" s="1614"/>
      <c r="F247" s="1614"/>
      <c r="G247" s="1614"/>
      <c r="H247" s="1615"/>
      <c r="I247" s="23" t="s">
        <v>19</v>
      </c>
      <c r="J247" s="1189">
        <v>0</v>
      </c>
      <c r="K247" s="1189">
        <v>0</v>
      </c>
      <c r="L247" s="47">
        <f>M247+N247+O247</f>
        <v>0</v>
      </c>
      <c r="M247" s="47">
        <v>0</v>
      </c>
      <c r="N247" s="47">
        <v>0</v>
      </c>
      <c r="O247" s="47">
        <v>0</v>
      </c>
      <c r="P247" s="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47">
        <v>0</v>
      </c>
      <c r="X247" s="47">
        <v>0</v>
      </c>
      <c r="Y247" s="47">
        <v>0</v>
      </c>
      <c r="Z247" s="96"/>
      <c r="AA247" s="47">
        <v>0</v>
      </c>
      <c r="AB247" s="47">
        <v>0</v>
      </c>
      <c r="AC247" s="47">
        <v>0</v>
      </c>
      <c r="AD247" s="47">
        <v>0</v>
      </c>
      <c r="AE247" s="47">
        <v>0</v>
      </c>
      <c r="AF247" s="47">
        <v>0</v>
      </c>
      <c r="AG247" s="47">
        <v>0</v>
      </c>
      <c r="AH247" s="47">
        <v>0</v>
      </c>
      <c r="AI247" s="47">
        <v>0</v>
      </c>
      <c r="AJ247" s="47">
        <v>0</v>
      </c>
      <c r="AK247" s="47">
        <v>0</v>
      </c>
      <c r="AL247" s="47">
        <v>0</v>
      </c>
      <c r="AM247" s="47">
        <v>0</v>
      </c>
      <c r="AN247" s="47">
        <v>0</v>
      </c>
      <c r="AO247" s="47">
        <v>0</v>
      </c>
      <c r="AP247" s="397"/>
      <c r="AQ247" s="96"/>
    </row>
    <row r="248" spans="1:43" ht="39.75" hidden="1" customHeight="1" x14ac:dyDescent="0.25">
      <c r="A248" s="1333"/>
      <c r="B248" s="1616"/>
      <c r="C248" s="1617"/>
      <c r="D248" s="1617"/>
      <c r="E248" s="1617"/>
      <c r="F248" s="1617"/>
      <c r="G248" s="1617"/>
      <c r="H248" s="1618"/>
      <c r="I248" s="23" t="s">
        <v>20</v>
      </c>
      <c r="J248" s="1189" t="e">
        <f>K248+L248</f>
        <v>#REF!</v>
      </c>
      <c r="K248" s="1189" t="e">
        <f>#REF!+K291+K303+K304</f>
        <v>#REF!</v>
      </c>
      <c r="L248" s="47">
        <f t="shared" ref="L248:AM248" si="149">L251+L254++L259+L263+L269+L271+L275+L280+L287+L291</f>
        <v>333768.50999999995</v>
      </c>
      <c r="M248" s="47">
        <f t="shared" si="149"/>
        <v>31936.59</v>
      </c>
      <c r="N248" s="47">
        <f t="shared" si="149"/>
        <v>80827.610000000015</v>
      </c>
      <c r="O248" s="47">
        <f t="shared" si="149"/>
        <v>46251.09</v>
      </c>
      <c r="P248" s="47">
        <f t="shared" si="149"/>
        <v>53453.89</v>
      </c>
      <c r="Q248" s="47">
        <f t="shared" si="149"/>
        <v>1951.4518599999999</v>
      </c>
      <c r="R248" s="47">
        <f t="shared" si="149"/>
        <v>784.17799999999988</v>
      </c>
      <c r="S248" s="47">
        <f t="shared" si="149"/>
        <v>784.17799999999988</v>
      </c>
      <c r="T248" s="47">
        <f t="shared" si="149"/>
        <v>3249.636</v>
      </c>
      <c r="U248" s="47">
        <f t="shared" si="149"/>
        <v>3253.0360000000001</v>
      </c>
      <c r="V248" s="47">
        <f t="shared" si="149"/>
        <v>157.59</v>
      </c>
      <c r="W248" s="47">
        <f t="shared" si="149"/>
        <v>1096.5039999999999</v>
      </c>
      <c r="X248" s="47">
        <f t="shared" si="149"/>
        <v>0</v>
      </c>
      <c r="Y248" s="47">
        <f t="shared" si="149"/>
        <v>0</v>
      </c>
      <c r="Z248" s="96"/>
      <c r="AA248" s="47">
        <f t="shared" si="149"/>
        <v>2003.1920299999999</v>
      </c>
      <c r="AB248" s="47">
        <f t="shared" si="149"/>
        <v>0</v>
      </c>
      <c r="AC248" s="47">
        <f t="shared" si="149"/>
        <v>2488.15</v>
      </c>
      <c r="AD248" s="47">
        <f t="shared" si="149"/>
        <v>64858.980889999999</v>
      </c>
      <c r="AE248" s="47">
        <f t="shared" si="149"/>
        <v>0</v>
      </c>
      <c r="AF248" s="47">
        <f t="shared" si="149"/>
        <v>0</v>
      </c>
      <c r="AG248" s="47">
        <f t="shared" si="149"/>
        <v>0</v>
      </c>
      <c r="AH248" s="47">
        <f t="shared" si="149"/>
        <v>0</v>
      </c>
      <c r="AI248" s="47">
        <f t="shared" si="149"/>
        <v>0</v>
      </c>
      <c r="AJ248" s="47">
        <f t="shared" si="149"/>
        <v>0</v>
      </c>
      <c r="AK248" s="47">
        <f t="shared" si="149"/>
        <v>44126.939999999995</v>
      </c>
      <c r="AL248" s="47">
        <f t="shared" si="149"/>
        <v>44126.939999999995</v>
      </c>
      <c r="AM248" s="47">
        <f t="shared" si="149"/>
        <v>0</v>
      </c>
      <c r="AN248" s="47">
        <f>AN251+AN254++AN259+AN262+AN269+AN271+AN275+AN280+AN287+AN290</f>
        <v>0</v>
      </c>
      <c r="AO248" s="47">
        <f>AO251+AO254++AO259+AO262+AO269+AO271+AO275+AO280+AO287+AO290</f>
        <v>0</v>
      </c>
      <c r="AP248" s="397"/>
      <c r="AQ248" s="96"/>
    </row>
    <row r="249" spans="1:43" ht="26.25" hidden="1" customHeight="1" x14ac:dyDescent="0.25">
      <c r="A249" s="1333"/>
      <c r="B249" s="1616"/>
      <c r="C249" s="1617"/>
      <c r="D249" s="1617"/>
      <c r="E249" s="1617"/>
      <c r="F249" s="1617"/>
      <c r="G249" s="1617"/>
      <c r="H249" s="1618"/>
      <c r="I249" s="23" t="s">
        <v>10</v>
      </c>
      <c r="J249" s="1189">
        <v>0</v>
      </c>
      <c r="K249" s="1189">
        <v>0</v>
      </c>
      <c r="L249" s="47">
        <f t="shared" ref="L249:AM249" si="150">L266+L267+L295</f>
        <v>297742.64</v>
      </c>
      <c r="M249" s="47">
        <f t="shared" si="150"/>
        <v>295242.64</v>
      </c>
      <c r="N249" s="47">
        <f t="shared" si="150"/>
        <v>297742.64</v>
      </c>
      <c r="O249" s="47">
        <f t="shared" si="150"/>
        <v>297742.64</v>
      </c>
      <c r="P249" s="47">
        <f t="shared" si="150"/>
        <v>0</v>
      </c>
      <c r="Q249" s="47">
        <f t="shared" si="150"/>
        <v>99408.513550000003</v>
      </c>
      <c r="R249" s="47">
        <f t="shared" si="150"/>
        <v>21705.95</v>
      </c>
      <c r="S249" s="47">
        <f t="shared" si="150"/>
        <v>21705.95</v>
      </c>
      <c r="T249" s="47">
        <f t="shared" si="150"/>
        <v>21705.95</v>
      </c>
      <c r="U249" s="47">
        <f t="shared" si="150"/>
        <v>21705.95</v>
      </c>
      <c r="V249" s="47">
        <f t="shared" si="150"/>
        <v>50383.255000000005</v>
      </c>
      <c r="W249" s="47">
        <f t="shared" si="150"/>
        <v>50383.255000000005</v>
      </c>
      <c r="X249" s="47">
        <f t="shared" si="150"/>
        <v>21705.95</v>
      </c>
      <c r="Y249" s="47">
        <f t="shared" si="150"/>
        <v>21705.95</v>
      </c>
      <c r="Z249" s="96"/>
      <c r="AA249" s="47">
        <f t="shared" si="150"/>
        <v>114181.19725</v>
      </c>
      <c r="AB249" s="47">
        <f t="shared" si="150"/>
        <v>17522.268</v>
      </c>
      <c r="AC249" s="47">
        <f t="shared" si="150"/>
        <v>32099.796000000002</v>
      </c>
      <c r="AD249" s="47">
        <f t="shared" si="150"/>
        <v>83597.849889999998</v>
      </c>
      <c r="AE249" s="47">
        <f t="shared" si="150"/>
        <v>0</v>
      </c>
      <c r="AF249" s="47">
        <f t="shared" si="150"/>
        <v>0</v>
      </c>
      <c r="AG249" s="47">
        <f t="shared" si="150"/>
        <v>0</v>
      </c>
      <c r="AH249" s="47">
        <f t="shared" si="150"/>
        <v>0</v>
      </c>
      <c r="AI249" s="47">
        <f t="shared" si="150"/>
        <v>0</v>
      </c>
      <c r="AJ249" s="47">
        <f t="shared" si="150"/>
        <v>0</v>
      </c>
      <c r="AK249" s="47">
        <f t="shared" si="150"/>
        <v>0</v>
      </c>
      <c r="AL249" s="47">
        <f t="shared" si="150"/>
        <v>0</v>
      </c>
      <c r="AM249" s="47">
        <f t="shared" si="150"/>
        <v>0</v>
      </c>
      <c r="AN249" s="47">
        <v>0</v>
      </c>
      <c r="AO249" s="47">
        <v>0</v>
      </c>
      <c r="AP249" s="397"/>
      <c r="AQ249" s="96"/>
    </row>
    <row r="250" spans="1:43" ht="25.5" hidden="1" x14ac:dyDescent="0.25">
      <c r="A250" s="1334"/>
      <c r="B250" s="1619"/>
      <c r="C250" s="1620"/>
      <c r="D250" s="1620"/>
      <c r="E250" s="1620"/>
      <c r="F250" s="1620"/>
      <c r="G250" s="1620"/>
      <c r="H250" s="1621"/>
      <c r="I250" s="23" t="s">
        <v>9</v>
      </c>
      <c r="J250" s="1189">
        <v>0</v>
      </c>
      <c r="K250" s="1189">
        <v>0</v>
      </c>
      <c r="L250" s="47">
        <f>M250+N250+O250</f>
        <v>0</v>
      </c>
      <c r="M250" s="47">
        <v>0</v>
      </c>
      <c r="N250" s="47">
        <v>0</v>
      </c>
      <c r="O250" s="47">
        <v>0</v>
      </c>
      <c r="P250" s="47">
        <v>0</v>
      </c>
      <c r="Q250" s="47">
        <v>0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47">
        <v>0</v>
      </c>
      <c r="X250" s="47">
        <v>0</v>
      </c>
      <c r="Y250" s="47">
        <v>0</v>
      </c>
      <c r="Z250" s="96"/>
      <c r="AA250" s="47">
        <v>0</v>
      </c>
      <c r="AB250" s="47">
        <v>0</v>
      </c>
      <c r="AC250" s="47">
        <v>0</v>
      </c>
      <c r="AD250" s="47">
        <v>0</v>
      </c>
      <c r="AE250" s="47">
        <v>0</v>
      </c>
      <c r="AF250" s="47">
        <v>0</v>
      </c>
      <c r="AG250" s="47">
        <v>0</v>
      </c>
      <c r="AH250" s="47">
        <v>0</v>
      </c>
      <c r="AI250" s="47">
        <v>0</v>
      </c>
      <c r="AJ250" s="47">
        <v>1</v>
      </c>
      <c r="AK250" s="47">
        <v>0</v>
      </c>
      <c r="AL250" s="47">
        <v>0</v>
      </c>
      <c r="AM250" s="47">
        <v>0</v>
      </c>
      <c r="AN250" s="47">
        <v>0</v>
      </c>
      <c r="AO250" s="47">
        <v>0</v>
      </c>
      <c r="AP250" s="397"/>
      <c r="AQ250" s="96"/>
    </row>
    <row r="251" spans="1:43" s="327" customFormat="1" ht="27.75" customHeight="1" x14ac:dyDescent="0.25">
      <c r="A251" s="1450" t="s">
        <v>184</v>
      </c>
      <c r="B251" s="780" t="s">
        <v>89</v>
      </c>
      <c r="C251" s="133"/>
      <c r="D251" s="133"/>
      <c r="E251" s="133"/>
      <c r="F251" s="133"/>
      <c r="G251" s="778"/>
      <c r="H251" s="778"/>
      <c r="I251" s="1463" t="s">
        <v>20</v>
      </c>
      <c r="J251" s="1180"/>
      <c r="K251" s="3"/>
      <c r="L251" s="3">
        <f>L252</f>
        <v>5195.03</v>
      </c>
      <c r="M251" s="3">
        <f>M252</f>
        <v>0</v>
      </c>
      <c r="N251" s="3">
        <f t="shared" ref="N251:AO252" si="151">N252</f>
        <v>5037.4399999999996</v>
      </c>
      <c r="O251" s="3">
        <f t="shared" si="151"/>
        <v>0</v>
      </c>
      <c r="P251" s="3">
        <v>416.03</v>
      </c>
      <c r="Q251" s="3">
        <v>0</v>
      </c>
      <c r="R251" s="3">
        <f t="shared" si="151"/>
        <v>0</v>
      </c>
      <c r="S251" s="3">
        <f t="shared" si="151"/>
        <v>0</v>
      </c>
      <c r="T251" s="3">
        <f t="shared" si="151"/>
        <v>0</v>
      </c>
      <c r="U251" s="3">
        <f t="shared" si="151"/>
        <v>0</v>
      </c>
      <c r="V251" s="3">
        <f t="shared" si="151"/>
        <v>157.59</v>
      </c>
      <c r="W251" s="3">
        <f t="shared" si="151"/>
        <v>1096.5039999999999</v>
      </c>
      <c r="X251" s="3">
        <f t="shared" si="151"/>
        <v>0</v>
      </c>
      <c r="Y251" s="3">
        <f t="shared" si="151"/>
        <v>0</v>
      </c>
      <c r="Z251" s="3">
        <v>0</v>
      </c>
      <c r="AA251" s="3">
        <v>0</v>
      </c>
      <c r="AB251" s="3">
        <f t="shared" si="151"/>
        <v>0</v>
      </c>
      <c r="AC251" s="3">
        <f t="shared" si="151"/>
        <v>0</v>
      </c>
      <c r="AD251" s="3">
        <f t="shared" si="151"/>
        <v>1096.5039999999999</v>
      </c>
      <c r="AE251" s="3">
        <f t="shared" si="151"/>
        <v>0</v>
      </c>
      <c r="AF251" s="3">
        <f t="shared" si="151"/>
        <v>0</v>
      </c>
      <c r="AG251" s="3">
        <f t="shared" si="151"/>
        <v>0</v>
      </c>
      <c r="AH251" s="3">
        <f t="shared" si="151"/>
        <v>0</v>
      </c>
      <c r="AI251" s="3">
        <f t="shared" si="151"/>
        <v>0</v>
      </c>
      <c r="AJ251" s="3">
        <f t="shared" si="151"/>
        <v>0</v>
      </c>
      <c r="AK251" s="3">
        <f t="shared" si="151"/>
        <v>0</v>
      </c>
      <c r="AL251" s="3">
        <f t="shared" si="151"/>
        <v>0</v>
      </c>
      <c r="AM251" s="3">
        <f t="shared" si="151"/>
        <v>0</v>
      </c>
      <c r="AN251" s="3">
        <f t="shared" si="151"/>
        <v>0</v>
      </c>
      <c r="AO251" s="3">
        <f t="shared" si="151"/>
        <v>0</v>
      </c>
      <c r="AP251" s="633"/>
      <c r="AQ251" s="3">
        <v>0</v>
      </c>
    </row>
    <row r="252" spans="1:43" ht="15.75" hidden="1" customHeight="1" x14ac:dyDescent="0.25">
      <c r="A252" s="1656"/>
      <c r="B252" s="47" t="s">
        <v>15</v>
      </c>
      <c r="C252" s="341"/>
      <c r="D252" s="341"/>
      <c r="E252" s="341"/>
      <c r="F252" s="341"/>
      <c r="G252" s="313"/>
      <c r="H252" s="1196"/>
      <c r="I252" s="1465"/>
      <c r="J252" s="1198"/>
      <c r="K252" s="4"/>
      <c r="L252" s="47">
        <v>5195.03</v>
      </c>
      <c r="M252" s="50">
        <v>0</v>
      </c>
      <c r="N252" s="50">
        <v>5037.4399999999996</v>
      </c>
      <c r="O252" s="50">
        <v>0</v>
      </c>
      <c r="P252" s="50">
        <v>157.59</v>
      </c>
      <c r="Q252" s="447">
        <f>Q253</f>
        <v>1096.5039999999999</v>
      </c>
      <c r="R252" s="447">
        <f t="shared" si="151"/>
        <v>0</v>
      </c>
      <c r="S252" s="447">
        <f t="shared" si="151"/>
        <v>0</v>
      </c>
      <c r="T252" s="447">
        <f t="shared" si="151"/>
        <v>0</v>
      </c>
      <c r="U252" s="447">
        <f t="shared" si="151"/>
        <v>0</v>
      </c>
      <c r="V252" s="447">
        <f t="shared" si="151"/>
        <v>157.59</v>
      </c>
      <c r="W252" s="447">
        <f t="shared" si="151"/>
        <v>1096.5039999999999</v>
      </c>
      <c r="X252" s="447">
        <f t="shared" si="151"/>
        <v>0</v>
      </c>
      <c r="Y252" s="447">
        <f t="shared" si="151"/>
        <v>0</v>
      </c>
      <c r="Z252" s="584"/>
      <c r="AA252" s="447">
        <f t="shared" si="151"/>
        <v>1096.5039999999999</v>
      </c>
      <c r="AB252" s="447">
        <f t="shared" si="151"/>
        <v>0</v>
      </c>
      <c r="AC252" s="447">
        <f t="shared" si="151"/>
        <v>0</v>
      </c>
      <c r="AD252" s="447">
        <f t="shared" si="151"/>
        <v>1096.5039999999999</v>
      </c>
      <c r="AE252" s="447">
        <f t="shared" si="151"/>
        <v>0</v>
      </c>
      <c r="AF252" s="447">
        <f t="shared" si="151"/>
        <v>0</v>
      </c>
      <c r="AG252" s="447">
        <f t="shared" si="151"/>
        <v>0</v>
      </c>
      <c r="AH252" s="447">
        <f t="shared" si="151"/>
        <v>0</v>
      </c>
      <c r="AI252" s="447">
        <f t="shared" si="151"/>
        <v>0</v>
      </c>
      <c r="AJ252" s="447">
        <v>0</v>
      </c>
      <c r="AK252" s="447">
        <v>0</v>
      </c>
      <c r="AL252" s="447">
        <v>0</v>
      </c>
      <c r="AM252" s="50">
        <v>0</v>
      </c>
      <c r="AN252" s="50">
        <v>0</v>
      </c>
      <c r="AO252" s="50">
        <v>0</v>
      </c>
      <c r="AP252" s="412"/>
      <c r="AQ252" s="584"/>
    </row>
    <row r="253" spans="1:43" s="266" customFormat="1" ht="15.75" hidden="1" customHeight="1" x14ac:dyDescent="0.25">
      <c r="A253" s="1657"/>
      <c r="B253" s="96" t="s">
        <v>323</v>
      </c>
      <c r="C253" s="453"/>
      <c r="D253" s="453"/>
      <c r="E253" s="453"/>
      <c r="F253" s="453"/>
      <c r="G253" s="363"/>
      <c r="H253" s="364"/>
      <c r="I253" s="370"/>
      <c r="J253" s="651"/>
      <c r="K253" s="268"/>
      <c r="L253" s="96"/>
      <c r="M253" s="263"/>
      <c r="N253" s="263"/>
      <c r="O253" s="263"/>
      <c r="P253" s="263"/>
      <c r="Q253" s="584">
        <f>W253</f>
        <v>1096.5039999999999</v>
      </c>
      <c r="R253" s="584"/>
      <c r="S253" s="584"/>
      <c r="T253" s="584"/>
      <c r="U253" s="584"/>
      <c r="V253" s="584">
        <v>157.59</v>
      </c>
      <c r="W253" s="584">
        <v>1096.5039999999999</v>
      </c>
      <c r="X253" s="584"/>
      <c r="Y253" s="584"/>
      <c r="Z253" s="584"/>
      <c r="AA253" s="584">
        <f>AD253</f>
        <v>1096.5039999999999</v>
      </c>
      <c r="AB253" s="584"/>
      <c r="AC253" s="584"/>
      <c r="AD253" s="584">
        <v>1096.5039999999999</v>
      </c>
      <c r="AE253" s="584"/>
      <c r="AF253" s="584"/>
      <c r="AG253" s="584"/>
      <c r="AH253" s="584"/>
      <c r="AI253" s="584"/>
      <c r="AJ253" s="584"/>
      <c r="AK253" s="584"/>
      <c r="AL253" s="584"/>
      <c r="AM253" s="263"/>
      <c r="AN253" s="263"/>
      <c r="AO253" s="263"/>
      <c r="AP253" s="413"/>
      <c r="AQ253" s="584"/>
    </row>
    <row r="254" spans="1:43" s="327" customFormat="1" ht="28.5" customHeight="1" x14ac:dyDescent="0.25">
      <c r="A254" s="1450" t="s">
        <v>185</v>
      </c>
      <c r="B254" s="780" t="s">
        <v>187</v>
      </c>
      <c r="C254" s="133"/>
      <c r="D254" s="133"/>
      <c r="E254" s="133"/>
      <c r="F254" s="133"/>
      <c r="G254" s="778"/>
      <c r="H254" s="778"/>
      <c r="I254" s="1463" t="s">
        <v>20</v>
      </c>
      <c r="J254" s="1180"/>
      <c r="K254" s="3"/>
      <c r="L254" s="3">
        <f>L255+L258</f>
        <v>134036.41</v>
      </c>
      <c r="M254" s="3">
        <f t="shared" ref="M254:AO254" si="152">M255+M258</f>
        <v>1825.11</v>
      </c>
      <c r="N254" s="3">
        <f t="shared" si="152"/>
        <v>57476.200000000004</v>
      </c>
      <c r="O254" s="3">
        <f t="shared" si="152"/>
        <v>0</v>
      </c>
      <c r="P254" s="3">
        <f t="shared" si="152"/>
        <v>8907.52</v>
      </c>
      <c r="Q254" s="3">
        <f t="shared" si="152"/>
        <v>0</v>
      </c>
      <c r="R254" s="3">
        <f t="shared" si="152"/>
        <v>0</v>
      </c>
      <c r="S254" s="3">
        <f t="shared" si="152"/>
        <v>0</v>
      </c>
      <c r="T254" s="3">
        <f t="shared" si="152"/>
        <v>0</v>
      </c>
      <c r="U254" s="3">
        <f t="shared" si="152"/>
        <v>0</v>
      </c>
      <c r="V254" s="3">
        <f t="shared" si="152"/>
        <v>0</v>
      </c>
      <c r="W254" s="3">
        <f t="shared" si="152"/>
        <v>0</v>
      </c>
      <c r="X254" s="3">
        <f t="shared" si="152"/>
        <v>0</v>
      </c>
      <c r="Y254" s="3">
        <f t="shared" si="152"/>
        <v>0</v>
      </c>
      <c r="Z254" s="95">
        <v>0</v>
      </c>
      <c r="AA254" s="3">
        <f>AA255+AA258</f>
        <v>0</v>
      </c>
      <c r="AB254" s="3">
        <f t="shared" si="152"/>
        <v>0</v>
      </c>
      <c r="AC254" s="3">
        <f t="shared" si="152"/>
        <v>0</v>
      </c>
      <c r="AD254" s="3">
        <f t="shared" si="152"/>
        <v>0</v>
      </c>
      <c r="AE254" s="3">
        <f t="shared" si="152"/>
        <v>0</v>
      </c>
      <c r="AF254" s="3">
        <f t="shared" si="152"/>
        <v>0</v>
      </c>
      <c r="AG254" s="3">
        <f t="shared" si="152"/>
        <v>0</v>
      </c>
      <c r="AH254" s="3">
        <f t="shared" si="152"/>
        <v>0</v>
      </c>
      <c r="AI254" s="3">
        <f t="shared" si="152"/>
        <v>0</v>
      </c>
      <c r="AJ254" s="3">
        <f t="shared" si="152"/>
        <v>0</v>
      </c>
      <c r="AK254" s="3">
        <f t="shared" si="152"/>
        <v>0</v>
      </c>
      <c r="AL254" s="3">
        <f t="shared" si="152"/>
        <v>0</v>
      </c>
      <c r="AM254" s="3">
        <f t="shared" si="152"/>
        <v>0</v>
      </c>
      <c r="AN254" s="3">
        <f t="shared" si="152"/>
        <v>0</v>
      </c>
      <c r="AO254" s="3">
        <f t="shared" si="152"/>
        <v>0</v>
      </c>
      <c r="AP254" s="633" t="s">
        <v>256</v>
      </c>
      <c r="AQ254" s="95">
        <v>0</v>
      </c>
    </row>
    <row r="255" spans="1:43" ht="15.75" customHeight="1" x14ac:dyDescent="0.25">
      <c r="A255" s="1656"/>
      <c r="B255" s="47" t="s">
        <v>15</v>
      </c>
      <c r="C255" s="341"/>
      <c r="D255" s="341"/>
      <c r="E255" s="341"/>
      <c r="F255" s="341"/>
      <c r="G255" s="313"/>
      <c r="H255" s="1196"/>
      <c r="I255" s="1464"/>
      <c r="J255" s="1198"/>
      <c r="K255" s="4"/>
      <c r="L255" s="47">
        <v>2401.5100000000002</v>
      </c>
      <c r="M255" s="47">
        <v>1825.11</v>
      </c>
      <c r="N255" s="47">
        <v>576.4</v>
      </c>
      <c r="O255" s="47">
        <v>0</v>
      </c>
      <c r="P255" s="47">
        <v>0</v>
      </c>
      <c r="Q255" s="47">
        <f>SUM(Q256:Q257)</f>
        <v>0</v>
      </c>
      <c r="R255" s="50">
        <f>SUM(R256:R257)</f>
        <v>0</v>
      </c>
      <c r="S255" s="50">
        <f t="shared" ref="S255:Y255" si="153">SUM(S256:S257)</f>
        <v>0</v>
      </c>
      <c r="T255" s="50">
        <f t="shared" si="153"/>
        <v>0</v>
      </c>
      <c r="U255" s="50">
        <f t="shared" si="153"/>
        <v>0</v>
      </c>
      <c r="V255" s="50">
        <f t="shared" si="153"/>
        <v>0</v>
      </c>
      <c r="W255" s="50">
        <f t="shared" si="153"/>
        <v>0</v>
      </c>
      <c r="X255" s="447">
        <f t="shared" si="153"/>
        <v>0</v>
      </c>
      <c r="Y255" s="447">
        <f t="shared" si="153"/>
        <v>0</v>
      </c>
      <c r="Z255" s="584"/>
      <c r="AA255" s="447">
        <f>AA256+AA257</f>
        <v>0</v>
      </c>
      <c r="AB255" s="50">
        <f>AB256+AB257</f>
        <v>0</v>
      </c>
      <c r="AC255" s="50">
        <f>AC256+AC257</f>
        <v>0</v>
      </c>
      <c r="AD255" s="50">
        <f>AD256+AD257</f>
        <v>0</v>
      </c>
      <c r="AE255" s="50">
        <f>AE256</f>
        <v>0</v>
      </c>
      <c r="AF255" s="50">
        <v>0</v>
      </c>
      <c r="AG255" s="50">
        <v>0</v>
      </c>
      <c r="AH255" s="50">
        <v>0</v>
      </c>
      <c r="AI255" s="50"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50">
        <v>0</v>
      </c>
      <c r="AP255" s="412"/>
      <c r="AQ255" s="584"/>
    </row>
    <row r="256" spans="1:43" s="266" customFormat="1" ht="15.75" hidden="1" customHeight="1" x14ac:dyDescent="0.25">
      <c r="A256" s="1656"/>
      <c r="B256" s="452" t="s">
        <v>267</v>
      </c>
      <c r="C256" s="453"/>
      <c r="D256" s="453"/>
      <c r="E256" s="453"/>
      <c r="F256" s="453"/>
      <c r="G256" s="453"/>
      <c r="H256" s="454"/>
      <c r="I256" s="1464"/>
      <c r="J256" s="651"/>
      <c r="K256" s="268"/>
      <c r="L256" s="96"/>
      <c r="M256" s="268"/>
      <c r="N256" s="268"/>
      <c r="O256" s="268"/>
      <c r="P256" s="268">
        <f>Q256</f>
        <v>0</v>
      </c>
      <c r="Q256" s="455">
        <f>S256+U256+W256</f>
        <v>0</v>
      </c>
      <c r="R256" s="455"/>
      <c r="S256" s="455"/>
      <c r="T256" s="455">
        <v>0</v>
      </c>
      <c r="U256" s="455">
        <v>0</v>
      </c>
      <c r="V256" s="455"/>
      <c r="W256" s="455"/>
      <c r="X256" s="455"/>
      <c r="Y256" s="455"/>
      <c r="Z256" s="455"/>
      <c r="AA256" s="455">
        <f>SUM(AB256:AE256)</f>
        <v>0</v>
      </c>
      <c r="AB256" s="455"/>
      <c r="AC256" s="455">
        <v>0</v>
      </c>
      <c r="AD256" s="455">
        <v>0</v>
      </c>
      <c r="AE256" s="455"/>
      <c r="AF256" s="455"/>
      <c r="AG256" s="455"/>
      <c r="AH256" s="455"/>
      <c r="AI256" s="455"/>
      <c r="AJ256" s="455"/>
      <c r="AK256" s="455"/>
      <c r="AL256" s="455"/>
      <c r="AM256" s="455"/>
      <c r="AN256" s="455"/>
      <c r="AO256" s="455"/>
      <c r="AP256" s="456"/>
      <c r="AQ256" s="455"/>
    </row>
    <row r="257" spans="1:43" s="266" customFormat="1" ht="15.75" hidden="1" customHeight="1" x14ac:dyDescent="0.25">
      <c r="A257" s="1656"/>
      <c r="B257" s="452" t="s">
        <v>271</v>
      </c>
      <c r="C257" s="453"/>
      <c r="D257" s="453"/>
      <c r="E257" s="453"/>
      <c r="F257" s="453"/>
      <c r="G257" s="453"/>
      <c r="H257" s="454"/>
      <c r="I257" s="1464"/>
      <c r="J257" s="651"/>
      <c r="K257" s="268"/>
      <c r="L257" s="96"/>
      <c r="M257" s="268"/>
      <c r="N257" s="268"/>
      <c r="O257" s="268"/>
      <c r="P257" s="268"/>
      <c r="Q257" s="489">
        <f>S257+U257+W257+Y257</f>
        <v>0</v>
      </c>
      <c r="R257" s="489"/>
      <c r="S257" s="489"/>
      <c r="T257" s="489"/>
      <c r="U257" s="489"/>
      <c r="V257" s="489">
        <f>W257</f>
        <v>0</v>
      </c>
      <c r="W257" s="489">
        <v>0</v>
      </c>
      <c r="X257" s="489">
        <f>Y257</f>
        <v>0</v>
      </c>
      <c r="Y257" s="489">
        <v>0</v>
      </c>
      <c r="Z257" s="489"/>
      <c r="AA257" s="489">
        <f>SUM(AB257:AE257)</f>
        <v>0</v>
      </c>
      <c r="AB257" s="489"/>
      <c r="AC257" s="489"/>
      <c r="AD257" s="489">
        <v>0</v>
      </c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6"/>
      <c r="AQ257" s="489"/>
    </row>
    <row r="258" spans="1:43" ht="15.75" customHeight="1" x14ac:dyDescent="0.25">
      <c r="A258" s="1657"/>
      <c r="B258" s="340" t="s">
        <v>32</v>
      </c>
      <c r="C258" s="341"/>
      <c r="D258" s="341"/>
      <c r="E258" s="341"/>
      <c r="F258" s="341"/>
      <c r="G258" s="341"/>
      <c r="H258" s="1197"/>
      <c r="I258" s="1662"/>
      <c r="J258" s="1198"/>
      <c r="K258" s="4"/>
      <c r="L258" s="47">
        <v>131634.9</v>
      </c>
      <c r="M258" s="343">
        <v>0</v>
      </c>
      <c r="N258" s="47">
        <v>56899.8</v>
      </c>
      <c r="O258" s="343">
        <v>0</v>
      </c>
      <c r="P258" s="47">
        <v>8907.52</v>
      </c>
      <c r="Q258" s="47">
        <v>0</v>
      </c>
      <c r="R258" s="343">
        <v>0</v>
      </c>
      <c r="S258" s="343">
        <v>0</v>
      </c>
      <c r="T258" s="343">
        <v>0</v>
      </c>
      <c r="U258" s="343">
        <v>0</v>
      </c>
      <c r="V258" s="343">
        <v>0</v>
      </c>
      <c r="W258" s="343">
        <v>0</v>
      </c>
      <c r="X258" s="343">
        <v>0</v>
      </c>
      <c r="Y258" s="343">
        <v>0</v>
      </c>
      <c r="Z258" s="455"/>
      <c r="AA258" s="343">
        <v>0</v>
      </c>
      <c r="AB258" s="343">
        <v>0</v>
      </c>
      <c r="AC258" s="343">
        <v>0</v>
      </c>
      <c r="AD258" s="343">
        <v>0</v>
      </c>
      <c r="AE258" s="343">
        <v>0</v>
      </c>
      <c r="AF258" s="343">
        <v>0</v>
      </c>
      <c r="AG258" s="343">
        <v>0</v>
      </c>
      <c r="AH258" s="343">
        <v>0</v>
      </c>
      <c r="AI258" s="343">
        <v>0</v>
      </c>
      <c r="AJ258" s="343">
        <v>0</v>
      </c>
      <c r="AK258" s="343">
        <v>0</v>
      </c>
      <c r="AL258" s="343">
        <v>0</v>
      </c>
      <c r="AM258" s="343">
        <v>0</v>
      </c>
      <c r="AN258" s="343">
        <v>0</v>
      </c>
      <c r="AO258" s="343">
        <v>0</v>
      </c>
      <c r="AP258" s="415"/>
      <c r="AQ258" s="455"/>
    </row>
    <row r="259" spans="1:43" s="327" customFormat="1" ht="27.75" customHeight="1" x14ac:dyDescent="0.25">
      <c r="A259" s="1473" t="s">
        <v>186</v>
      </c>
      <c r="B259" s="780" t="s">
        <v>210</v>
      </c>
      <c r="C259" s="1173"/>
      <c r="D259" s="1173"/>
      <c r="E259" s="1173">
        <v>300</v>
      </c>
      <c r="F259" s="1173"/>
      <c r="G259" s="1173">
        <v>2019</v>
      </c>
      <c r="H259" s="1173">
        <v>2019</v>
      </c>
      <c r="I259" s="1493" t="s">
        <v>20</v>
      </c>
      <c r="J259" s="52">
        <f>K259+L259</f>
        <v>27019.38</v>
      </c>
      <c r="K259" s="3">
        <v>0</v>
      </c>
      <c r="L259" s="3">
        <f>L260</f>
        <v>27019.38</v>
      </c>
      <c r="M259" s="3">
        <f>M260</f>
        <v>27019.38</v>
      </c>
      <c r="N259" s="318">
        <v>0</v>
      </c>
      <c r="O259" s="318">
        <v>0</v>
      </c>
      <c r="P259" s="318">
        <f>P260</f>
        <v>0</v>
      </c>
      <c r="Q259" s="318">
        <f>Q260</f>
        <v>0</v>
      </c>
      <c r="R259" s="318">
        <f t="shared" ref="R259:AO260" si="154">R260</f>
        <v>0</v>
      </c>
      <c r="S259" s="318">
        <f t="shared" si="154"/>
        <v>0</v>
      </c>
      <c r="T259" s="318">
        <f t="shared" si="154"/>
        <v>0</v>
      </c>
      <c r="U259" s="318">
        <f t="shared" si="154"/>
        <v>0</v>
      </c>
      <c r="V259" s="318">
        <f t="shared" si="154"/>
        <v>0</v>
      </c>
      <c r="W259" s="318">
        <f t="shared" si="154"/>
        <v>0</v>
      </c>
      <c r="X259" s="318">
        <f t="shared" si="154"/>
        <v>0</v>
      </c>
      <c r="Y259" s="318">
        <f t="shared" si="154"/>
        <v>0</v>
      </c>
      <c r="Z259" s="372">
        <v>0</v>
      </c>
      <c r="AA259" s="318">
        <f t="shared" si="154"/>
        <v>0</v>
      </c>
      <c r="AB259" s="318">
        <f t="shared" si="154"/>
        <v>0</v>
      </c>
      <c r="AC259" s="318">
        <f t="shared" si="154"/>
        <v>0</v>
      </c>
      <c r="AD259" s="318">
        <f t="shared" si="154"/>
        <v>0</v>
      </c>
      <c r="AE259" s="318">
        <f t="shared" si="154"/>
        <v>0</v>
      </c>
      <c r="AF259" s="318">
        <f t="shared" si="154"/>
        <v>0</v>
      </c>
      <c r="AG259" s="318">
        <f t="shared" si="154"/>
        <v>0</v>
      </c>
      <c r="AH259" s="318">
        <f t="shared" si="154"/>
        <v>0</v>
      </c>
      <c r="AI259" s="318">
        <f t="shared" si="154"/>
        <v>0</v>
      </c>
      <c r="AJ259" s="318">
        <f t="shared" si="154"/>
        <v>0</v>
      </c>
      <c r="AK259" s="318">
        <f t="shared" si="154"/>
        <v>0</v>
      </c>
      <c r="AL259" s="318">
        <f t="shared" si="154"/>
        <v>0</v>
      </c>
      <c r="AM259" s="318">
        <f t="shared" si="154"/>
        <v>0</v>
      </c>
      <c r="AN259" s="318">
        <f t="shared" si="154"/>
        <v>0</v>
      </c>
      <c r="AO259" s="318">
        <f t="shared" si="154"/>
        <v>0</v>
      </c>
      <c r="AP259" s="783" t="s">
        <v>273</v>
      </c>
      <c r="AQ259" s="372">
        <v>0</v>
      </c>
    </row>
    <row r="260" spans="1:43" ht="19.5" hidden="1" customHeight="1" x14ac:dyDescent="0.25">
      <c r="A260" s="1663"/>
      <c r="B260" s="1" t="s">
        <v>211</v>
      </c>
      <c r="C260" s="1179"/>
      <c r="D260" s="1179"/>
      <c r="E260" s="1179"/>
      <c r="F260" s="1179"/>
      <c r="G260" s="1179"/>
      <c r="H260" s="1179"/>
      <c r="I260" s="1494"/>
      <c r="J260" s="6"/>
      <c r="K260" s="47"/>
      <c r="L260" s="47">
        <v>27019.38</v>
      </c>
      <c r="M260" s="47">
        <v>27019.38</v>
      </c>
      <c r="N260" s="47">
        <v>0</v>
      </c>
      <c r="O260" s="47">
        <v>0</v>
      </c>
      <c r="P260" s="4">
        <v>0</v>
      </c>
      <c r="Q260" s="4">
        <f>Q261</f>
        <v>0</v>
      </c>
      <c r="R260" s="4">
        <f t="shared" si="154"/>
        <v>0</v>
      </c>
      <c r="S260" s="4">
        <f t="shared" si="154"/>
        <v>0</v>
      </c>
      <c r="T260" s="4">
        <f t="shared" si="154"/>
        <v>0</v>
      </c>
      <c r="U260" s="4">
        <f t="shared" si="154"/>
        <v>0</v>
      </c>
      <c r="V260" s="4">
        <f t="shared" si="154"/>
        <v>0</v>
      </c>
      <c r="W260" s="4">
        <f t="shared" si="154"/>
        <v>0</v>
      </c>
      <c r="X260" s="4">
        <v>0</v>
      </c>
      <c r="Y260" s="4">
        <f t="shared" si="154"/>
        <v>0</v>
      </c>
      <c r="Z260" s="268"/>
      <c r="AA260" s="4">
        <f t="shared" si="154"/>
        <v>0</v>
      </c>
      <c r="AB260" s="4">
        <f t="shared" si="154"/>
        <v>0</v>
      </c>
      <c r="AC260" s="4">
        <f t="shared" si="154"/>
        <v>0</v>
      </c>
      <c r="AD260" s="4">
        <f t="shared" si="154"/>
        <v>0</v>
      </c>
      <c r="AE260" s="4">
        <f t="shared" si="154"/>
        <v>0</v>
      </c>
      <c r="AF260" s="4">
        <f>AF261</f>
        <v>0</v>
      </c>
      <c r="AG260" s="4">
        <f t="shared" si="154"/>
        <v>0</v>
      </c>
      <c r="AH260" s="4">
        <f t="shared" si="154"/>
        <v>0</v>
      </c>
      <c r="AI260" s="4">
        <f t="shared" si="154"/>
        <v>0</v>
      </c>
      <c r="AJ260" s="4">
        <f t="shared" si="154"/>
        <v>0</v>
      </c>
      <c r="AK260" s="4">
        <f t="shared" si="154"/>
        <v>0</v>
      </c>
      <c r="AL260" s="4">
        <f t="shared" si="154"/>
        <v>0</v>
      </c>
      <c r="AM260" s="4">
        <f t="shared" si="154"/>
        <v>0</v>
      </c>
      <c r="AN260" s="4">
        <f t="shared" si="154"/>
        <v>0</v>
      </c>
      <c r="AO260" s="4">
        <f t="shared" si="154"/>
        <v>0</v>
      </c>
      <c r="AP260" s="417"/>
      <c r="AQ260" s="268"/>
    </row>
    <row r="261" spans="1:43" s="266" customFormat="1" ht="15.75" hidden="1" x14ac:dyDescent="0.25">
      <c r="A261" s="267"/>
      <c r="B261" s="102" t="s">
        <v>253</v>
      </c>
      <c r="C261" s="104"/>
      <c r="D261" s="104"/>
      <c r="E261" s="104"/>
      <c r="F261" s="104"/>
      <c r="G261" s="104"/>
      <c r="H261" s="104"/>
      <c r="I261" s="102"/>
      <c r="J261" s="106"/>
      <c r="K261" s="96"/>
      <c r="L261" s="96"/>
      <c r="M261" s="268"/>
      <c r="N261" s="268"/>
      <c r="O261" s="268"/>
      <c r="P261" s="268">
        <f>Q261</f>
        <v>0</v>
      </c>
      <c r="Q261" s="268">
        <f>S261+U261+W261</f>
        <v>0</v>
      </c>
      <c r="R261" s="268">
        <f>S261</f>
        <v>0</v>
      </c>
      <c r="S261" s="268">
        <v>0</v>
      </c>
      <c r="T261" s="268">
        <v>0</v>
      </c>
      <c r="U261" s="268">
        <v>0</v>
      </c>
      <c r="V261" s="268">
        <f>W261</f>
        <v>0</v>
      </c>
      <c r="W261" s="268">
        <v>0</v>
      </c>
      <c r="X261" s="268">
        <v>0</v>
      </c>
      <c r="Y261" s="268">
        <v>0</v>
      </c>
      <c r="Z261" s="268"/>
      <c r="AA261" s="268">
        <f>SUM(AB261:AC261)</f>
        <v>0</v>
      </c>
      <c r="AB261" s="268">
        <v>0</v>
      </c>
      <c r="AC261" s="268">
        <v>0</v>
      </c>
      <c r="AD261" s="268">
        <v>0</v>
      </c>
      <c r="AE261" s="268"/>
      <c r="AF261" s="268">
        <f>SUM(AG261:AI261)</f>
        <v>0</v>
      </c>
      <c r="AG261" s="268"/>
      <c r="AH261" s="268">
        <v>0</v>
      </c>
      <c r="AI261" s="268">
        <v>0</v>
      </c>
      <c r="AJ261" s="268"/>
      <c r="AK261" s="96"/>
      <c r="AL261" s="96"/>
      <c r="AM261" s="96"/>
      <c r="AN261" s="268"/>
      <c r="AO261" s="268"/>
      <c r="AP261" s="418"/>
      <c r="AQ261" s="268"/>
    </row>
    <row r="262" spans="1:43" s="327" customFormat="1" ht="40.5" customHeight="1" x14ac:dyDescent="0.25">
      <c r="A262" s="832" t="s">
        <v>188</v>
      </c>
      <c r="B262" s="780" t="s">
        <v>466</v>
      </c>
      <c r="C262" s="1173">
        <v>63</v>
      </c>
      <c r="D262" s="1173">
        <v>250</v>
      </c>
      <c r="E262" s="1173">
        <v>250</v>
      </c>
      <c r="F262" s="1173"/>
      <c r="G262" s="1173">
        <v>2019</v>
      </c>
      <c r="H262" s="1173">
        <v>2019</v>
      </c>
      <c r="I262" s="780"/>
      <c r="J262" s="52">
        <f>K262+L262</f>
        <v>36691.870000000003</v>
      </c>
      <c r="K262" s="3">
        <v>0</v>
      </c>
      <c r="L262" s="3">
        <f>L263+L266+L267</f>
        <v>36691.870000000003</v>
      </c>
      <c r="M262" s="3">
        <f>M263+M266+M267</f>
        <v>31392.57</v>
      </c>
      <c r="N262" s="3">
        <f>N263+N266+N267</f>
        <v>33892.57</v>
      </c>
      <c r="O262" s="3">
        <f>O263+O266+O267</f>
        <v>33892.57</v>
      </c>
      <c r="P262" s="3">
        <f>P263+P266+P267</f>
        <v>0</v>
      </c>
      <c r="Q262" s="3">
        <f>Q263+Q267</f>
        <v>0</v>
      </c>
      <c r="R262" s="3">
        <f t="shared" ref="R262:AI262" si="155">R263+R267</f>
        <v>138.15199999999999</v>
      </c>
      <c r="S262" s="3">
        <f t="shared" si="155"/>
        <v>138.15199999999999</v>
      </c>
      <c r="T262" s="3">
        <f t="shared" si="155"/>
        <v>2350</v>
      </c>
      <c r="U262" s="3">
        <f t="shared" si="155"/>
        <v>2350</v>
      </c>
      <c r="V262" s="3">
        <f t="shared" si="155"/>
        <v>28677.305</v>
      </c>
      <c r="W262" s="3">
        <f t="shared" si="155"/>
        <v>28677.305</v>
      </c>
      <c r="X262" s="3">
        <f t="shared" si="155"/>
        <v>0</v>
      </c>
      <c r="Y262" s="3">
        <f t="shared" si="155"/>
        <v>0</v>
      </c>
      <c r="Z262" s="3">
        <f t="shared" si="155"/>
        <v>0</v>
      </c>
      <c r="AA262" s="3">
        <f t="shared" si="155"/>
        <v>0</v>
      </c>
      <c r="AB262" s="3">
        <f t="shared" si="155"/>
        <v>0</v>
      </c>
      <c r="AC262" s="3">
        <f t="shared" si="155"/>
        <v>17468.748</v>
      </c>
      <c r="AD262" s="3">
        <f t="shared" si="155"/>
        <v>19862.373</v>
      </c>
      <c r="AE262" s="3">
        <f t="shared" si="155"/>
        <v>0</v>
      </c>
      <c r="AF262" s="3">
        <f t="shared" si="155"/>
        <v>0</v>
      </c>
      <c r="AG262" s="3">
        <f t="shared" si="155"/>
        <v>0</v>
      </c>
      <c r="AH262" s="3">
        <f t="shared" si="155"/>
        <v>0</v>
      </c>
      <c r="AI262" s="3">
        <f t="shared" si="155"/>
        <v>0</v>
      </c>
      <c r="AJ262" s="3">
        <v>0</v>
      </c>
      <c r="AK262" s="3">
        <f>P262-Q262</f>
        <v>0</v>
      </c>
      <c r="AL262" s="3">
        <f>AK262</f>
        <v>0</v>
      </c>
      <c r="AM262" s="318" t="e">
        <f>ROUND((Q262*100%/P262*100),2)</f>
        <v>#DIV/0!</v>
      </c>
      <c r="AN262" s="3">
        <v>0</v>
      </c>
      <c r="AO262" s="3">
        <v>0</v>
      </c>
      <c r="AP262" s="633"/>
      <c r="AQ262" s="95">
        <f>76.182+4641.965+15.332</f>
        <v>4733.4790000000003</v>
      </c>
    </row>
    <row r="263" spans="1:43" ht="15" customHeight="1" x14ac:dyDescent="0.25">
      <c r="A263" s="1177"/>
      <c r="B263" s="47" t="s">
        <v>15</v>
      </c>
      <c r="C263" s="1179"/>
      <c r="D263" s="1179"/>
      <c r="E263" s="1179"/>
      <c r="F263" s="1179"/>
      <c r="G263" s="1179"/>
      <c r="H263" s="1179"/>
      <c r="I263" s="481" t="s">
        <v>20</v>
      </c>
      <c r="J263" s="462"/>
      <c r="K263" s="47"/>
      <c r="L263" s="47">
        <v>2799.3</v>
      </c>
      <c r="M263" s="4"/>
      <c r="N263" s="4">
        <v>0</v>
      </c>
      <c r="O263" s="4"/>
      <c r="P263" s="4">
        <v>0</v>
      </c>
      <c r="Q263" s="4">
        <v>0</v>
      </c>
      <c r="R263" s="4">
        <f t="shared" ref="R263:AE263" si="156">SUM(R264:R265)</f>
        <v>138.15199999999999</v>
      </c>
      <c r="S263" s="4">
        <f t="shared" si="156"/>
        <v>138.15199999999999</v>
      </c>
      <c r="T263" s="4">
        <f t="shared" si="156"/>
        <v>2350</v>
      </c>
      <c r="U263" s="4">
        <f t="shared" si="156"/>
        <v>2350</v>
      </c>
      <c r="V263" s="4">
        <f t="shared" si="156"/>
        <v>0</v>
      </c>
      <c r="W263" s="4">
        <f t="shared" si="156"/>
        <v>0</v>
      </c>
      <c r="X263" s="4">
        <f t="shared" si="156"/>
        <v>0</v>
      </c>
      <c r="Y263" s="4">
        <f t="shared" si="156"/>
        <v>0</v>
      </c>
      <c r="Z263" s="268"/>
      <c r="AA263" s="4">
        <v>0</v>
      </c>
      <c r="AB263" s="4">
        <f t="shared" si="156"/>
        <v>0</v>
      </c>
      <c r="AC263" s="4">
        <f t="shared" si="156"/>
        <v>2488.15</v>
      </c>
      <c r="AD263" s="4">
        <f t="shared" si="156"/>
        <v>0</v>
      </c>
      <c r="AE263" s="4">
        <f t="shared" si="156"/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1185"/>
      <c r="AQ263" s="268"/>
    </row>
    <row r="264" spans="1:43" s="266" customFormat="1" ht="15.75" hidden="1" x14ac:dyDescent="0.25">
      <c r="A264" s="267"/>
      <c r="B264" s="102" t="s">
        <v>303</v>
      </c>
      <c r="C264" s="104"/>
      <c r="D264" s="104"/>
      <c r="E264" s="104"/>
      <c r="F264" s="104"/>
      <c r="G264" s="104"/>
      <c r="H264" s="104"/>
      <c r="I264" s="102"/>
      <c r="J264" s="106"/>
      <c r="K264" s="96"/>
      <c r="L264" s="96"/>
      <c r="M264" s="268"/>
      <c r="N264" s="268"/>
      <c r="O264" s="268"/>
      <c r="P264" s="268">
        <f>R264+T264</f>
        <v>138.15199999999999</v>
      </c>
      <c r="Q264" s="268">
        <f>S264</f>
        <v>138.15199999999999</v>
      </c>
      <c r="R264" s="268">
        <f>S264</f>
        <v>138.15199999999999</v>
      </c>
      <c r="S264" s="268">
        <v>138.15199999999999</v>
      </c>
      <c r="T264" s="268">
        <f>U264</f>
        <v>0</v>
      </c>
      <c r="U264" s="268">
        <v>0</v>
      </c>
      <c r="V264" s="268"/>
      <c r="W264" s="268"/>
      <c r="X264" s="268"/>
      <c r="Y264" s="268">
        <v>0</v>
      </c>
      <c r="Z264" s="268"/>
      <c r="AA264" s="268">
        <f>AC264</f>
        <v>138.15</v>
      </c>
      <c r="AB264" s="268">
        <v>0</v>
      </c>
      <c r="AC264" s="268">
        <v>138.15</v>
      </c>
      <c r="AD264" s="268"/>
      <c r="AE264" s="268">
        <v>0</v>
      </c>
      <c r="AF264" s="268"/>
      <c r="AG264" s="268"/>
      <c r="AH264" s="268"/>
      <c r="AI264" s="268"/>
      <c r="AJ264" s="268"/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418"/>
      <c r="AQ264" s="268"/>
    </row>
    <row r="265" spans="1:43" s="266" customFormat="1" ht="15.75" hidden="1" x14ac:dyDescent="0.25">
      <c r="A265" s="490"/>
      <c r="B265" s="102" t="s">
        <v>311</v>
      </c>
      <c r="C265" s="104"/>
      <c r="D265" s="104"/>
      <c r="E265" s="104"/>
      <c r="F265" s="104"/>
      <c r="G265" s="104"/>
      <c r="H265" s="104"/>
      <c r="I265" s="92"/>
      <c r="J265" s="442"/>
      <c r="K265" s="96"/>
      <c r="L265" s="96"/>
      <c r="M265" s="268"/>
      <c r="N265" s="268"/>
      <c r="O265" s="268"/>
      <c r="P265" s="268"/>
      <c r="Q265" s="268">
        <f>Y265+U265</f>
        <v>2350</v>
      </c>
      <c r="R265" s="268"/>
      <c r="S265" s="268"/>
      <c r="T265" s="268">
        <f>U265</f>
        <v>2350</v>
      </c>
      <c r="U265" s="268">
        <v>2350</v>
      </c>
      <c r="V265" s="268"/>
      <c r="W265" s="268"/>
      <c r="X265" s="268"/>
      <c r="Y265" s="268">
        <v>0</v>
      </c>
      <c r="Z265" s="268"/>
      <c r="AA265" s="268">
        <f>AI265+AE265</f>
        <v>0</v>
      </c>
      <c r="AB265" s="268"/>
      <c r="AC265" s="268">
        <v>2350</v>
      </c>
      <c r="AD265" s="268"/>
      <c r="AE265" s="268">
        <v>0</v>
      </c>
      <c r="AF265" s="268"/>
      <c r="AG265" s="268"/>
      <c r="AH265" s="268"/>
      <c r="AI265" s="268"/>
      <c r="AJ265" s="268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8"/>
      <c r="AQ265" s="268"/>
    </row>
    <row r="266" spans="1:43" ht="15.75" x14ac:dyDescent="0.25">
      <c r="A266" s="1177"/>
      <c r="B266" s="47" t="s">
        <v>15</v>
      </c>
      <c r="C266" s="1179"/>
      <c r="D266" s="1179"/>
      <c r="E266" s="1179"/>
      <c r="F266" s="1179"/>
      <c r="G266" s="1179"/>
      <c r="H266" s="1179"/>
      <c r="I266" s="1493" t="s">
        <v>10</v>
      </c>
      <c r="J266" s="462"/>
      <c r="K266" s="47"/>
      <c r="L266" s="47">
        <v>2500</v>
      </c>
      <c r="M266" s="4"/>
      <c r="N266" s="4">
        <v>2500</v>
      </c>
      <c r="O266" s="4">
        <v>2500</v>
      </c>
      <c r="P266" s="4">
        <v>0</v>
      </c>
      <c r="Q266" s="4">
        <v>0</v>
      </c>
      <c r="R266" s="4">
        <v>0</v>
      </c>
      <c r="S266" s="4">
        <v>0</v>
      </c>
      <c r="T266" s="4"/>
      <c r="U266" s="4"/>
      <c r="V266" s="4"/>
      <c r="W266" s="4"/>
      <c r="X266" s="4"/>
      <c r="Y266" s="4"/>
      <c r="Z266" s="268"/>
      <c r="AA266" s="4">
        <v>0</v>
      </c>
      <c r="AB266" s="4">
        <v>0</v>
      </c>
      <c r="AC266" s="4"/>
      <c r="AD266" s="4"/>
      <c r="AE266" s="4"/>
      <c r="AF266" s="4">
        <v>0</v>
      </c>
      <c r="AG266" s="4">
        <v>0</v>
      </c>
      <c r="AH266" s="4"/>
      <c r="AI266" s="4"/>
      <c r="AJ266" s="4"/>
      <c r="AK266" s="47">
        <v>0</v>
      </c>
      <c r="AL266" s="47">
        <v>0</v>
      </c>
      <c r="AM266" s="47">
        <v>0</v>
      </c>
      <c r="AN266" s="4">
        <v>0</v>
      </c>
      <c r="AO266" s="4">
        <v>0</v>
      </c>
      <c r="AP266" s="417"/>
      <c r="AQ266" s="268"/>
    </row>
    <row r="267" spans="1:43" ht="15.75" x14ac:dyDescent="0.25">
      <c r="A267" s="1177"/>
      <c r="B267" s="1" t="s">
        <v>16</v>
      </c>
      <c r="C267" s="1179"/>
      <c r="D267" s="1179"/>
      <c r="E267" s="1179"/>
      <c r="F267" s="1179"/>
      <c r="G267" s="1179"/>
      <c r="H267" s="1179"/>
      <c r="I267" s="1494"/>
      <c r="J267" s="462"/>
      <c r="K267" s="47"/>
      <c r="L267" s="47">
        <v>31392.57</v>
      </c>
      <c r="M267" s="47">
        <v>31392.57</v>
      </c>
      <c r="N267" s="47">
        <v>31392.57</v>
      </c>
      <c r="O267" s="47">
        <v>31392.57</v>
      </c>
      <c r="P267" s="47">
        <v>0</v>
      </c>
      <c r="Q267" s="4">
        <v>0</v>
      </c>
      <c r="R267" s="4">
        <f t="shared" ref="R267:AI267" si="157">R268</f>
        <v>0</v>
      </c>
      <c r="S267" s="4">
        <f t="shared" si="157"/>
        <v>0</v>
      </c>
      <c r="T267" s="4">
        <f t="shared" si="157"/>
        <v>0</v>
      </c>
      <c r="U267" s="4">
        <f t="shared" si="157"/>
        <v>0</v>
      </c>
      <c r="V267" s="4">
        <f t="shared" si="157"/>
        <v>28677.305</v>
      </c>
      <c r="W267" s="4">
        <f t="shared" si="157"/>
        <v>28677.305</v>
      </c>
      <c r="X267" s="4">
        <f t="shared" si="157"/>
        <v>0</v>
      </c>
      <c r="Y267" s="4">
        <f t="shared" si="157"/>
        <v>0</v>
      </c>
      <c r="Z267" s="268"/>
      <c r="AA267" s="4">
        <v>0</v>
      </c>
      <c r="AB267" s="4">
        <f t="shared" si="157"/>
        <v>0</v>
      </c>
      <c r="AC267" s="4">
        <f t="shared" si="157"/>
        <v>14980.598</v>
      </c>
      <c r="AD267" s="4">
        <f t="shared" si="157"/>
        <v>19862.373</v>
      </c>
      <c r="AE267" s="4">
        <f t="shared" si="157"/>
        <v>0</v>
      </c>
      <c r="AF267" s="4">
        <f t="shared" si="157"/>
        <v>0</v>
      </c>
      <c r="AG267" s="4">
        <f t="shared" si="157"/>
        <v>0</v>
      </c>
      <c r="AH267" s="4">
        <f t="shared" si="157"/>
        <v>0</v>
      </c>
      <c r="AI267" s="4">
        <f t="shared" si="157"/>
        <v>0</v>
      </c>
      <c r="AJ267" s="4"/>
      <c r="AK267" s="47">
        <v>0</v>
      </c>
      <c r="AL267" s="47">
        <v>0</v>
      </c>
      <c r="AM267" s="47">
        <v>0</v>
      </c>
      <c r="AN267" s="4">
        <v>0</v>
      </c>
      <c r="AO267" s="4">
        <v>0</v>
      </c>
      <c r="AP267" s="417"/>
      <c r="AQ267" s="268"/>
    </row>
    <row r="268" spans="1:43" s="266" customFormat="1" ht="15.75" hidden="1" x14ac:dyDescent="0.25">
      <c r="A268" s="490"/>
      <c r="B268" s="102" t="s">
        <v>316</v>
      </c>
      <c r="C268" s="104"/>
      <c r="D268" s="104"/>
      <c r="E268" s="104"/>
      <c r="F268" s="104"/>
      <c r="G268" s="104"/>
      <c r="H268" s="104"/>
      <c r="I268" s="575"/>
      <c r="J268" s="442"/>
      <c r="K268" s="96"/>
      <c r="L268" s="96"/>
      <c r="M268" s="268"/>
      <c r="N268" s="268"/>
      <c r="O268" s="268"/>
      <c r="P268" s="268"/>
      <c r="Q268" s="268">
        <f>W268</f>
        <v>28677.305</v>
      </c>
      <c r="R268" s="268"/>
      <c r="S268" s="268"/>
      <c r="T268" s="268"/>
      <c r="U268" s="268"/>
      <c r="V268" s="268">
        <f>W268</f>
        <v>28677.305</v>
      </c>
      <c r="W268" s="268">
        <v>28677.305</v>
      </c>
      <c r="X268" s="268"/>
      <c r="Y268" s="268"/>
      <c r="Z268" s="268"/>
      <c r="AA268" s="268">
        <f>AC268+AD268</f>
        <v>34842.970999999998</v>
      </c>
      <c r="AB268" s="268"/>
      <c r="AC268" s="268">
        <v>14980.598</v>
      </c>
      <c r="AD268" s="268">
        <v>19862.373</v>
      </c>
      <c r="AE268" s="268"/>
      <c r="AF268" s="268"/>
      <c r="AG268" s="268"/>
      <c r="AH268" s="268"/>
      <c r="AI268" s="268"/>
      <c r="AJ268" s="268"/>
      <c r="AK268" s="96"/>
      <c r="AL268" s="96"/>
      <c r="AM268" s="96"/>
      <c r="AN268" s="268"/>
      <c r="AO268" s="268"/>
      <c r="AP268" s="418"/>
      <c r="AQ268" s="268"/>
    </row>
    <row r="269" spans="1:43" s="327" customFormat="1" ht="18.75" customHeight="1" x14ac:dyDescent="0.25">
      <c r="A269" s="1358" t="s">
        <v>189</v>
      </c>
      <c r="B269" s="609" t="s">
        <v>35</v>
      </c>
      <c r="C269" s="1661">
        <v>500</v>
      </c>
      <c r="D269" s="1661" t="s">
        <v>43</v>
      </c>
      <c r="E269" s="1661">
        <v>850</v>
      </c>
      <c r="F269" s="1660">
        <v>20400</v>
      </c>
      <c r="G269" s="807"/>
      <c r="H269" s="807"/>
      <c r="I269" s="1326" t="s">
        <v>20</v>
      </c>
      <c r="J269" s="1622">
        <v>6942.46</v>
      </c>
      <c r="K269" s="3">
        <v>0</v>
      </c>
      <c r="L269" s="3">
        <f>L270</f>
        <v>6462.97</v>
      </c>
      <c r="M269" s="318">
        <f>M270</f>
        <v>0</v>
      </c>
      <c r="N269" s="318">
        <f>N270</f>
        <v>0</v>
      </c>
      <c r="O269" s="318">
        <f>O270</f>
        <v>6942.46</v>
      </c>
      <c r="P269" s="318">
        <v>0</v>
      </c>
      <c r="Q269" s="318">
        <v>0</v>
      </c>
      <c r="R269" s="318">
        <v>0</v>
      </c>
      <c r="S269" s="318">
        <v>0</v>
      </c>
      <c r="T269" s="318">
        <v>0</v>
      </c>
      <c r="U269" s="318">
        <v>0</v>
      </c>
      <c r="V269" s="318">
        <v>0</v>
      </c>
      <c r="W269" s="318">
        <v>0</v>
      </c>
      <c r="X269" s="318">
        <v>0</v>
      </c>
      <c r="Y269" s="318">
        <v>0</v>
      </c>
      <c r="Z269" s="372">
        <v>0</v>
      </c>
      <c r="AA269" s="318">
        <v>0</v>
      </c>
      <c r="AB269" s="318">
        <v>0</v>
      </c>
      <c r="AC269" s="318">
        <v>0</v>
      </c>
      <c r="AD269" s="318">
        <v>0</v>
      </c>
      <c r="AE269" s="318">
        <v>0</v>
      </c>
      <c r="AF269" s="318">
        <v>0</v>
      </c>
      <c r="AG269" s="318">
        <v>0</v>
      </c>
      <c r="AH269" s="318">
        <v>0</v>
      </c>
      <c r="AI269" s="318">
        <v>0</v>
      </c>
      <c r="AJ269" s="318">
        <v>0</v>
      </c>
      <c r="AK269" s="3">
        <f>P269-Q269</f>
        <v>0</v>
      </c>
      <c r="AL269" s="3">
        <f>AK269</f>
        <v>0</v>
      </c>
      <c r="AM269" s="3">
        <v>0</v>
      </c>
      <c r="AN269" s="318">
        <v>0</v>
      </c>
      <c r="AO269" s="318">
        <v>0</v>
      </c>
      <c r="AP269" s="833"/>
      <c r="AQ269" s="372">
        <v>0</v>
      </c>
    </row>
    <row r="270" spans="1:43" ht="15" hidden="1" customHeight="1" x14ac:dyDescent="0.25">
      <c r="A270" s="1361"/>
      <c r="B270" s="1" t="s">
        <v>15</v>
      </c>
      <c r="C270" s="1661"/>
      <c r="D270" s="1661"/>
      <c r="E270" s="1661"/>
      <c r="F270" s="1661"/>
      <c r="G270" s="1179">
        <v>2021</v>
      </c>
      <c r="H270" s="1179">
        <v>2021</v>
      </c>
      <c r="I270" s="1328"/>
      <c r="J270" s="1624"/>
      <c r="K270" s="47"/>
      <c r="L270" s="47">
        <v>6462.97</v>
      </c>
      <c r="M270" s="47">
        <v>0</v>
      </c>
      <c r="N270" s="47">
        <v>0</v>
      </c>
      <c r="O270" s="47">
        <v>6942.46</v>
      </c>
      <c r="P270" s="47">
        <v>6462.97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96"/>
      <c r="AA270" s="47">
        <v>0</v>
      </c>
      <c r="AB270" s="47">
        <v>0</v>
      </c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327" customFormat="1" ht="28.5" customHeight="1" x14ac:dyDescent="0.25">
      <c r="A271" s="1358" t="s">
        <v>190</v>
      </c>
      <c r="B271" s="780" t="s">
        <v>191</v>
      </c>
      <c r="C271" s="1660"/>
      <c r="D271" s="1660"/>
      <c r="E271" s="1660"/>
      <c r="F271" s="1660">
        <v>80</v>
      </c>
      <c r="G271" s="807"/>
      <c r="H271" s="807"/>
      <c r="I271" s="1326" t="s">
        <v>20</v>
      </c>
      <c r="J271" s="52">
        <f>L271</f>
        <v>45265.81</v>
      </c>
      <c r="K271" s="52"/>
      <c r="L271" s="3">
        <f t="shared" ref="L271:AO271" si="158">L272+L274</f>
        <v>45265.81</v>
      </c>
      <c r="M271" s="3">
        <f t="shared" si="158"/>
        <v>33.479999999999997</v>
      </c>
      <c r="N271" s="3">
        <f t="shared" si="158"/>
        <v>7044.44</v>
      </c>
      <c r="O271" s="3">
        <f t="shared" si="158"/>
        <v>11467.37</v>
      </c>
      <c r="P271" s="3">
        <f t="shared" si="158"/>
        <v>40219.919999999998</v>
      </c>
      <c r="Q271" s="3">
        <f t="shared" si="158"/>
        <v>0</v>
      </c>
      <c r="R271" s="3">
        <f t="shared" si="158"/>
        <v>0</v>
      </c>
      <c r="S271" s="3">
        <f t="shared" si="158"/>
        <v>0</v>
      </c>
      <c r="T271" s="3">
        <f t="shared" si="158"/>
        <v>27</v>
      </c>
      <c r="U271" s="3">
        <f t="shared" si="158"/>
        <v>27</v>
      </c>
      <c r="V271" s="3">
        <f t="shared" si="158"/>
        <v>0</v>
      </c>
      <c r="W271" s="3">
        <f t="shared" si="158"/>
        <v>0</v>
      </c>
      <c r="X271" s="3">
        <f t="shared" si="158"/>
        <v>0</v>
      </c>
      <c r="Y271" s="3">
        <f t="shared" si="158"/>
        <v>0</v>
      </c>
      <c r="Z271" s="95">
        <v>0</v>
      </c>
      <c r="AA271" s="3">
        <f t="shared" si="158"/>
        <v>0</v>
      </c>
      <c r="AB271" s="3">
        <f>AB272+AB274</f>
        <v>0</v>
      </c>
      <c r="AC271" s="3">
        <f>AC272+AC274</f>
        <v>0</v>
      </c>
      <c r="AD271" s="3">
        <f>AD272+AD274</f>
        <v>27</v>
      </c>
      <c r="AE271" s="3">
        <f>AE272+AE274</f>
        <v>0</v>
      </c>
      <c r="AF271" s="3">
        <f t="shared" si="158"/>
        <v>0</v>
      </c>
      <c r="AG271" s="3">
        <f t="shared" si="158"/>
        <v>0</v>
      </c>
      <c r="AH271" s="3">
        <f t="shared" si="158"/>
        <v>0</v>
      </c>
      <c r="AI271" s="3">
        <f t="shared" si="158"/>
        <v>0</v>
      </c>
      <c r="AJ271" s="3">
        <f t="shared" si="158"/>
        <v>0</v>
      </c>
      <c r="AK271" s="3">
        <f>P271-Q271</f>
        <v>40219.919999999998</v>
      </c>
      <c r="AL271" s="3">
        <f>AK271</f>
        <v>40219.919999999998</v>
      </c>
      <c r="AM271" s="318">
        <v>0</v>
      </c>
      <c r="AN271" s="3">
        <f t="shared" si="158"/>
        <v>0</v>
      </c>
      <c r="AO271" s="3">
        <f t="shared" si="158"/>
        <v>0</v>
      </c>
      <c r="AP271" s="834"/>
      <c r="AQ271" s="95">
        <v>0</v>
      </c>
    </row>
    <row r="272" spans="1:43" ht="17.25" customHeight="1" x14ac:dyDescent="0.25">
      <c r="A272" s="1359"/>
      <c r="B272" s="1" t="s">
        <v>15</v>
      </c>
      <c r="C272" s="1661"/>
      <c r="D272" s="1661"/>
      <c r="E272" s="1661"/>
      <c r="F272" s="1661"/>
      <c r="G272" s="1179">
        <v>2019</v>
      </c>
      <c r="H272" s="1179">
        <v>2019</v>
      </c>
      <c r="I272" s="1327"/>
      <c r="J272" s="6">
        <f>L272</f>
        <v>7077.92</v>
      </c>
      <c r="K272" s="6"/>
      <c r="L272" s="47">
        <v>7077.92</v>
      </c>
      <c r="M272" s="47">
        <v>33.479999999999997</v>
      </c>
      <c r="N272" s="47">
        <v>7044.44</v>
      </c>
      <c r="O272" s="47">
        <v>0</v>
      </c>
      <c r="P272" s="47">
        <v>0</v>
      </c>
      <c r="Q272" s="47">
        <v>0</v>
      </c>
      <c r="R272" s="47">
        <f t="shared" ref="R272:AD272" si="159">SUM(R273)</f>
        <v>0</v>
      </c>
      <c r="S272" s="47">
        <f t="shared" si="159"/>
        <v>0</v>
      </c>
      <c r="T272" s="47">
        <f t="shared" si="159"/>
        <v>27</v>
      </c>
      <c r="U272" s="47">
        <f t="shared" si="159"/>
        <v>27</v>
      </c>
      <c r="V272" s="47">
        <f t="shared" si="159"/>
        <v>0</v>
      </c>
      <c r="W272" s="47">
        <f t="shared" si="159"/>
        <v>0</v>
      </c>
      <c r="X272" s="47">
        <f t="shared" si="159"/>
        <v>0</v>
      </c>
      <c r="Y272" s="47">
        <f t="shared" si="159"/>
        <v>0</v>
      </c>
      <c r="Z272" s="96"/>
      <c r="AA272" s="47">
        <v>0</v>
      </c>
      <c r="AB272" s="47">
        <f t="shared" si="159"/>
        <v>0</v>
      </c>
      <c r="AC272" s="47">
        <f t="shared" si="159"/>
        <v>0</v>
      </c>
      <c r="AD272" s="47">
        <f t="shared" si="159"/>
        <v>27</v>
      </c>
      <c r="AE272" s="47">
        <v>0</v>
      </c>
      <c r="AF272" s="47">
        <f>AF273</f>
        <v>0</v>
      </c>
      <c r="AG272" s="47">
        <f>AG273</f>
        <v>0</v>
      </c>
      <c r="AH272" s="47">
        <f>AH273</f>
        <v>0</v>
      </c>
      <c r="AI272" s="47">
        <f>AI273</f>
        <v>0</v>
      </c>
      <c r="AJ272" s="47">
        <f>AJ273</f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19"/>
      <c r="AQ272" s="96"/>
    </row>
    <row r="273" spans="1:43" s="266" customFormat="1" ht="25.5" hidden="1" customHeight="1" x14ac:dyDescent="0.25">
      <c r="A273" s="1359"/>
      <c r="B273" s="102" t="s">
        <v>267</v>
      </c>
      <c r="C273" s="576"/>
      <c r="D273" s="576"/>
      <c r="E273" s="576"/>
      <c r="F273" s="576"/>
      <c r="G273" s="104"/>
      <c r="H273" s="104"/>
      <c r="I273" s="1327"/>
      <c r="J273" s="106"/>
      <c r="K273" s="106"/>
      <c r="L273" s="96"/>
      <c r="M273" s="96"/>
      <c r="N273" s="96"/>
      <c r="O273" s="96"/>
      <c r="P273" s="96">
        <f>R273</f>
        <v>0</v>
      </c>
      <c r="Q273" s="96">
        <f>S273+U273</f>
        <v>27</v>
      </c>
      <c r="R273" s="96">
        <v>0</v>
      </c>
      <c r="S273" s="96">
        <v>0</v>
      </c>
      <c r="T273" s="96">
        <f>U273</f>
        <v>27</v>
      </c>
      <c r="U273" s="96">
        <f>ROUND((32.4/1.2),2)</f>
        <v>27</v>
      </c>
      <c r="V273" s="96"/>
      <c r="W273" s="96"/>
      <c r="X273" s="96"/>
      <c r="Y273" s="96"/>
      <c r="Z273" s="96"/>
      <c r="AA273" s="96">
        <f>AD273</f>
        <v>27</v>
      </c>
      <c r="AB273" s="96">
        <v>0</v>
      </c>
      <c r="AC273" s="96"/>
      <c r="AD273" s="96">
        <v>27</v>
      </c>
      <c r="AE273" s="96"/>
      <c r="AF273" s="96">
        <f>SUM(AG273:AG273)</f>
        <v>0</v>
      </c>
      <c r="AG273" s="96"/>
      <c r="AH273" s="96"/>
      <c r="AI273" s="96"/>
      <c r="AJ273" s="96"/>
      <c r="AK273" s="96"/>
      <c r="AL273" s="96"/>
      <c r="AM273" s="96"/>
      <c r="AN273" s="96"/>
      <c r="AO273" s="96"/>
      <c r="AP273" s="421"/>
      <c r="AQ273" s="96"/>
    </row>
    <row r="274" spans="1:43" ht="17.25" customHeight="1" x14ac:dyDescent="0.25">
      <c r="A274" s="1361"/>
      <c r="B274" s="1" t="s">
        <v>16</v>
      </c>
      <c r="C274" s="1187"/>
      <c r="D274" s="1187"/>
      <c r="E274" s="1187"/>
      <c r="F274" s="1187"/>
      <c r="G274" s="1179">
        <v>2020</v>
      </c>
      <c r="H274" s="1179">
        <v>2021</v>
      </c>
      <c r="I274" s="1328"/>
      <c r="J274" s="6">
        <f>L274</f>
        <v>38187.89</v>
      </c>
      <c r="K274" s="6"/>
      <c r="L274" s="47">
        <v>38187.89</v>
      </c>
      <c r="M274" s="47">
        <v>0</v>
      </c>
      <c r="N274" s="47">
        <v>0</v>
      </c>
      <c r="O274" s="47">
        <v>11467.37</v>
      </c>
      <c r="P274" s="47">
        <v>40219.919999999998</v>
      </c>
      <c r="Q274" s="47">
        <v>0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47">
        <v>0</v>
      </c>
      <c r="X274" s="47">
        <v>0</v>
      </c>
      <c r="Y274" s="47">
        <v>0</v>
      </c>
      <c r="Z274" s="96"/>
      <c r="AA274" s="47">
        <v>0</v>
      </c>
      <c r="AB274" s="47">
        <v>0</v>
      </c>
      <c r="AC274" s="47">
        <v>0</v>
      </c>
      <c r="AD274" s="47">
        <v>0</v>
      </c>
      <c r="AE274" s="47">
        <v>0</v>
      </c>
      <c r="AF274" s="47">
        <v>0</v>
      </c>
      <c r="AG274" s="47">
        <v>0</v>
      </c>
      <c r="AH274" s="47">
        <v>0</v>
      </c>
      <c r="AI274" s="47">
        <v>0</v>
      </c>
      <c r="AJ274" s="47"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419"/>
      <c r="AQ274" s="96"/>
    </row>
    <row r="275" spans="1:43" s="327" customFormat="1" ht="39.75" customHeight="1" x14ac:dyDescent="0.25">
      <c r="A275" s="1358" t="s">
        <v>192</v>
      </c>
      <c r="B275" s="772" t="s">
        <v>166</v>
      </c>
      <c r="C275" s="1660"/>
      <c r="D275" s="1660"/>
      <c r="E275" s="1660"/>
      <c r="F275" s="1660">
        <v>80</v>
      </c>
      <c r="G275" s="807"/>
      <c r="H275" s="807"/>
      <c r="I275" s="1326" t="s">
        <v>20</v>
      </c>
      <c r="J275" s="52">
        <f>L275</f>
        <v>94875.549999999988</v>
      </c>
      <c r="K275" s="52"/>
      <c r="L275" s="3">
        <f t="shared" ref="L275:O275" si="160">L276+L279</f>
        <v>94875.549999999988</v>
      </c>
      <c r="M275" s="3">
        <f t="shared" si="160"/>
        <v>2761.44</v>
      </c>
      <c r="N275" s="3">
        <f t="shared" si="160"/>
        <v>9629.68</v>
      </c>
      <c r="O275" s="3">
        <f t="shared" si="160"/>
        <v>22469.279999999999</v>
      </c>
      <c r="P275" s="3">
        <v>3907.02</v>
      </c>
      <c r="Q275" s="3">
        <v>0</v>
      </c>
      <c r="R275" s="3">
        <f t="shared" ref="R275:Y275" si="161">R276+R279</f>
        <v>646.02599999999995</v>
      </c>
      <c r="S275" s="3">
        <f t="shared" si="161"/>
        <v>646.02599999999995</v>
      </c>
      <c r="T275" s="3">
        <f t="shared" si="161"/>
        <v>872.63599999999997</v>
      </c>
      <c r="U275" s="3">
        <f t="shared" si="161"/>
        <v>872.63599999999997</v>
      </c>
      <c r="V275" s="3">
        <f t="shared" si="161"/>
        <v>0</v>
      </c>
      <c r="W275" s="3">
        <f t="shared" si="161"/>
        <v>0</v>
      </c>
      <c r="X275" s="3">
        <f t="shared" si="161"/>
        <v>0</v>
      </c>
      <c r="Y275" s="3">
        <f t="shared" si="161"/>
        <v>0</v>
      </c>
      <c r="Z275" s="3">
        <v>0</v>
      </c>
      <c r="AA275" s="3">
        <f>AA276+AA279</f>
        <v>0</v>
      </c>
      <c r="AB275" s="3">
        <f>AB276+AB279</f>
        <v>0</v>
      </c>
      <c r="AC275" s="3">
        <f t="shared" ref="AC275:AJ275" si="162">AC276+AC279</f>
        <v>0</v>
      </c>
      <c r="AD275" s="3">
        <f t="shared" si="162"/>
        <v>0</v>
      </c>
      <c r="AE275" s="3">
        <f t="shared" si="162"/>
        <v>0</v>
      </c>
      <c r="AF275" s="3">
        <f t="shared" si="162"/>
        <v>0</v>
      </c>
      <c r="AG275" s="3">
        <f t="shared" si="162"/>
        <v>0</v>
      </c>
      <c r="AH275" s="3">
        <f t="shared" si="162"/>
        <v>0</v>
      </c>
      <c r="AI275" s="3">
        <f t="shared" si="162"/>
        <v>0</v>
      </c>
      <c r="AJ275" s="3">
        <f t="shared" si="162"/>
        <v>0</v>
      </c>
      <c r="AK275" s="3">
        <f>P275-Q275</f>
        <v>3907.02</v>
      </c>
      <c r="AL275" s="3">
        <f>AK275</f>
        <v>3907.02</v>
      </c>
      <c r="AM275" s="3">
        <f>ROUND((Q275*100%/P275*100),2)</f>
        <v>0</v>
      </c>
      <c r="AN275" s="3">
        <f>AN276+AN279</f>
        <v>0</v>
      </c>
      <c r="AO275" s="3">
        <f>AO276+AO279</f>
        <v>0</v>
      </c>
      <c r="AP275" s="633" t="s">
        <v>256</v>
      </c>
      <c r="AQ275" s="3">
        <v>0</v>
      </c>
    </row>
    <row r="276" spans="1:43" ht="16.5" hidden="1" customHeight="1" x14ac:dyDescent="0.25">
      <c r="A276" s="1359"/>
      <c r="B276" s="42" t="s">
        <v>15</v>
      </c>
      <c r="C276" s="1661"/>
      <c r="D276" s="1661"/>
      <c r="E276" s="1661"/>
      <c r="F276" s="1661"/>
      <c r="G276" s="313"/>
      <c r="H276" s="1196"/>
      <c r="I276" s="1327"/>
      <c r="J276" s="1190"/>
      <c r="K276" s="47"/>
      <c r="L276" s="47">
        <v>5734.87</v>
      </c>
      <c r="M276" s="47">
        <v>2761.44</v>
      </c>
      <c r="N276" s="47">
        <v>105.99</v>
      </c>
      <c r="O276" s="47">
        <v>0</v>
      </c>
      <c r="P276" s="47">
        <v>0</v>
      </c>
      <c r="Q276" s="47">
        <f>SUM(Q277:Q279)</f>
        <v>1518.6619999999998</v>
      </c>
      <c r="R276" s="47">
        <f>S276</f>
        <v>646.02599999999995</v>
      </c>
      <c r="S276" s="47">
        <f>SUM(S277:S279)</f>
        <v>646.02599999999995</v>
      </c>
      <c r="T276" s="47">
        <f>SUM(T277:T279)</f>
        <v>872.63599999999997</v>
      </c>
      <c r="U276" s="47">
        <f>SUM(U277:U279)</f>
        <v>872.63599999999997</v>
      </c>
      <c r="V276" s="47">
        <f>SUM(V277:V279)</f>
        <v>0</v>
      </c>
      <c r="W276" s="47">
        <f>SUM(W277:W279)</f>
        <v>0</v>
      </c>
      <c r="X276" s="47">
        <v>0</v>
      </c>
      <c r="Y276" s="47">
        <f t="shared" ref="Y276:AE276" si="163">SUM(Y277:Y279)</f>
        <v>0</v>
      </c>
      <c r="Z276" s="96"/>
      <c r="AA276" s="47">
        <f t="shared" si="163"/>
        <v>0</v>
      </c>
      <c r="AB276" s="47">
        <f t="shared" si="163"/>
        <v>0</v>
      </c>
      <c r="AC276" s="47">
        <f t="shared" si="163"/>
        <v>0</v>
      </c>
      <c r="AD276" s="47">
        <f t="shared" si="163"/>
        <v>0</v>
      </c>
      <c r="AE276" s="47">
        <f t="shared" si="163"/>
        <v>0</v>
      </c>
      <c r="AF276" s="47">
        <f>SUM(AF277)</f>
        <v>0</v>
      </c>
      <c r="AG276" s="47">
        <f>SUM(AG277)</f>
        <v>0</v>
      </c>
      <c r="AH276" s="47">
        <f>SUM(AH277)</f>
        <v>0</v>
      </c>
      <c r="AI276" s="47">
        <f>SUM(AI277)</f>
        <v>0</v>
      </c>
      <c r="AJ276" s="47">
        <f>SUM(AJ277)</f>
        <v>0</v>
      </c>
      <c r="AK276" s="47">
        <v>0</v>
      </c>
      <c r="AL276" s="47">
        <v>0</v>
      </c>
      <c r="AM276" s="47">
        <v>0</v>
      </c>
      <c r="AN276" s="47">
        <v>0</v>
      </c>
      <c r="AO276" s="47">
        <v>0</v>
      </c>
      <c r="AP276" s="397"/>
      <c r="AQ276" s="96"/>
    </row>
    <row r="277" spans="1:43" s="266" customFormat="1" ht="16.5" hidden="1" customHeight="1" x14ac:dyDescent="0.25">
      <c r="A277" s="1359"/>
      <c r="B277" s="252" t="s">
        <v>228</v>
      </c>
      <c r="C277" s="363"/>
      <c r="D277" s="363"/>
      <c r="E277" s="363"/>
      <c r="F277" s="363"/>
      <c r="G277" s="363"/>
      <c r="H277" s="364"/>
      <c r="I277" s="1327"/>
      <c r="J277" s="258"/>
      <c r="K277" s="96"/>
      <c r="L277" s="96"/>
      <c r="M277" s="96"/>
      <c r="N277" s="96"/>
      <c r="O277" s="96"/>
      <c r="P277" s="47"/>
      <c r="Q277" s="96">
        <f>S277+U277</f>
        <v>1518.6619999999998</v>
      </c>
      <c r="R277" s="96">
        <v>0</v>
      </c>
      <c r="S277" s="96">
        <v>646.02599999999995</v>
      </c>
      <c r="T277" s="96">
        <f>U277</f>
        <v>872.63599999999997</v>
      </c>
      <c r="U277" s="96">
        <v>872.63599999999997</v>
      </c>
      <c r="V277" s="96"/>
      <c r="W277" s="96"/>
      <c r="X277" s="96">
        <v>0</v>
      </c>
      <c r="Y277" s="96">
        <v>0</v>
      </c>
      <c r="Z277" s="96"/>
      <c r="AA277" s="96">
        <v>0</v>
      </c>
      <c r="AB277" s="96">
        <v>0</v>
      </c>
      <c r="AC277" s="96"/>
      <c r="AD277" s="96"/>
      <c r="AE277" s="96">
        <v>0</v>
      </c>
      <c r="AF277" s="96">
        <f>SUM(AG277:AG277)</f>
        <v>0</v>
      </c>
      <c r="AG277" s="96"/>
      <c r="AH277" s="96"/>
      <c r="AI277" s="96"/>
      <c r="AJ277" s="96"/>
      <c r="AK277" s="96">
        <v>0</v>
      </c>
      <c r="AL277" s="96">
        <v>0</v>
      </c>
      <c r="AM277" s="96">
        <v>0</v>
      </c>
      <c r="AN277" s="96">
        <v>0</v>
      </c>
      <c r="AO277" s="96">
        <v>0</v>
      </c>
      <c r="AP277" s="405"/>
      <c r="AQ277" s="96"/>
    </row>
    <row r="278" spans="1:43" s="266" customFormat="1" ht="16.5" hidden="1" customHeight="1" x14ac:dyDescent="0.25">
      <c r="A278" s="1359"/>
      <c r="B278" s="252" t="s">
        <v>267</v>
      </c>
      <c r="C278" s="363"/>
      <c r="D278" s="363"/>
      <c r="E278" s="363"/>
      <c r="F278" s="363"/>
      <c r="G278" s="363"/>
      <c r="H278" s="364"/>
      <c r="I278" s="1327"/>
      <c r="J278" s="258"/>
      <c r="K278" s="96"/>
      <c r="L278" s="96"/>
      <c r="M278" s="96"/>
      <c r="N278" s="96"/>
      <c r="O278" s="96"/>
      <c r="P278" s="96">
        <f>R278+T278</f>
        <v>0</v>
      </c>
      <c r="Q278" s="96">
        <f>S278+U278</f>
        <v>0</v>
      </c>
      <c r="R278" s="96">
        <v>0</v>
      </c>
      <c r="S278" s="96">
        <v>0</v>
      </c>
      <c r="T278" s="96">
        <f>U278</f>
        <v>0</v>
      </c>
      <c r="U278" s="96">
        <v>0</v>
      </c>
      <c r="V278" s="96"/>
      <c r="W278" s="96"/>
      <c r="X278" s="96"/>
      <c r="Y278" s="96"/>
      <c r="Z278" s="96"/>
      <c r="AA278" s="96">
        <f>SUM(AB278:AD278)</f>
        <v>0</v>
      </c>
      <c r="AB278" s="96"/>
      <c r="AC278" s="96">
        <v>0</v>
      </c>
      <c r="AD278" s="96">
        <v>0</v>
      </c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405"/>
      <c r="AQ278" s="96"/>
    </row>
    <row r="279" spans="1:43" ht="0.75" hidden="1" customHeight="1" x14ac:dyDescent="0.25">
      <c r="A279" s="1361"/>
      <c r="B279" s="1" t="s">
        <v>16</v>
      </c>
      <c r="C279" s="1187"/>
      <c r="D279" s="1187"/>
      <c r="E279" s="1187"/>
      <c r="F279" s="1187"/>
      <c r="G279" s="1179">
        <v>2020</v>
      </c>
      <c r="H279" s="1179">
        <v>2021</v>
      </c>
      <c r="I279" s="1328"/>
      <c r="J279" s="6">
        <f>L279</f>
        <v>89140.68</v>
      </c>
      <c r="K279" s="6"/>
      <c r="L279" s="47">
        <v>89140.68</v>
      </c>
      <c r="M279" s="47">
        <v>0</v>
      </c>
      <c r="N279" s="47">
        <v>9523.69</v>
      </c>
      <c r="O279" s="47">
        <v>22469.279999999999</v>
      </c>
      <c r="P279" s="47">
        <v>2605.9899999999998</v>
      </c>
      <c r="Q279" s="47">
        <v>0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47">
        <v>0</v>
      </c>
      <c r="X279" s="47">
        <v>0</v>
      </c>
      <c r="Y279" s="47">
        <v>0</v>
      </c>
      <c r="Z279" s="96"/>
      <c r="AA279" s="47">
        <v>0</v>
      </c>
      <c r="AB279" s="47">
        <v>0</v>
      </c>
      <c r="AC279" s="47">
        <v>0</v>
      </c>
      <c r="AD279" s="47">
        <v>0</v>
      </c>
      <c r="AE279" s="47">
        <v>0</v>
      </c>
      <c r="AF279" s="47">
        <v>0</v>
      </c>
      <c r="AG279" s="47">
        <v>0</v>
      </c>
      <c r="AH279" s="47">
        <v>0</v>
      </c>
      <c r="AI279" s="47">
        <v>0</v>
      </c>
      <c r="AJ279" s="47"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19"/>
      <c r="AQ279" s="96"/>
    </row>
    <row r="280" spans="1:43" s="327" customFormat="1" ht="41.25" customHeight="1" x14ac:dyDescent="0.25">
      <c r="A280" s="1358" t="s">
        <v>193</v>
      </c>
      <c r="B280" s="772" t="s">
        <v>163</v>
      </c>
      <c r="C280" s="1660"/>
      <c r="D280" s="1660"/>
      <c r="E280" s="1660"/>
      <c r="F280" s="1660">
        <v>81</v>
      </c>
      <c r="G280" s="807"/>
      <c r="H280" s="807"/>
      <c r="I280" s="1326" t="s">
        <v>20</v>
      </c>
      <c r="J280" s="52">
        <f>L280</f>
        <v>5513.9</v>
      </c>
      <c r="K280" s="52"/>
      <c r="L280" s="3">
        <f t="shared" ref="L280:AA280" si="164">L281+L286</f>
        <v>5513.9</v>
      </c>
      <c r="M280" s="3">
        <f t="shared" si="164"/>
        <v>297.18</v>
      </c>
      <c r="N280" s="3">
        <f t="shared" si="164"/>
        <v>1639.85</v>
      </c>
      <c r="O280" s="3">
        <f t="shared" si="164"/>
        <v>0</v>
      </c>
      <c r="P280" s="3">
        <f t="shared" si="164"/>
        <v>0</v>
      </c>
      <c r="Q280" s="3">
        <f t="shared" si="164"/>
        <v>0</v>
      </c>
      <c r="R280" s="3">
        <f t="shared" si="164"/>
        <v>0</v>
      </c>
      <c r="S280" s="3">
        <f t="shared" si="164"/>
        <v>0</v>
      </c>
      <c r="T280" s="3">
        <f t="shared" si="164"/>
        <v>0</v>
      </c>
      <c r="U280" s="3">
        <f t="shared" si="164"/>
        <v>0</v>
      </c>
      <c r="V280" s="3">
        <f t="shared" si="164"/>
        <v>0</v>
      </c>
      <c r="W280" s="3">
        <f t="shared" si="164"/>
        <v>0</v>
      </c>
      <c r="X280" s="3">
        <f t="shared" si="164"/>
        <v>0</v>
      </c>
      <c r="Y280" s="3">
        <f t="shared" si="164"/>
        <v>0</v>
      </c>
      <c r="Z280" s="95">
        <v>0</v>
      </c>
      <c r="AA280" s="3">
        <f t="shared" si="164"/>
        <v>0</v>
      </c>
      <c r="AB280" s="3">
        <f>AB281+AB286</f>
        <v>0</v>
      </c>
      <c r="AC280" s="3">
        <f t="shared" ref="AC280:AJ280" si="165">AC281+AC286</f>
        <v>0</v>
      </c>
      <c r="AD280" s="3">
        <f t="shared" si="165"/>
        <v>0</v>
      </c>
      <c r="AE280" s="3">
        <f t="shared" si="165"/>
        <v>0</v>
      </c>
      <c r="AF280" s="3">
        <f t="shared" si="165"/>
        <v>0</v>
      </c>
      <c r="AG280" s="3">
        <f t="shared" si="165"/>
        <v>0</v>
      </c>
      <c r="AH280" s="3">
        <f t="shared" si="165"/>
        <v>0</v>
      </c>
      <c r="AI280" s="3">
        <f t="shared" si="165"/>
        <v>0</v>
      </c>
      <c r="AJ280" s="3">
        <f t="shared" si="165"/>
        <v>0</v>
      </c>
      <c r="AK280" s="3">
        <f>P280-Q280</f>
        <v>0</v>
      </c>
      <c r="AL280" s="3">
        <f>AK280</f>
        <v>0</v>
      </c>
      <c r="AM280" s="3">
        <v>0</v>
      </c>
      <c r="AN280" s="3">
        <f>AN281+AN286</f>
        <v>0</v>
      </c>
      <c r="AO280" s="3">
        <f>AO281+AO286</f>
        <v>0</v>
      </c>
      <c r="AP280" s="633" t="s">
        <v>256</v>
      </c>
      <c r="AQ280" s="95">
        <v>0</v>
      </c>
    </row>
    <row r="281" spans="1:43" ht="17.25" hidden="1" customHeight="1" x14ac:dyDescent="0.25">
      <c r="A281" s="1359"/>
      <c r="B281" s="1" t="s">
        <v>15</v>
      </c>
      <c r="C281" s="1661"/>
      <c r="D281" s="1661"/>
      <c r="E281" s="1661"/>
      <c r="F281" s="1661"/>
      <c r="G281" s="1179">
        <v>2021</v>
      </c>
      <c r="H281" s="1179">
        <v>2023</v>
      </c>
      <c r="I281" s="1327"/>
      <c r="J281" s="6">
        <f>L281</f>
        <v>594.36</v>
      </c>
      <c r="K281" s="6"/>
      <c r="L281" s="47">
        <v>594.36</v>
      </c>
      <c r="M281" s="47">
        <v>297.18</v>
      </c>
      <c r="N281" s="47">
        <v>0</v>
      </c>
      <c r="O281" s="47">
        <v>0</v>
      </c>
      <c r="P281" s="47">
        <v>0</v>
      </c>
      <c r="Q281" s="47">
        <f>SUM(Q283:Q285)</f>
        <v>0</v>
      </c>
      <c r="R281" s="47">
        <f t="shared" ref="R281:AE281" si="166">SUM(R283:R285)</f>
        <v>0</v>
      </c>
      <c r="S281" s="47">
        <f t="shared" si="166"/>
        <v>0</v>
      </c>
      <c r="T281" s="47">
        <f t="shared" si="166"/>
        <v>0</v>
      </c>
      <c r="U281" s="47">
        <f t="shared" si="166"/>
        <v>0</v>
      </c>
      <c r="V281" s="47">
        <f t="shared" si="166"/>
        <v>0</v>
      </c>
      <c r="W281" s="47">
        <f t="shared" si="166"/>
        <v>0</v>
      </c>
      <c r="X281" s="47">
        <v>0</v>
      </c>
      <c r="Y281" s="47">
        <f t="shared" si="166"/>
        <v>0</v>
      </c>
      <c r="Z281" s="96"/>
      <c r="AA281" s="47">
        <f t="shared" si="166"/>
        <v>0</v>
      </c>
      <c r="AB281" s="47">
        <f t="shared" si="166"/>
        <v>0</v>
      </c>
      <c r="AC281" s="47">
        <f t="shared" si="166"/>
        <v>0</v>
      </c>
      <c r="AD281" s="47">
        <f t="shared" si="166"/>
        <v>0</v>
      </c>
      <c r="AE281" s="47">
        <f t="shared" si="166"/>
        <v>0</v>
      </c>
      <c r="AF281" s="47">
        <f>AF285</f>
        <v>0</v>
      </c>
      <c r="AG281" s="47">
        <f>AG285</f>
        <v>0</v>
      </c>
      <c r="AH281" s="47">
        <f>AH285</f>
        <v>0</v>
      </c>
      <c r="AI281" s="47">
        <f>AI285</f>
        <v>0</v>
      </c>
      <c r="AJ281" s="47">
        <f>AJ285</f>
        <v>0</v>
      </c>
      <c r="AK281" s="47">
        <v>0</v>
      </c>
      <c r="AL281" s="47">
        <v>0</v>
      </c>
      <c r="AM281" s="47">
        <v>0</v>
      </c>
      <c r="AN281" s="47">
        <v>0</v>
      </c>
      <c r="AO281" s="47">
        <v>0</v>
      </c>
      <c r="AP281" s="419"/>
      <c r="AQ281" s="96"/>
    </row>
    <row r="282" spans="1:43" s="266" customFormat="1" ht="17.25" hidden="1" customHeight="1" x14ac:dyDescent="0.25">
      <c r="A282" s="1359"/>
      <c r="B282" s="102" t="s">
        <v>93</v>
      </c>
      <c r="C282" s="576"/>
      <c r="D282" s="576"/>
      <c r="E282" s="576"/>
      <c r="F282" s="576"/>
      <c r="G282" s="104"/>
      <c r="H282" s="104"/>
      <c r="I282" s="1327"/>
      <c r="J282" s="106"/>
      <c r="K282" s="106"/>
      <c r="L282" s="96"/>
      <c r="M282" s="96"/>
      <c r="N282" s="96"/>
      <c r="O282" s="96"/>
      <c r="P282" s="96">
        <f>R282</f>
        <v>0</v>
      </c>
      <c r="Q282" s="96">
        <f>S282</f>
        <v>0</v>
      </c>
      <c r="R282" s="96">
        <f>S282</f>
        <v>0</v>
      </c>
      <c r="S282" s="96">
        <v>0</v>
      </c>
      <c r="T282" s="96"/>
      <c r="U282" s="96"/>
      <c r="V282" s="96"/>
      <c r="W282" s="96"/>
      <c r="X282" s="96">
        <v>0</v>
      </c>
      <c r="Y282" s="96">
        <v>0</v>
      </c>
      <c r="Z282" s="96"/>
      <c r="AA282" s="96">
        <v>0</v>
      </c>
      <c r="AB282" s="96">
        <v>0</v>
      </c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421"/>
      <c r="AQ282" s="96"/>
    </row>
    <row r="283" spans="1:43" s="266" customFormat="1" ht="17.25" hidden="1" customHeight="1" x14ac:dyDescent="0.25">
      <c r="A283" s="1359"/>
      <c r="B283" s="252" t="s">
        <v>225</v>
      </c>
      <c r="C283" s="363"/>
      <c r="D283" s="363"/>
      <c r="E283" s="363"/>
      <c r="F283" s="363"/>
      <c r="G283" s="363"/>
      <c r="H283" s="364"/>
      <c r="I283" s="1327"/>
      <c r="J283" s="258"/>
      <c r="K283" s="96"/>
      <c r="L283" s="96"/>
      <c r="M283" s="96"/>
      <c r="N283" s="96"/>
      <c r="O283" s="96"/>
      <c r="P283" s="47"/>
      <c r="Q283" s="96">
        <f>Y283</f>
        <v>0</v>
      </c>
      <c r="R283" s="96"/>
      <c r="S283" s="96"/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05"/>
      <c r="AQ283" s="96"/>
    </row>
    <row r="284" spans="1:43" s="266" customFormat="1" ht="17.25" hidden="1" customHeight="1" x14ac:dyDescent="0.25">
      <c r="A284" s="1359"/>
      <c r="B284" s="252" t="s">
        <v>226</v>
      </c>
      <c r="C284" s="363"/>
      <c r="D284" s="363"/>
      <c r="E284" s="363"/>
      <c r="F284" s="363"/>
      <c r="G284" s="363"/>
      <c r="H284" s="364"/>
      <c r="I284" s="1327"/>
      <c r="J284" s="258"/>
      <c r="K284" s="96"/>
      <c r="L284" s="96"/>
      <c r="M284" s="96"/>
      <c r="N284" s="96"/>
      <c r="O284" s="96"/>
      <c r="P284" s="47"/>
      <c r="Q284" s="96">
        <f>S284</f>
        <v>0</v>
      </c>
      <c r="R284" s="96">
        <f>S284</f>
        <v>0</v>
      </c>
      <c r="S284" s="96">
        <v>0</v>
      </c>
      <c r="T284" s="96"/>
      <c r="U284" s="96"/>
      <c r="V284" s="96"/>
      <c r="W284" s="96"/>
      <c r="X284" s="96">
        <v>0</v>
      </c>
      <c r="Y284" s="96">
        <v>0</v>
      </c>
      <c r="Z284" s="96"/>
      <c r="AA284" s="96">
        <f>AB284</f>
        <v>0</v>
      </c>
      <c r="AB284" s="96">
        <v>0</v>
      </c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405"/>
      <c r="AQ284" s="96"/>
    </row>
    <row r="285" spans="1:43" s="266" customFormat="1" ht="17.25" hidden="1" customHeight="1" x14ac:dyDescent="0.25">
      <c r="A285" s="1359"/>
      <c r="B285" s="252" t="s">
        <v>227</v>
      </c>
      <c r="C285" s="363"/>
      <c r="D285" s="363"/>
      <c r="E285" s="363"/>
      <c r="F285" s="363"/>
      <c r="G285" s="363"/>
      <c r="H285" s="364"/>
      <c r="I285" s="1327"/>
      <c r="J285" s="258"/>
      <c r="K285" s="96"/>
      <c r="L285" s="96"/>
      <c r="M285" s="96"/>
      <c r="N285" s="96"/>
      <c r="O285" s="96"/>
      <c r="P285" s="47"/>
      <c r="Q285" s="96">
        <f>Y285</f>
        <v>0</v>
      </c>
      <c r="R285" s="96"/>
      <c r="S285" s="96"/>
      <c r="T285" s="96"/>
      <c r="U285" s="96"/>
      <c r="V285" s="96"/>
      <c r="W285" s="96"/>
      <c r="X285" s="96">
        <v>0</v>
      </c>
      <c r="Y285" s="96">
        <v>0</v>
      </c>
      <c r="Z285" s="96"/>
      <c r="AA285" s="96">
        <v>0</v>
      </c>
      <c r="AB285" s="96">
        <v>0</v>
      </c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405"/>
      <c r="AQ285" s="96"/>
    </row>
    <row r="286" spans="1:43" ht="15.75" hidden="1" customHeight="1" x14ac:dyDescent="0.25">
      <c r="A286" s="1361"/>
      <c r="B286" s="1" t="s">
        <v>32</v>
      </c>
      <c r="C286" s="1187"/>
      <c r="D286" s="1187"/>
      <c r="E286" s="1187"/>
      <c r="F286" s="1187"/>
      <c r="G286" s="1179">
        <v>2022</v>
      </c>
      <c r="H286" s="1179">
        <v>2025</v>
      </c>
      <c r="I286" s="1328"/>
      <c r="J286" s="6">
        <f>L286</f>
        <v>4919.54</v>
      </c>
      <c r="K286" s="6"/>
      <c r="L286" s="47">
        <v>4919.54</v>
      </c>
      <c r="M286" s="47">
        <v>0</v>
      </c>
      <c r="N286" s="47">
        <v>1639.85</v>
      </c>
      <c r="O286" s="47">
        <v>0</v>
      </c>
      <c r="P286" s="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47">
        <v>0</v>
      </c>
      <c r="X286" s="47">
        <v>0</v>
      </c>
      <c r="Y286" s="47">
        <v>0</v>
      </c>
      <c r="Z286" s="96"/>
      <c r="AA286" s="47">
        <v>0</v>
      </c>
      <c r="AB286" s="47">
        <v>0</v>
      </c>
      <c r="AC286" s="47">
        <v>0</v>
      </c>
      <c r="AD286" s="47">
        <v>0</v>
      </c>
      <c r="AE286" s="47">
        <v>0</v>
      </c>
      <c r="AF286" s="47">
        <v>0</v>
      </c>
      <c r="AG286" s="47">
        <v>0</v>
      </c>
      <c r="AH286" s="47">
        <v>0</v>
      </c>
      <c r="AI286" s="47">
        <v>0</v>
      </c>
      <c r="AJ286" s="47">
        <v>0</v>
      </c>
      <c r="AK286" s="47">
        <v>0</v>
      </c>
      <c r="AL286" s="47">
        <v>0</v>
      </c>
      <c r="AM286" s="47">
        <v>0</v>
      </c>
      <c r="AN286" s="47">
        <v>0</v>
      </c>
      <c r="AO286" s="47">
        <v>0</v>
      </c>
      <c r="AP286" s="419"/>
      <c r="AQ286" s="96"/>
    </row>
    <row r="287" spans="1:43" s="327" customFormat="1" ht="22.5" customHeight="1" x14ac:dyDescent="0.25">
      <c r="A287" s="1358" t="s">
        <v>194</v>
      </c>
      <c r="B287" s="780" t="s">
        <v>196</v>
      </c>
      <c r="C287" s="1183"/>
      <c r="D287" s="1183"/>
      <c r="E287" s="1183"/>
      <c r="F287" s="1183">
        <v>82</v>
      </c>
      <c r="G287" s="807"/>
      <c r="H287" s="807"/>
      <c r="I287" s="1326" t="s">
        <v>20</v>
      </c>
      <c r="J287" s="52">
        <f>L287</f>
        <v>12299.37</v>
      </c>
      <c r="K287" s="52"/>
      <c r="L287" s="3">
        <f>L289</f>
        <v>12299.37</v>
      </c>
      <c r="M287" s="3">
        <f t="shared" ref="M287:AO287" si="167">M289</f>
        <v>0</v>
      </c>
      <c r="N287" s="3">
        <f t="shared" si="167"/>
        <v>0</v>
      </c>
      <c r="O287" s="3">
        <f t="shared" si="167"/>
        <v>5371.98</v>
      </c>
      <c r="P287" s="3">
        <f t="shared" si="167"/>
        <v>0</v>
      </c>
      <c r="Q287" s="3">
        <f>Q288+Q289</f>
        <v>1818.26</v>
      </c>
      <c r="R287" s="3">
        <f t="shared" ref="R287:AA287" si="168">R288+R289</f>
        <v>0</v>
      </c>
      <c r="S287" s="3">
        <f t="shared" si="168"/>
        <v>0</v>
      </c>
      <c r="T287" s="3">
        <f t="shared" si="168"/>
        <v>0</v>
      </c>
      <c r="U287" s="3">
        <f t="shared" si="168"/>
        <v>0</v>
      </c>
      <c r="V287" s="3">
        <f t="shared" si="168"/>
        <v>0</v>
      </c>
      <c r="W287" s="3">
        <f t="shared" si="168"/>
        <v>0</v>
      </c>
      <c r="X287" s="3">
        <f t="shared" si="168"/>
        <v>0</v>
      </c>
      <c r="Y287" s="3">
        <f t="shared" si="168"/>
        <v>0</v>
      </c>
      <c r="Z287" s="3">
        <f t="shared" si="168"/>
        <v>0</v>
      </c>
      <c r="AA287" s="3">
        <f t="shared" si="168"/>
        <v>1870</v>
      </c>
      <c r="AB287" s="3">
        <f t="shared" si="167"/>
        <v>0</v>
      </c>
      <c r="AC287" s="3">
        <f t="shared" si="167"/>
        <v>0</v>
      </c>
      <c r="AD287" s="3">
        <f t="shared" si="167"/>
        <v>0</v>
      </c>
      <c r="AE287" s="3">
        <f t="shared" si="167"/>
        <v>0</v>
      </c>
      <c r="AF287" s="3">
        <f t="shared" si="167"/>
        <v>0</v>
      </c>
      <c r="AG287" s="3">
        <f t="shared" si="167"/>
        <v>0</v>
      </c>
      <c r="AH287" s="3">
        <f t="shared" si="167"/>
        <v>0</v>
      </c>
      <c r="AI287" s="3">
        <f t="shared" si="167"/>
        <v>0</v>
      </c>
      <c r="AJ287" s="3">
        <f t="shared" si="167"/>
        <v>0</v>
      </c>
      <c r="AK287" s="3">
        <f t="shared" si="167"/>
        <v>0</v>
      </c>
      <c r="AL287" s="3">
        <f t="shared" si="167"/>
        <v>0</v>
      </c>
      <c r="AM287" s="3">
        <f t="shared" si="167"/>
        <v>0</v>
      </c>
      <c r="AN287" s="3">
        <f t="shared" si="167"/>
        <v>0</v>
      </c>
      <c r="AO287" s="3">
        <f t="shared" si="167"/>
        <v>0</v>
      </c>
      <c r="AP287" s="834"/>
      <c r="AQ287" s="95">
        <v>0</v>
      </c>
    </row>
    <row r="288" spans="1:43" ht="15.75" customHeight="1" x14ac:dyDescent="0.25">
      <c r="A288" s="1359"/>
      <c r="B288" s="1" t="s">
        <v>39</v>
      </c>
      <c r="C288" s="1188"/>
      <c r="D288" s="1188"/>
      <c r="E288" s="1188"/>
      <c r="F288" s="1188"/>
      <c r="G288" s="1179"/>
      <c r="H288" s="1179"/>
      <c r="I288" s="1327"/>
      <c r="J288" s="6"/>
      <c r="K288" s="6"/>
      <c r="L288" s="47"/>
      <c r="M288" s="47"/>
      <c r="N288" s="47"/>
      <c r="O288" s="47"/>
      <c r="P288" s="47">
        <f>R288</f>
        <v>0</v>
      </c>
      <c r="Q288" s="47">
        <f>1205.01+613.25</f>
        <v>1818.26</v>
      </c>
      <c r="R288" s="47">
        <f>S288</f>
        <v>0</v>
      </c>
      <c r="S288" s="47">
        <v>0</v>
      </c>
      <c r="T288" s="47"/>
      <c r="U288" s="47"/>
      <c r="V288" s="47"/>
      <c r="W288" s="47"/>
      <c r="X288" s="47"/>
      <c r="Y288" s="47"/>
      <c r="Z288" s="47"/>
      <c r="AA288" s="47">
        <v>1870</v>
      </c>
      <c r="AB288" s="47">
        <v>0</v>
      </c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19"/>
      <c r="AQ288" s="47"/>
    </row>
    <row r="289" spans="1:79" ht="19.5" customHeight="1" x14ac:dyDescent="0.25">
      <c r="A289" s="1361"/>
      <c r="B289" s="1" t="s">
        <v>213</v>
      </c>
      <c r="C289" s="1187"/>
      <c r="D289" s="1187"/>
      <c r="E289" s="1187"/>
      <c r="F289" s="1187"/>
      <c r="G289" s="1179">
        <v>2024</v>
      </c>
      <c r="H289" s="1179">
        <v>2029</v>
      </c>
      <c r="I289" s="1328"/>
      <c r="J289" s="6">
        <f>L289</f>
        <v>12299.37</v>
      </c>
      <c r="K289" s="6"/>
      <c r="L289" s="47">
        <v>12299.37</v>
      </c>
      <c r="M289" s="47">
        <v>0</v>
      </c>
      <c r="N289" s="47">
        <v>0</v>
      </c>
      <c r="O289" s="47">
        <v>5371.98</v>
      </c>
      <c r="P289" s="47">
        <v>0</v>
      </c>
      <c r="Q289" s="47">
        <v>0</v>
      </c>
      <c r="R289" s="47">
        <v>0</v>
      </c>
      <c r="S289" s="47">
        <v>0</v>
      </c>
      <c r="T289" s="47">
        <v>0</v>
      </c>
      <c r="U289" s="47">
        <v>0</v>
      </c>
      <c r="V289" s="47">
        <v>0</v>
      </c>
      <c r="W289" s="47">
        <v>0</v>
      </c>
      <c r="X289" s="47">
        <v>0</v>
      </c>
      <c r="Y289" s="47">
        <v>0</v>
      </c>
      <c r="Z289" s="96"/>
      <c r="AA289" s="47">
        <v>0</v>
      </c>
      <c r="AB289" s="47">
        <v>0</v>
      </c>
      <c r="AC289" s="47">
        <v>0</v>
      </c>
      <c r="AD289" s="47">
        <v>0</v>
      </c>
      <c r="AE289" s="47"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19"/>
      <c r="AQ289" s="96"/>
    </row>
    <row r="290" spans="1:79" s="327" customFormat="1" ht="24" customHeight="1" x14ac:dyDescent="0.25">
      <c r="A290" s="1358" t="s">
        <v>195</v>
      </c>
      <c r="B290" s="780" t="s">
        <v>197</v>
      </c>
      <c r="C290" s="1183"/>
      <c r="D290" s="1183"/>
      <c r="E290" s="1183"/>
      <c r="F290" s="1183">
        <v>83</v>
      </c>
      <c r="G290" s="807"/>
      <c r="H290" s="807"/>
      <c r="I290" s="1176"/>
      <c r="J290" s="52">
        <f>L290</f>
        <v>264150.86</v>
      </c>
      <c r="K290" s="52"/>
      <c r="L290" s="3">
        <f t="shared" ref="L290:Z290" si="169">L291+L295</f>
        <v>264150.86</v>
      </c>
      <c r="M290" s="3">
        <f t="shared" si="169"/>
        <v>263850.07</v>
      </c>
      <c r="N290" s="3">
        <f t="shared" si="169"/>
        <v>263850.07</v>
      </c>
      <c r="O290" s="3">
        <f t="shared" si="169"/>
        <v>263850.07</v>
      </c>
      <c r="P290" s="3">
        <f t="shared" si="169"/>
        <v>3.4</v>
      </c>
      <c r="Q290" s="3">
        <f t="shared" si="169"/>
        <v>99541.70541000001</v>
      </c>
      <c r="R290" s="3">
        <f t="shared" si="169"/>
        <v>21705.95</v>
      </c>
      <c r="S290" s="3">
        <f t="shared" si="169"/>
        <v>21705.95</v>
      </c>
      <c r="T290" s="3">
        <f t="shared" si="169"/>
        <v>21705.95</v>
      </c>
      <c r="U290" s="3">
        <f t="shared" si="169"/>
        <v>21709.350000000002</v>
      </c>
      <c r="V290" s="3">
        <f t="shared" si="169"/>
        <v>21705.95</v>
      </c>
      <c r="W290" s="3">
        <f t="shared" si="169"/>
        <v>21705.95</v>
      </c>
      <c r="X290" s="3">
        <f t="shared" si="169"/>
        <v>21705.95</v>
      </c>
      <c r="Y290" s="3">
        <f t="shared" si="169"/>
        <v>21705.95</v>
      </c>
      <c r="Z290" s="3">
        <f t="shared" si="169"/>
        <v>21705.95</v>
      </c>
      <c r="AA290" s="3">
        <f>AA291+AA295</f>
        <v>114314.38928</v>
      </c>
      <c r="AB290" s="3">
        <f>AB291+AB295</f>
        <v>17522.268</v>
      </c>
      <c r="AC290" s="3">
        <f>AC291+AC295</f>
        <v>17119.198000000004</v>
      </c>
      <c r="AD290" s="3">
        <f t="shared" ref="AD290:AO290" si="170">AD291</f>
        <v>63735.476889999998</v>
      </c>
      <c r="AE290" s="3">
        <f t="shared" si="170"/>
        <v>0</v>
      </c>
      <c r="AF290" s="3">
        <f t="shared" si="170"/>
        <v>0</v>
      </c>
      <c r="AG290" s="3">
        <f t="shared" si="170"/>
        <v>0</v>
      </c>
      <c r="AH290" s="3">
        <f t="shared" si="170"/>
        <v>0</v>
      </c>
      <c r="AI290" s="3">
        <f t="shared" si="170"/>
        <v>0</v>
      </c>
      <c r="AJ290" s="3">
        <f t="shared" si="170"/>
        <v>0</v>
      </c>
      <c r="AK290" s="3">
        <f t="shared" si="170"/>
        <v>0</v>
      </c>
      <c r="AL290" s="3">
        <f t="shared" si="170"/>
        <v>0</v>
      </c>
      <c r="AM290" s="3">
        <v>7.79</v>
      </c>
      <c r="AN290" s="3">
        <f t="shared" si="170"/>
        <v>0</v>
      </c>
      <c r="AO290" s="3">
        <f t="shared" si="170"/>
        <v>0</v>
      </c>
      <c r="AP290" s="834"/>
      <c r="AQ290" s="95">
        <f>116.245</f>
        <v>116.245</v>
      </c>
      <c r="AR290" s="835"/>
    </row>
    <row r="291" spans="1:79" ht="14.25" customHeight="1" x14ac:dyDescent="0.25">
      <c r="A291" s="1359"/>
      <c r="B291" s="1" t="s">
        <v>213</v>
      </c>
      <c r="C291" s="1187"/>
      <c r="D291" s="1187"/>
      <c r="E291" s="1187"/>
      <c r="F291" s="1187"/>
      <c r="G291" s="1179">
        <v>2026</v>
      </c>
      <c r="H291" s="1179">
        <v>2033</v>
      </c>
      <c r="I291" s="1179" t="s">
        <v>20</v>
      </c>
      <c r="J291" s="6">
        <f>L291</f>
        <v>300.79000000000002</v>
      </c>
      <c r="K291" s="6"/>
      <c r="L291" s="47">
        <v>300.79000000000002</v>
      </c>
      <c r="M291" s="47">
        <v>0</v>
      </c>
      <c r="N291" s="47">
        <v>0</v>
      </c>
      <c r="O291" s="47">
        <v>0</v>
      </c>
      <c r="P291" s="47">
        <v>3.4</v>
      </c>
      <c r="Q291" s="47">
        <f>SUM(Q292:Q294)</f>
        <v>133.19185999999999</v>
      </c>
      <c r="R291" s="47">
        <f t="shared" ref="R291:AA291" si="171">SUM(R292:R294)</f>
        <v>0</v>
      </c>
      <c r="S291" s="47">
        <f t="shared" si="171"/>
        <v>0</v>
      </c>
      <c r="T291" s="47">
        <f t="shared" si="171"/>
        <v>0</v>
      </c>
      <c r="U291" s="47">
        <f t="shared" si="171"/>
        <v>3.4</v>
      </c>
      <c r="V291" s="47">
        <f t="shared" si="171"/>
        <v>0</v>
      </c>
      <c r="W291" s="47">
        <f t="shared" si="171"/>
        <v>0</v>
      </c>
      <c r="X291" s="47">
        <f t="shared" si="171"/>
        <v>0</v>
      </c>
      <c r="Y291" s="47">
        <f t="shared" si="171"/>
        <v>0</v>
      </c>
      <c r="Z291" s="47">
        <f t="shared" si="171"/>
        <v>0</v>
      </c>
      <c r="AA291" s="47">
        <f t="shared" si="171"/>
        <v>133.19202999999999</v>
      </c>
      <c r="AB291" s="47">
        <v>0</v>
      </c>
      <c r="AC291" s="47">
        <v>0</v>
      </c>
      <c r="AD291" s="47">
        <f>SUM(AD292:AD295)</f>
        <v>63735.476889999998</v>
      </c>
      <c r="AE291" s="47">
        <f>SUM(AE292:AE295)</f>
        <v>0</v>
      </c>
      <c r="AF291" s="47">
        <v>0</v>
      </c>
      <c r="AG291" s="47">
        <v>0</v>
      </c>
      <c r="AH291" s="47">
        <v>0</v>
      </c>
      <c r="AI291" s="47">
        <v>0</v>
      </c>
      <c r="AJ291" s="47">
        <v>0</v>
      </c>
      <c r="AK291" s="47">
        <v>0</v>
      </c>
      <c r="AL291" s="47">
        <v>0</v>
      </c>
      <c r="AM291" s="47">
        <v>0</v>
      </c>
      <c r="AN291" s="47">
        <v>0</v>
      </c>
      <c r="AO291" s="47">
        <v>0</v>
      </c>
      <c r="AP291" s="419"/>
      <c r="AQ291" s="96"/>
      <c r="AR291" s="600"/>
      <c r="AS291" s="600"/>
      <c r="AT291" s="600"/>
      <c r="AU291" s="600"/>
      <c r="AV291" s="600"/>
      <c r="AW291" s="600"/>
      <c r="AX291" s="600"/>
      <c r="AY291" s="600"/>
      <c r="AZ291" s="600"/>
      <c r="BA291" s="600"/>
      <c r="BB291" s="600"/>
      <c r="BC291" s="600"/>
      <c r="BD291" s="600"/>
      <c r="BE291" s="600"/>
      <c r="BF291" s="600"/>
      <c r="BG291" s="600"/>
      <c r="BH291" s="600"/>
      <c r="BI291" s="600"/>
      <c r="BJ291" s="600"/>
      <c r="BK291" s="600"/>
      <c r="BL291" s="600"/>
      <c r="BM291" s="600"/>
      <c r="BN291" s="600"/>
      <c r="BO291" s="600"/>
      <c r="BP291" s="600"/>
      <c r="BQ291" s="600"/>
      <c r="BR291" s="600"/>
      <c r="BS291" s="600"/>
      <c r="BT291" s="600"/>
      <c r="BU291" s="600"/>
      <c r="BV291" s="600"/>
      <c r="BW291" s="600"/>
      <c r="BX291" s="600"/>
      <c r="BY291" s="600"/>
      <c r="BZ291" s="600"/>
      <c r="CA291" s="600"/>
    </row>
    <row r="292" spans="1:79" s="266" customFormat="1" ht="15" customHeight="1" x14ac:dyDescent="0.25">
      <c r="A292" s="1664"/>
      <c r="B292" s="92" t="s">
        <v>454</v>
      </c>
      <c r="C292" s="653"/>
      <c r="D292" s="653"/>
      <c r="E292" s="653"/>
      <c r="F292" s="653"/>
      <c r="G292" s="262"/>
      <c r="H292" s="262"/>
      <c r="I292" s="368"/>
      <c r="J292" s="442"/>
      <c r="K292" s="442"/>
      <c r="L292" s="268"/>
      <c r="M292" s="268"/>
      <c r="N292" s="268"/>
      <c r="O292" s="268"/>
      <c r="P292" s="268">
        <f>R292</f>
        <v>0</v>
      </c>
      <c r="Q292" s="268">
        <v>10.39</v>
      </c>
      <c r="R292" s="268">
        <f>S292</f>
        <v>0</v>
      </c>
      <c r="S292" s="268">
        <v>0</v>
      </c>
      <c r="T292" s="268"/>
      <c r="U292" s="268"/>
      <c r="V292" s="268"/>
      <c r="W292" s="268"/>
      <c r="X292" s="268"/>
      <c r="Y292" s="268"/>
      <c r="Z292" s="268"/>
      <c r="AA292" s="96">
        <v>10.390169999999999</v>
      </c>
      <c r="AB292" s="268">
        <v>0</v>
      </c>
      <c r="AC292" s="268"/>
      <c r="AD292" s="268"/>
      <c r="AE292" s="268"/>
      <c r="AF292" s="268"/>
      <c r="AG292" s="268"/>
      <c r="AH292" s="268"/>
      <c r="AI292" s="268"/>
      <c r="AJ292" s="268"/>
      <c r="AK292" s="268"/>
      <c r="AL292" s="268"/>
      <c r="AM292" s="268"/>
      <c r="AN292" s="268"/>
      <c r="AO292" s="268"/>
      <c r="AP292" s="418"/>
      <c r="AQ292" s="268"/>
      <c r="AR292" s="602"/>
      <c r="AS292" s="602"/>
      <c r="AT292" s="602"/>
      <c r="AU292" s="602"/>
      <c r="AV292" s="602"/>
      <c r="AW292" s="602"/>
      <c r="AX292" s="602"/>
      <c r="AY292" s="602"/>
      <c r="AZ292" s="602"/>
      <c r="BA292" s="602"/>
      <c r="BB292" s="602"/>
      <c r="BC292" s="602"/>
      <c r="BD292" s="602"/>
      <c r="BE292" s="602"/>
      <c r="BF292" s="602"/>
      <c r="BG292" s="602"/>
      <c r="BH292" s="602"/>
      <c r="BI292" s="602"/>
      <c r="BJ292" s="602"/>
      <c r="BK292" s="602"/>
      <c r="BL292" s="602"/>
      <c r="BM292" s="602"/>
      <c r="BN292" s="602"/>
      <c r="BO292" s="602"/>
      <c r="BP292" s="602"/>
      <c r="BQ292" s="602"/>
      <c r="BR292" s="602"/>
      <c r="BS292" s="602"/>
      <c r="BT292" s="602"/>
      <c r="BU292" s="602"/>
      <c r="BV292" s="602"/>
      <c r="BW292" s="602"/>
      <c r="BX292" s="602"/>
      <c r="BY292" s="602"/>
      <c r="BZ292" s="602"/>
      <c r="CA292" s="602"/>
    </row>
    <row r="293" spans="1:79" s="544" customFormat="1" x14ac:dyDescent="0.25">
      <c r="A293" s="1664"/>
      <c r="B293" s="102" t="s">
        <v>152</v>
      </c>
      <c r="C293" s="576"/>
      <c r="D293" s="576"/>
      <c r="E293" s="576"/>
      <c r="F293" s="576"/>
      <c r="G293" s="104"/>
      <c r="H293" s="104"/>
      <c r="I293" s="443"/>
      <c r="J293" s="106"/>
      <c r="K293" s="106"/>
      <c r="L293" s="96"/>
      <c r="M293" s="96"/>
      <c r="N293" s="96"/>
      <c r="O293" s="96"/>
      <c r="P293" s="96"/>
      <c r="Q293" s="96">
        <v>60</v>
      </c>
      <c r="R293" s="96"/>
      <c r="S293" s="96">
        <v>0</v>
      </c>
      <c r="T293" s="96"/>
      <c r="U293" s="96">
        <v>3.4</v>
      </c>
      <c r="V293" s="96"/>
      <c r="W293" s="96"/>
      <c r="X293" s="96"/>
      <c r="Y293" s="96"/>
      <c r="Z293" s="96"/>
      <c r="AA293" s="96">
        <v>60</v>
      </c>
      <c r="AB293" s="96">
        <v>0</v>
      </c>
      <c r="AC293" s="96">
        <v>3.4</v>
      </c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421"/>
      <c r="AQ293" s="96"/>
      <c r="AR293" s="602"/>
      <c r="AS293" s="602"/>
      <c r="AT293" s="602"/>
      <c r="AU293" s="602"/>
      <c r="AV293" s="602"/>
      <c r="AW293" s="602"/>
      <c r="AX293" s="602"/>
      <c r="AY293" s="602"/>
      <c r="AZ293" s="602"/>
      <c r="BA293" s="602"/>
      <c r="BB293" s="602"/>
      <c r="BC293" s="602"/>
      <c r="BD293" s="602"/>
      <c r="BE293" s="602"/>
      <c r="BF293" s="602"/>
      <c r="BG293" s="602"/>
      <c r="BH293" s="602"/>
      <c r="BI293" s="602"/>
      <c r="BJ293" s="602"/>
      <c r="BK293" s="602"/>
      <c r="BL293" s="602"/>
      <c r="BM293" s="602"/>
      <c r="BN293" s="602"/>
      <c r="BO293" s="602"/>
      <c r="BP293" s="602"/>
      <c r="BQ293" s="602"/>
      <c r="BR293" s="602"/>
      <c r="BS293" s="602"/>
      <c r="BT293" s="602"/>
      <c r="BU293" s="602"/>
      <c r="BV293" s="602"/>
      <c r="BW293" s="602"/>
      <c r="BX293" s="602"/>
      <c r="BY293" s="602"/>
      <c r="BZ293" s="602"/>
      <c r="CA293" s="622"/>
    </row>
    <row r="294" spans="1:79" s="48" customFormat="1" ht="12.75" customHeight="1" x14ac:dyDescent="0.25">
      <c r="A294" s="1664"/>
      <c r="B294" s="102" t="s">
        <v>470</v>
      </c>
      <c r="C294" s="576"/>
      <c r="D294" s="576"/>
      <c r="E294" s="576"/>
      <c r="F294" s="576"/>
      <c r="G294" s="104"/>
      <c r="H294" s="104"/>
      <c r="I294" s="619"/>
      <c r="J294" s="106"/>
      <c r="K294" s="106"/>
      <c r="L294" s="96"/>
      <c r="M294" s="96"/>
      <c r="N294" s="96"/>
      <c r="O294" s="96"/>
      <c r="P294" s="96">
        <f>R294+T294</f>
        <v>0</v>
      </c>
      <c r="Q294" s="96">
        <v>62.801859999999998</v>
      </c>
      <c r="R294" s="96"/>
      <c r="S294" s="96"/>
      <c r="T294" s="96">
        <v>0</v>
      </c>
      <c r="U294" s="96">
        <v>0</v>
      </c>
      <c r="V294" s="96">
        <f>W294</f>
        <v>0</v>
      </c>
      <c r="W294" s="96">
        <v>0</v>
      </c>
      <c r="X294" s="96"/>
      <c r="Y294" s="96">
        <v>0</v>
      </c>
      <c r="Z294" s="96"/>
      <c r="AA294" s="96">
        <v>62.801859999999998</v>
      </c>
      <c r="AB294" s="96"/>
      <c r="AC294" s="96">
        <v>0</v>
      </c>
      <c r="AD294" s="96">
        <v>0</v>
      </c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0"/>
      <c r="AS294" s="600"/>
      <c r="AT294" s="600"/>
      <c r="AU294" s="600"/>
      <c r="AV294" s="600"/>
      <c r="AW294" s="600"/>
      <c r="AX294" s="600"/>
      <c r="AY294" s="600"/>
      <c r="AZ294" s="600"/>
      <c r="BA294" s="600"/>
      <c r="BB294" s="600"/>
      <c r="BC294" s="600"/>
      <c r="BD294" s="600"/>
      <c r="BE294" s="600"/>
      <c r="BF294" s="600"/>
      <c r="BG294" s="600"/>
      <c r="BH294" s="600"/>
      <c r="BI294" s="600"/>
      <c r="BJ294" s="600"/>
      <c r="BK294" s="600"/>
      <c r="BL294" s="600"/>
      <c r="BM294" s="600"/>
      <c r="BN294" s="600"/>
      <c r="BO294" s="600"/>
      <c r="BP294" s="600"/>
      <c r="BQ294" s="600"/>
      <c r="BR294" s="600"/>
      <c r="BS294" s="600"/>
      <c r="BT294" s="600"/>
      <c r="BU294" s="600"/>
      <c r="BV294" s="600"/>
      <c r="BW294" s="600"/>
      <c r="BX294" s="600"/>
      <c r="BY294" s="600"/>
      <c r="BZ294" s="600"/>
      <c r="CA294" s="621"/>
    </row>
    <row r="295" spans="1:79" s="48" customFormat="1" ht="15.75" customHeight="1" x14ac:dyDescent="0.25">
      <c r="A295" s="1664"/>
      <c r="B295" s="1" t="s">
        <v>415</v>
      </c>
      <c r="C295" s="1188"/>
      <c r="D295" s="1188"/>
      <c r="E295" s="1188"/>
      <c r="F295" s="1188"/>
      <c r="G295" s="1179"/>
      <c r="H295" s="1179"/>
      <c r="I295" s="23" t="s">
        <v>10</v>
      </c>
      <c r="J295" s="6"/>
      <c r="K295" s="6"/>
      <c r="L295" s="47">
        <v>263850.07</v>
      </c>
      <c r="M295" s="47">
        <v>263850.07</v>
      </c>
      <c r="N295" s="47">
        <v>263850.07</v>
      </c>
      <c r="O295" s="47">
        <v>263850.07</v>
      </c>
      <c r="P295" s="47">
        <v>0</v>
      </c>
      <c r="Q295" s="47">
        <f>SUM(Q296:Q299)</f>
        <v>99408.513550000003</v>
      </c>
      <c r="R295" s="47">
        <v>21705.95</v>
      </c>
      <c r="S295" s="47">
        <v>21705.95</v>
      </c>
      <c r="T295" s="47">
        <v>21705.95</v>
      </c>
      <c r="U295" s="47">
        <v>21705.95</v>
      </c>
      <c r="V295" s="47">
        <v>21705.95</v>
      </c>
      <c r="W295" s="47">
        <v>21705.95</v>
      </c>
      <c r="X295" s="47">
        <v>21705.95</v>
      </c>
      <c r="Y295" s="47">
        <v>21705.95</v>
      </c>
      <c r="Z295" s="47">
        <v>21705.95</v>
      </c>
      <c r="AA295" s="47">
        <f>SUM(AA296:AA299)</f>
        <v>114181.19725</v>
      </c>
      <c r="AB295" s="47">
        <f t="shared" ref="AB295:AJ295" si="172">SUM(AB296:AB299)</f>
        <v>17522.268</v>
      </c>
      <c r="AC295" s="47">
        <f t="shared" si="172"/>
        <v>17119.198000000004</v>
      </c>
      <c r="AD295" s="47">
        <f t="shared" si="172"/>
        <v>63735.476889999998</v>
      </c>
      <c r="AE295" s="47">
        <f t="shared" si="172"/>
        <v>0</v>
      </c>
      <c r="AF295" s="47">
        <f t="shared" si="172"/>
        <v>0</v>
      </c>
      <c r="AG295" s="47">
        <f t="shared" si="172"/>
        <v>0</v>
      </c>
      <c r="AH295" s="47">
        <f t="shared" si="172"/>
        <v>0</v>
      </c>
      <c r="AI295" s="47">
        <f t="shared" si="172"/>
        <v>0</v>
      </c>
      <c r="AJ295" s="47">
        <f t="shared" si="172"/>
        <v>0</v>
      </c>
      <c r="AK295" s="47">
        <f>AK296</f>
        <v>0</v>
      </c>
      <c r="AL295" s="47">
        <v>0</v>
      </c>
      <c r="AM295" s="47">
        <v>0</v>
      </c>
      <c r="AN295" s="47">
        <v>0</v>
      </c>
      <c r="AO295" s="47">
        <v>0</v>
      </c>
      <c r="AP295" s="419"/>
      <c r="AQ295" s="96"/>
      <c r="AR295" s="600"/>
      <c r="AS295" s="600"/>
      <c r="AT295" s="600"/>
      <c r="AU295" s="600"/>
      <c r="AV295" s="600"/>
      <c r="AW295" s="600"/>
      <c r="AX295" s="600"/>
      <c r="AY295" s="600"/>
      <c r="AZ295" s="600"/>
      <c r="BA295" s="600"/>
      <c r="BB295" s="600"/>
      <c r="BC295" s="600"/>
      <c r="BD295" s="600"/>
      <c r="BE295" s="600"/>
      <c r="BF295" s="600"/>
      <c r="BG295" s="600"/>
      <c r="BH295" s="600"/>
      <c r="BI295" s="600"/>
      <c r="BJ295" s="600"/>
      <c r="BK295" s="600"/>
      <c r="BL295" s="600"/>
      <c r="BM295" s="600"/>
      <c r="BN295" s="600"/>
      <c r="BO295" s="600"/>
      <c r="BP295" s="600"/>
      <c r="BQ295" s="600"/>
      <c r="BR295" s="600"/>
      <c r="BS295" s="600"/>
      <c r="BT295" s="600"/>
      <c r="BU295" s="600"/>
      <c r="BV295" s="600"/>
      <c r="BW295" s="600"/>
      <c r="BX295" s="600"/>
      <c r="BY295" s="600"/>
      <c r="BZ295" s="600"/>
      <c r="CA295" s="621"/>
    </row>
    <row r="296" spans="1:79" s="544" customFormat="1" x14ac:dyDescent="0.25">
      <c r="A296" s="1664"/>
      <c r="B296" s="102" t="s">
        <v>304</v>
      </c>
      <c r="C296" s="576"/>
      <c r="D296" s="576"/>
      <c r="E296" s="576"/>
      <c r="F296" s="576"/>
      <c r="G296" s="104"/>
      <c r="H296" s="104"/>
      <c r="I296" s="443"/>
      <c r="J296" s="106"/>
      <c r="K296" s="106"/>
      <c r="L296" s="96"/>
      <c r="M296" s="96"/>
      <c r="N296" s="96"/>
      <c r="O296" s="96"/>
      <c r="P296" s="96"/>
      <c r="Q296" s="96">
        <f>21662.59874+8211.12924+16706.17315+24031.27674+18770.21849</f>
        <v>89381.396359999999</v>
      </c>
      <c r="R296" s="96"/>
      <c r="S296" s="96">
        <v>17505.331999999999</v>
      </c>
      <c r="T296" s="96"/>
      <c r="U296" s="96">
        <v>17063.596000000001</v>
      </c>
      <c r="V296" s="96"/>
      <c r="W296" s="96">
        <v>63608.259890000001</v>
      </c>
      <c r="X296" s="96"/>
      <c r="Y296" s="96"/>
      <c r="Z296" s="96"/>
      <c r="AA296" s="96">
        <f>21662.59874+8211.12924+16706.17315+24031.27674+18770.21849</f>
        <v>89381.396359999999</v>
      </c>
      <c r="AB296" s="96">
        <v>17505.331999999999</v>
      </c>
      <c r="AC296" s="96">
        <v>17063.596000000001</v>
      </c>
      <c r="AD296" s="96">
        <v>63608.259890000001</v>
      </c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421"/>
      <c r="AQ296" s="96"/>
      <c r="AR296" s="602"/>
      <c r="AS296" s="602"/>
      <c r="AT296" s="602"/>
      <c r="AU296" s="602"/>
      <c r="AV296" s="602"/>
      <c r="AW296" s="602"/>
      <c r="AX296" s="602"/>
      <c r="AY296" s="602"/>
      <c r="AZ296" s="602"/>
      <c r="BA296" s="602"/>
      <c r="BB296" s="602"/>
      <c r="BC296" s="602"/>
      <c r="BD296" s="602"/>
      <c r="BE296" s="602"/>
      <c r="BF296" s="602"/>
      <c r="BG296" s="602"/>
      <c r="BH296" s="602"/>
      <c r="BI296" s="602"/>
      <c r="BJ296" s="602"/>
      <c r="BK296" s="602"/>
      <c r="BL296" s="602"/>
      <c r="BM296" s="602"/>
      <c r="BN296" s="602"/>
      <c r="BO296" s="602"/>
      <c r="BP296" s="602"/>
      <c r="BQ296" s="602"/>
      <c r="BR296" s="602"/>
      <c r="BS296" s="602"/>
      <c r="BT296" s="602"/>
      <c r="BU296" s="602"/>
      <c r="BV296" s="602"/>
      <c r="BW296" s="602"/>
      <c r="BX296" s="602"/>
      <c r="BY296" s="602"/>
      <c r="BZ296" s="602"/>
      <c r="CA296" s="622"/>
    </row>
    <row r="297" spans="1:79" s="544" customFormat="1" x14ac:dyDescent="0.25">
      <c r="A297" s="1664"/>
      <c r="B297" s="102" t="s">
        <v>305</v>
      </c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f>43.3252+16.42226+33.41235+48.06255+37.44108</f>
        <v>178.66344000000001</v>
      </c>
      <c r="R297" s="96"/>
      <c r="S297" s="96">
        <v>16.936</v>
      </c>
      <c r="T297" s="96"/>
      <c r="U297" s="96">
        <v>35.421999999999997</v>
      </c>
      <c r="V297" s="96"/>
      <c r="W297" s="96">
        <f>127.21652+16.78083</f>
        <v>143.99735000000001</v>
      </c>
      <c r="X297" s="96"/>
      <c r="Y297" s="96"/>
      <c r="Z297" s="96"/>
      <c r="AA297" s="96">
        <f>43.3252+16.42226+33.41235+48.06255+37.44108</f>
        <v>178.66344000000001</v>
      </c>
      <c r="AB297" s="96">
        <v>16.936</v>
      </c>
      <c r="AC297" s="96">
        <v>52.201999999999998</v>
      </c>
      <c r="AD297" s="96">
        <v>127.217</v>
      </c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544" customFormat="1" x14ac:dyDescent="0.25">
      <c r="A298" s="1664"/>
      <c r="B298" s="102" t="s">
        <v>317</v>
      </c>
      <c r="C298" s="576"/>
      <c r="D298" s="576"/>
      <c r="E298" s="576"/>
      <c r="F298" s="576"/>
      <c r="G298" s="104"/>
      <c r="H298" s="104"/>
      <c r="I298" s="443"/>
      <c r="J298" s="106"/>
      <c r="K298" s="106"/>
      <c r="L298" s="96"/>
      <c r="M298" s="96"/>
      <c r="N298" s="96"/>
      <c r="O298" s="96"/>
      <c r="P298" s="96"/>
      <c r="Q298" s="96">
        <f>7386.34+2462.11375</f>
        <v>9848.4537500000006</v>
      </c>
      <c r="R298" s="96"/>
      <c r="S298" s="96"/>
      <c r="T298" s="96"/>
      <c r="U298" s="96">
        <v>9848.4549999999999</v>
      </c>
      <c r="V298" s="96"/>
      <c r="W298" s="96"/>
      <c r="X298" s="96"/>
      <c r="Y298" s="96"/>
      <c r="Z298" s="96"/>
      <c r="AA298" s="96">
        <f>14772.68247+9848.45498</f>
        <v>24621.137450000002</v>
      </c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421"/>
      <c r="AQ298" s="96"/>
      <c r="AR298" s="602"/>
      <c r="AS298" s="602"/>
      <c r="AT298" s="602"/>
      <c r="AU298" s="602"/>
      <c r="AV298" s="602"/>
      <c r="AW298" s="602"/>
      <c r="AX298" s="602"/>
      <c r="AY298" s="602"/>
      <c r="AZ298" s="602"/>
      <c r="BA298" s="602"/>
      <c r="BB298" s="602"/>
      <c r="BC298" s="602"/>
      <c r="BD298" s="602"/>
      <c r="BE298" s="602"/>
      <c r="BF298" s="602"/>
      <c r="BG298" s="602"/>
      <c r="BH298" s="602"/>
      <c r="BI298" s="602"/>
      <c r="BJ298" s="602"/>
      <c r="BK298" s="602"/>
      <c r="BL298" s="602"/>
      <c r="BM298" s="602"/>
      <c r="BN298" s="602"/>
      <c r="BO298" s="602"/>
      <c r="BP298" s="602"/>
      <c r="BQ298" s="602"/>
      <c r="BR298" s="602"/>
      <c r="BS298" s="602"/>
      <c r="BT298" s="602"/>
      <c r="BU298" s="602"/>
      <c r="BV298" s="602"/>
      <c r="BW298" s="602"/>
      <c r="BX298" s="602"/>
      <c r="BY298" s="602"/>
      <c r="BZ298" s="602"/>
      <c r="CA298" s="622"/>
    </row>
    <row r="299" spans="1:79" s="544" customFormat="1" x14ac:dyDescent="0.25">
      <c r="A299" s="1665"/>
      <c r="B299" s="102"/>
      <c r="C299" s="576"/>
      <c r="D299" s="576"/>
      <c r="E299" s="576"/>
      <c r="F299" s="576"/>
      <c r="G299" s="104"/>
      <c r="H299" s="104"/>
      <c r="I299" s="443"/>
      <c r="J299" s="106"/>
      <c r="K299" s="106"/>
      <c r="L299" s="96"/>
      <c r="M299" s="96"/>
      <c r="N299" s="96"/>
      <c r="O299" s="96"/>
      <c r="P299" s="96"/>
      <c r="Q299" s="96">
        <v>0</v>
      </c>
      <c r="R299" s="96"/>
      <c r="S299" s="96">
        <v>0</v>
      </c>
      <c r="T299" s="96"/>
      <c r="U299" s="96">
        <v>3.4</v>
      </c>
      <c r="V299" s="96"/>
      <c r="W299" s="96"/>
      <c r="X299" s="96"/>
      <c r="Y299" s="96"/>
      <c r="Z299" s="96"/>
      <c r="AA299" s="96">
        <v>0</v>
      </c>
      <c r="AB299" s="96">
        <v>0</v>
      </c>
      <c r="AC299" s="96">
        <v>3.4</v>
      </c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421"/>
      <c r="AQ299" s="96"/>
      <c r="AR299" s="602"/>
      <c r="AS299" s="602"/>
      <c r="AT299" s="602"/>
      <c r="AU299" s="602"/>
      <c r="AV299" s="602"/>
      <c r="AW299" s="602"/>
      <c r="AX299" s="602"/>
      <c r="AY299" s="602"/>
      <c r="AZ299" s="602"/>
      <c r="BA299" s="602"/>
      <c r="BB299" s="602"/>
      <c r="BC299" s="602"/>
      <c r="BD299" s="602"/>
      <c r="BE299" s="602"/>
      <c r="BF299" s="602"/>
      <c r="BG299" s="602"/>
      <c r="BH299" s="602"/>
      <c r="BI299" s="602"/>
      <c r="BJ299" s="602"/>
      <c r="BK299" s="602"/>
      <c r="BL299" s="602"/>
      <c r="BM299" s="602"/>
      <c r="BN299" s="602"/>
      <c r="BO299" s="602"/>
      <c r="BP299" s="602"/>
      <c r="BQ299" s="602"/>
      <c r="BR299" s="602"/>
      <c r="BS299" s="602"/>
      <c r="BT299" s="602"/>
      <c r="BU299" s="602"/>
      <c r="BV299" s="602"/>
      <c r="BW299" s="602"/>
      <c r="BX299" s="602"/>
      <c r="BY299" s="602"/>
      <c r="BZ299" s="602"/>
      <c r="CA299" s="622"/>
    </row>
    <row r="300" spans="1:79" s="327" customFormat="1" ht="33" customHeight="1" x14ac:dyDescent="0.25">
      <c r="A300" s="1358" t="s">
        <v>194</v>
      </c>
      <c r="B300" s="780" t="s">
        <v>393</v>
      </c>
      <c r="C300" s="1183"/>
      <c r="D300" s="1183"/>
      <c r="E300" s="1183"/>
      <c r="F300" s="1183">
        <v>82</v>
      </c>
      <c r="G300" s="807"/>
      <c r="H300" s="807"/>
      <c r="I300" s="1326" t="s">
        <v>20</v>
      </c>
      <c r="J300" s="52">
        <f>L300</f>
        <v>12299.37</v>
      </c>
      <c r="K300" s="52"/>
      <c r="L300" s="3">
        <f>L302</f>
        <v>12299.37</v>
      </c>
      <c r="M300" s="3">
        <f t="shared" ref="M300:Y300" si="173">M302</f>
        <v>0</v>
      </c>
      <c r="N300" s="3">
        <f t="shared" si="173"/>
        <v>0</v>
      </c>
      <c r="O300" s="3">
        <f t="shared" si="173"/>
        <v>5371.98</v>
      </c>
      <c r="P300" s="3">
        <f>P301+P302</f>
        <v>2400.44</v>
      </c>
      <c r="Q300" s="3">
        <f t="shared" si="173"/>
        <v>0</v>
      </c>
      <c r="R300" s="3">
        <f t="shared" si="173"/>
        <v>0</v>
      </c>
      <c r="S300" s="3">
        <f t="shared" si="173"/>
        <v>0</v>
      </c>
      <c r="T300" s="3">
        <f t="shared" si="173"/>
        <v>0</v>
      </c>
      <c r="U300" s="3">
        <f t="shared" si="173"/>
        <v>0</v>
      </c>
      <c r="V300" s="3">
        <f t="shared" si="173"/>
        <v>0</v>
      </c>
      <c r="W300" s="3">
        <f t="shared" si="173"/>
        <v>0</v>
      </c>
      <c r="X300" s="3">
        <f t="shared" si="173"/>
        <v>0</v>
      </c>
      <c r="Y300" s="3">
        <f t="shared" si="173"/>
        <v>0</v>
      </c>
      <c r="Z300" s="95">
        <v>0</v>
      </c>
      <c r="AA300" s="3">
        <f t="shared" ref="AA300:AO300" si="174">AA302</f>
        <v>0</v>
      </c>
      <c r="AB300" s="3">
        <f t="shared" si="174"/>
        <v>0</v>
      </c>
      <c r="AC300" s="3">
        <f t="shared" si="174"/>
        <v>0</v>
      </c>
      <c r="AD300" s="3">
        <f t="shared" si="174"/>
        <v>0</v>
      </c>
      <c r="AE300" s="3">
        <f t="shared" si="174"/>
        <v>0</v>
      </c>
      <c r="AF300" s="3">
        <f t="shared" si="174"/>
        <v>0</v>
      </c>
      <c r="AG300" s="3">
        <f t="shared" si="174"/>
        <v>0</v>
      </c>
      <c r="AH300" s="3">
        <f t="shared" si="174"/>
        <v>0</v>
      </c>
      <c r="AI300" s="3">
        <f t="shared" si="174"/>
        <v>0</v>
      </c>
      <c r="AJ300" s="3">
        <f t="shared" si="174"/>
        <v>0</v>
      </c>
      <c r="AK300" s="3">
        <f t="shared" si="174"/>
        <v>0</v>
      </c>
      <c r="AL300" s="3">
        <f t="shared" si="174"/>
        <v>0</v>
      </c>
      <c r="AM300" s="3">
        <f t="shared" si="174"/>
        <v>0</v>
      </c>
      <c r="AN300" s="3">
        <f t="shared" si="174"/>
        <v>0</v>
      </c>
      <c r="AO300" s="3">
        <f t="shared" si="174"/>
        <v>0</v>
      </c>
      <c r="AP300" s="834"/>
      <c r="AQ300" s="95">
        <v>0</v>
      </c>
    </row>
    <row r="301" spans="1:79" ht="15.75" customHeight="1" x14ac:dyDescent="0.25">
      <c r="A301" s="1359"/>
      <c r="B301" s="1" t="s">
        <v>39</v>
      </c>
      <c r="C301" s="1188"/>
      <c r="D301" s="1188"/>
      <c r="E301" s="1188"/>
      <c r="F301" s="1188"/>
      <c r="G301" s="1179"/>
      <c r="H301" s="1179"/>
      <c r="I301" s="1327"/>
      <c r="J301" s="6"/>
      <c r="K301" s="6"/>
      <c r="L301" s="47"/>
      <c r="M301" s="47"/>
      <c r="N301" s="47"/>
      <c r="O301" s="47"/>
      <c r="P301" s="47">
        <v>2400.44</v>
      </c>
      <c r="Q301" s="47">
        <f>S301</f>
        <v>0</v>
      </c>
      <c r="R301" s="47">
        <f>S301</f>
        <v>0</v>
      </c>
      <c r="S301" s="47">
        <v>0</v>
      </c>
      <c r="T301" s="47"/>
      <c r="U301" s="47"/>
      <c r="V301" s="47"/>
      <c r="W301" s="47"/>
      <c r="X301" s="47"/>
      <c r="Y301" s="47"/>
      <c r="Z301" s="47"/>
      <c r="AA301" s="47">
        <v>0</v>
      </c>
      <c r="AB301" s="47">
        <v>0</v>
      </c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19"/>
      <c r="AQ301" s="47"/>
    </row>
    <row r="302" spans="1:79" ht="18.75" customHeight="1" x14ac:dyDescent="0.25">
      <c r="A302" s="1361"/>
      <c r="B302" s="1" t="s">
        <v>213</v>
      </c>
      <c r="C302" s="1187"/>
      <c r="D302" s="1187"/>
      <c r="E302" s="1187"/>
      <c r="F302" s="1187"/>
      <c r="G302" s="1179">
        <v>2024</v>
      </c>
      <c r="H302" s="1179">
        <v>2029</v>
      </c>
      <c r="I302" s="1328"/>
      <c r="J302" s="6">
        <f>L302</f>
        <v>12299.37</v>
      </c>
      <c r="K302" s="6"/>
      <c r="L302" s="47">
        <v>12299.37</v>
      </c>
      <c r="M302" s="47">
        <v>0</v>
      </c>
      <c r="N302" s="47">
        <v>0</v>
      </c>
      <c r="O302" s="47">
        <v>5371.98</v>
      </c>
      <c r="P302" s="47">
        <v>0</v>
      </c>
      <c r="Q302" s="47">
        <v>0</v>
      </c>
      <c r="R302" s="47">
        <v>0</v>
      </c>
      <c r="S302" s="47">
        <v>0</v>
      </c>
      <c r="T302" s="47">
        <v>0</v>
      </c>
      <c r="U302" s="47">
        <v>0</v>
      </c>
      <c r="V302" s="47">
        <v>0</v>
      </c>
      <c r="W302" s="47">
        <v>0</v>
      </c>
      <c r="X302" s="47">
        <v>0</v>
      </c>
      <c r="Y302" s="47">
        <v>0</v>
      </c>
      <c r="Z302" s="96"/>
      <c r="AA302" s="47">
        <v>0</v>
      </c>
      <c r="AB302" s="47">
        <v>0</v>
      </c>
      <c r="AC302" s="47">
        <v>0</v>
      </c>
      <c r="AD302" s="47">
        <v>0</v>
      </c>
      <c r="AE302" s="47">
        <v>0</v>
      </c>
      <c r="AF302" s="47">
        <v>0</v>
      </c>
      <c r="AG302" s="47">
        <v>0</v>
      </c>
      <c r="AH302" s="47">
        <v>0</v>
      </c>
      <c r="AI302" s="47">
        <v>0</v>
      </c>
      <c r="AJ302" s="47">
        <v>0</v>
      </c>
      <c r="AK302" s="47">
        <v>0</v>
      </c>
      <c r="AL302" s="47">
        <v>0</v>
      </c>
      <c r="AM302" s="47">
        <v>0</v>
      </c>
      <c r="AN302" s="47">
        <v>0</v>
      </c>
      <c r="AO302" s="47">
        <v>0</v>
      </c>
      <c r="AP302" s="419"/>
      <c r="AQ302" s="96"/>
    </row>
    <row r="303" spans="1:79" ht="15.75" hidden="1" x14ac:dyDescent="0.25">
      <c r="B303" s="623" t="s">
        <v>96</v>
      </c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4"/>
      <c r="Q303" s="623"/>
      <c r="S303" s="623"/>
      <c r="T303" s="623" t="s">
        <v>97</v>
      </c>
      <c r="U303" s="623"/>
      <c r="V303" s="623"/>
      <c r="W303" s="623"/>
      <c r="AB303" s="623" t="s">
        <v>97</v>
      </c>
      <c r="AO303" s="623"/>
      <c r="AP303" s="623"/>
    </row>
    <row r="304" spans="1:79" ht="15.75" hidden="1" x14ac:dyDescent="0.25">
      <c r="B304" s="623"/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/>
      <c r="U304" s="623"/>
      <c r="AB304" s="623"/>
      <c r="AC304" s="626" t="s">
        <v>98</v>
      </c>
      <c r="AD304" s="623"/>
      <c r="AE304" s="623"/>
      <c r="AF304" s="623"/>
      <c r="AG304" s="623"/>
      <c r="AH304" s="623"/>
      <c r="AI304" s="623"/>
      <c r="AJ304" s="623"/>
      <c r="AK304" s="623"/>
      <c r="AL304" s="623"/>
      <c r="AM304" s="623" t="s">
        <v>99</v>
      </c>
      <c r="AN304" s="623"/>
      <c r="AO304" s="623"/>
      <c r="AP304" s="623"/>
    </row>
    <row r="305" spans="1:43" ht="15.75" hidden="1" x14ac:dyDescent="0.25">
      <c r="B305" s="623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  <c r="O305" s="623"/>
      <c r="P305" s="624"/>
      <c r="Q305" s="623"/>
      <c r="S305" s="623"/>
      <c r="T305" s="623"/>
      <c r="W305" s="623" t="s">
        <v>98</v>
      </c>
      <c r="AB305" s="623"/>
      <c r="AD305" s="623"/>
      <c r="AE305" s="623"/>
      <c r="AF305" s="623"/>
      <c r="AG305" s="623"/>
      <c r="AH305" s="623"/>
      <c r="AI305" s="623"/>
      <c r="AJ305" s="623"/>
      <c r="AK305" s="623"/>
      <c r="AL305" s="623"/>
      <c r="AM305" s="623"/>
      <c r="AN305" s="623"/>
      <c r="AO305" s="623"/>
      <c r="AP305" s="623"/>
    </row>
    <row r="306" spans="1:43" ht="15.75" hidden="1" x14ac:dyDescent="0.25">
      <c r="B306" s="623" t="s">
        <v>94</v>
      </c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  <c r="O306" s="623"/>
      <c r="P306" s="624"/>
      <c r="Q306" s="623"/>
      <c r="S306" s="623"/>
      <c r="T306" s="623" t="s">
        <v>95</v>
      </c>
      <c r="W306" s="623"/>
      <c r="AB306" s="623" t="s">
        <v>95</v>
      </c>
      <c r="AC306" s="626" t="s">
        <v>100</v>
      </c>
      <c r="AD306" s="623"/>
      <c r="AE306" s="623"/>
      <c r="AF306" s="623"/>
      <c r="AG306" s="623"/>
      <c r="AH306" s="623"/>
      <c r="AI306" s="623"/>
      <c r="AJ306" s="623"/>
      <c r="AK306" s="623"/>
      <c r="AL306" s="623"/>
      <c r="AM306" s="623" t="s">
        <v>101</v>
      </c>
      <c r="AN306" s="623"/>
    </row>
    <row r="307" spans="1:43" ht="15.75" hidden="1" x14ac:dyDescent="0.25">
      <c r="W307" s="623"/>
      <c r="AJ307" s="623"/>
    </row>
    <row r="308" spans="1:43" ht="15.75" hidden="1" x14ac:dyDescent="0.25">
      <c r="W308" s="623" t="s">
        <v>100</v>
      </c>
      <c r="AJ308" s="623" t="s">
        <v>101</v>
      </c>
    </row>
    <row r="309" spans="1:43" s="624" customFormat="1" ht="4.5" hidden="1" customHeight="1" x14ac:dyDescent="0.25">
      <c r="B309" s="624" t="s">
        <v>242</v>
      </c>
      <c r="T309" s="624" t="s">
        <v>151</v>
      </c>
      <c r="X309" s="627"/>
      <c r="Y309" s="627"/>
      <c r="Z309" s="627"/>
      <c r="AB309" s="624" t="s">
        <v>151</v>
      </c>
      <c r="AP309" s="628"/>
      <c r="AQ309" s="627"/>
    </row>
    <row r="310" spans="1:43" s="327" customFormat="1" ht="29.25" customHeight="1" x14ac:dyDescent="0.25">
      <c r="A310" s="1358" t="s">
        <v>194</v>
      </c>
      <c r="B310" s="780" t="s">
        <v>394</v>
      </c>
      <c r="C310" s="1183"/>
      <c r="D310" s="1183"/>
      <c r="E310" s="1183"/>
      <c r="F310" s="1183">
        <v>82</v>
      </c>
      <c r="G310" s="807"/>
      <c r="H310" s="807"/>
      <c r="I310" s="1326" t="s">
        <v>20</v>
      </c>
      <c r="J310" s="52">
        <f>L310</f>
        <v>12299.37</v>
      </c>
      <c r="K310" s="52"/>
      <c r="L310" s="3">
        <f>L312</f>
        <v>12299.37</v>
      </c>
      <c r="M310" s="3">
        <f t="shared" ref="M310:Y310" si="175">M312</f>
        <v>0</v>
      </c>
      <c r="N310" s="3">
        <f t="shared" si="175"/>
        <v>0</v>
      </c>
      <c r="O310" s="3">
        <f t="shared" si="175"/>
        <v>5371.98</v>
      </c>
      <c r="P310" s="3">
        <f>P311+P312</f>
        <v>2804.27</v>
      </c>
      <c r="Q310" s="3">
        <f t="shared" si="175"/>
        <v>0</v>
      </c>
      <c r="R310" s="3">
        <f t="shared" si="175"/>
        <v>0</v>
      </c>
      <c r="S310" s="3">
        <f t="shared" si="175"/>
        <v>0</v>
      </c>
      <c r="T310" s="3">
        <f t="shared" si="175"/>
        <v>0</v>
      </c>
      <c r="U310" s="3">
        <f t="shared" si="175"/>
        <v>0</v>
      </c>
      <c r="V310" s="3">
        <f t="shared" si="175"/>
        <v>0</v>
      </c>
      <c r="W310" s="3">
        <f t="shared" si="175"/>
        <v>0</v>
      </c>
      <c r="X310" s="3">
        <f t="shared" si="175"/>
        <v>0</v>
      </c>
      <c r="Y310" s="3">
        <f t="shared" si="175"/>
        <v>0</v>
      </c>
      <c r="Z310" s="95">
        <v>0</v>
      </c>
      <c r="AA310" s="3">
        <f t="shared" ref="AA310:AO310" si="176">AA312</f>
        <v>0</v>
      </c>
      <c r="AB310" s="3">
        <f t="shared" si="176"/>
        <v>0</v>
      </c>
      <c r="AC310" s="3">
        <f t="shared" si="176"/>
        <v>0</v>
      </c>
      <c r="AD310" s="3">
        <f t="shared" si="176"/>
        <v>0</v>
      </c>
      <c r="AE310" s="3">
        <f t="shared" si="176"/>
        <v>0</v>
      </c>
      <c r="AF310" s="3">
        <f t="shared" si="176"/>
        <v>0</v>
      </c>
      <c r="AG310" s="3">
        <f t="shared" si="176"/>
        <v>0</v>
      </c>
      <c r="AH310" s="3">
        <f t="shared" si="176"/>
        <v>0</v>
      </c>
      <c r="AI310" s="3">
        <f t="shared" si="176"/>
        <v>0</v>
      </c>
      <c r="AJ310" s="3">
        <f t="shared" si="176"/>
        <v>0</v>
      </c>
      <c r="AK310" s="3">
        <f t="shared" si="176"/>
        <v>0</v>
      </c>
      <c r="AL310" s="3">
        <f t="shared" si="176"/>
        <v>0</v>
      </c>
      <c r="AM310" s="3">
        <f t="shared" si="176"/>
        <v>0</v>
      </c>
      <c r="AN310" s="3">
        <f t="shared" si="176"/>
        <v>0</v>
      </c>
      <c r="AO310" s="3">
        <f t="shared" si="176"/>
        <v>0</v>
      </c>
      <c r="AP310" s="834"/>
      <c r="AQ310" s="95">
        <v>0</v>
      </c>
    </row>
    <row r="311" spans="1:43" ht="15.75" customHeight="1" x14ac:dyDescent="0.25">
      <c r="A311" s="1359"/>
      <c r="B311" s="1" t="s">
        <v>39</v>
      </c>
      <c r="C311" s="1188"/>
      <c r="D311" s="1188"/>
      <c r="E311" s="1188"/>
      <c r="F311" s="1188"/>
      <c r="G311" s="1179"/>
      <c r="H311" s="1179"/>
      <c r="I311" s="1327"/>
      <c r="J311" s="6"/>
      <c r="K311" s="6"/>
      <c r="L311" s="47"/>
      <c r="M311" s="47"/>
      <c r="N311" s="47"/>
      <c r="O311" s="47"/>
      <c r="P311" s="47">
        <v>2804.27</v>
      </c>
      <c r="Q311" s="47">
        <f>S311</f>
        <v>0</v>
      </c>
      <c r="R311" s="47">
        <f>S311</f>
        <v>0</v>
      </c>
      <c r="S311" s="47">
        <v>0</v>
      </c>
      <c r="T311" s="47"/>
      <c r="U311" s="47"/>
      <c r="V311" s="47"/>
      <c r="W311" s="47"/>
      <c r="X311" s="47"/>
      <c r="Y311" s="47"/>
      <c r="Z311" s="47"/>
      <c r="AA311" s="47">
        <v>0</v>
      </c>
      <c r="AB311" s="47">
        <v>0</v>
      </c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19"/>
      <c r="AQ311" s="47"/>
    </row>
    <row r="312" spans="1:43" ht="19.5" customHeight="1" x14ac:dyDescent="0.25">
      <c r="A312" s="1361"/>
      <c r="B312" s="1" t="s">
        <v>213</v>
      </c>
      <c r="C312" s="1187"/>
      <c r="D312" s="1187"/>
      <c r="E312" s="1187"/>
      <c r="F312" s="1187"/>
      <c r="G312" s="1179">
        <v>2024</v>
      </c>
      <c r="H312" s="1179">
        <v>2029</v>
      </c>
      <c r="I312" s="1328"/>
      <c r="J312" s="6">
        <f>L312</f>
        <v>12299.37</v>
      </c>
      <c r="K312" s="6"/>
      <c r="L312" s="47">
        <v>12299.37</v>
      </c>
      <c r="M312" s="47">
        <v>0</v>
      </c>
      <c r="N312" s="47">
        <v>0</v>
      </c>
      <c r="O312" s="47">
        <v>5371.98</v>
      </c>
      <c r="P312" s="47">
        <v>0</v>
      </c>
      <c r="Q312" s="47">
        <v>0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47">
        <v>0</v>
      </c>
      <c r="X312" s="47">
        <v>0</v>
      </c>
      <c r="Y312" s="47">
        <v>0</v>
      </c>
      <c r="Z312" s="96"/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47">
        <v>0</v>
      </c>
      <c r="AG312" s="47">
        <v>0</v>
      </c>
      <c r="AH312" s="47">
        <v>0</v>
      </c>
      <c r="AI312" s="47">
        <v>0</v>
      </c>
      <c r="AJ312" s="47">
        <v>0</v>
      </c>
      <c r="AK312" s="47">
        <v>0</v>
      </c>
      <c r="AL312" s="47">
        <v>0</v>
      </c>
      <c r="AM312" s="47">
        <v>0</v>
      </c>
      <c r="AN312" s="47">
        <v>0</v>
      </c>
      <c r="AO312" s="47">
        <v>0</v>
      </c>
      <c r="AP312" s="419"/>
      <c r="AQ312" s="96"/>
    </row>
    <row r="313" spans="1:43" s="327" customFormat="1" ht="29.25" customHeight="1" x14ac:dyDescent="0.25">
      <c r="A313" s="1358" t="s">
        <v>194</v>
      </c>
      <c r="B313" s="780" t="s">
        <v>459</v>
      </c>
      <c r="C313" s="1183"/>
      <c r="D313" s="1183"/>
      <c r="E313" s="1183"/>
      <c r="F313" s="1183">
        <v>82</v>
      </c>
      <c r="G313" s="807"/>
      <c r="H313" s="807"/>
      <c r="I313" s="1326" t="s">
        <v>20</v>
      </c>
      <c r="J313" s="52">
        <f>L313</f>
        <v>12299.37</v>
      </c>
      <c r="K313" s="52"/>
      <c r="L313" s="3">
        <f>L315</f>
        <v>12299.37</v>
      </c>
      <c r="M313" s="3">
        <f t="shared" ref="M313:Y313" si="177">M315</f>
        <v>0</v>
      </c>
      <c r="N313" s="3">
        <f t="shared" si="177"/>
        <v>0</v>
      </c>
      <c r="O313" s="3">
        <f t="shared" si="177"/>
        <v>5371.98</v>
      </c>
      <c r="P313" s="3">
        <f>P314+P315</f>
        <v>377.92</v>
      </c>
      <c r="Q313" s="3">
        <f t="shared" si="177"/>
        <v>0</v>
      </c>
      <c r="R313" s="3">
        <f t="shared" si="177"/>
        <v>0</v>
      </c>
      <c r="S313" s="3">
        <f t="shared" si="177"/>
        <v>0</v>
      </c>
      <c r="T313" s="3">
        <f t="shared" si="177"/>
        <v>0</v>
      </c>
      <c r="U313" s="3">
        <f t="shared" si="177"/>
        <v>0</v>
      </c>
      <c r="V313" s="3">
        <f t="shared" si="177"/>
        <v>0</v>
      </c>
      <c r="W313" s="3">
        <f t="shared" si="177"/>
        <v>0</v>
      </c>
      <c r="X313" s="3">
        <f t="shared" si="177"/>
        <v>0</v>
      </c>
      <c r="Y313" s="3">
        <f t="shared" si="177"/>
        <v>0</v>
      </c>
      <c r="Z313" s="95">
        <v>0</v>
      </c>
      <c r="AA313" s="3">
        <f t="shared" ref="AA313:AO313" si="178">AA315</f>
        <v>0</v>
      </c>
      <c r="AB313" s="3">
        <f t="shared" si="178"/>
        <v>0</v>
      </c>
      <c r="AC313" s="3">
        <f t="shared" si="178"/>
        <v>0</v>
      </c>
      <c r="AD313" s="3">
        <f t="shared" si="178"/>
        <v>0</v>
      </c>
      <c r="AE313" s="3">
        <f t="shared" si="178"/>
        <v>0</v>
      </c>
      <c r="AF313" s="3">
        <f t="shared" si="178"/>
        <v>0</v>
      </c>
      <c r="AG313" s="3">
        <f t="shared" si="178"/>
        <v>0</v>
      </c>
      <c r="AH313" s="3">
        <f t="shared" si="178"/>
        <v>0</v>
      </c>
      <c r="AI313" s="3">
        <f t="shared" si="178"/>
        <v>0</v>
      </c>
      <c r="AJ313" s="3">
        <f t="shared" si="178"/>
        <v>0</v>
      </c>
      <c r="AK313" s="3">
        <f t="shared" si="178"/>
        <v>0</v>
      </c>
      <c r="AL313" s="3">
        <f t="shared" si="178"/>
        <v>0</v>
      </c>
      <c r="AM313" s="3">
        <f t="shared" si="178"/>
        <v>0</v>
      </c>
      <c r="AN313" s="3">
        <f t="shared" si="178"/>
        <v>0</v>
      </c>
      <c r="AO313" s="3">
        <f t="shared" si="178"/>
        <v>0</v>
      </c>
      <c r="AP313" s="834"/>
      <c r="AQ313" s="95">
        <v>0</v>
      </c>
    </row>
    <row r="314" spans="1:43" ht="15.75" customHeight="1" x14ac:dyDescent="0.25">
      <c r="A314" s="1359"/>
      <c r="B314" s="1" t="s">
        <v>39</v>
      </c>
      <c r="C314" s="1188"/>
      <c r="D314" s="1188"/>
      <c r="E314" s="1188"/>
      <c r="F314" s="1188"/>
      <c r="G314" s="1179"/>
      <c r="H314" s="1179"/>
      <c r="I314" s="1327"/>
      <c r="J314" s="6"/>
      <c r="K314" s="6"/>
      <c r="L314" s="47"/>
      <c r="M314" s="47"/>
      <c r="N314" s="47"/>
      <c r="O314" s="47"/>
      <c r="P314" s="47">
        <v>377.92</v>
      </c>
      <c r="Q314" s="47">
        <f>S314</f>
        <v>0</v>
      </c>
      <c r="R314" s="47">
        <f>S314</f>
        <v>0</v>
      </c>
      <c r="S314" s="47">
        <v>0</v>
      </c>
      <c r="T314" s="47"/>
      <c r="U314" s="47"/>
      <c r="V314" s="47"/>
      <c r="W314" s="47"/>
      <c r="X314" s="47"/>
      <c r="Y314" s="47"/>
      <c r="Z314" s="47"/>
      <c r="AA314" s="47">
        <v>0</v>
      </c>
      <c r="AB314" s="47">
        <v>0</v>
      </c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19"/>
      <c r="AQ314" s="47"/>
    </row>
    <row r="315" spans="1:43" ht="19.5" customHeight="1" x14ac:dyDescent="0.25">
      <c r="A315" s="1361"/>
      <c r="B315" s="1" t="s">
        <v>213</v>
      </c>
      <c r="C315" s="1187"/>
      <c r="D315" s="1187"/>
      <c r="E315" s="1187"/>
      <c r="F315" s="1187"/>
      <c r="G315" s="1179">
        <v>2024</v>
      </c>
      <c r="H315" s="1179">
        <v>2029</v>
      </c>
      <c r="I315" s="1328"/>
      <c r="J315" s="6">
        <f>L315</f>
        <v>12299.37</v>
      </c>
      <c r="K315" s="6"/>
      <c r="L315" s="47">
        <v>12299.37</v>
      </c>
      <c r="M315" s="47">
        <v>0</v>
      </c>
      <c r="N315" s="47">
        <v>0</v>
      </c>
      <c r="O315" s="47">
        <v>5371.98</v>
      </c>
      <c r="P315" s="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47">
        <v>0</v>
      </c>
      <c r="X315" s="47">
        <v>0</v>
      </c>
      <c r="Y315" s="47">
        <v>0</v>
      </c>
      <c r="Z315" s="96"/>
      <c r="AA315" s="47">
        <v>0</v>
      </c>
      <c r="AB315" s="47">
        <v>0</v>
      </c>
      <c r="AC315" s="47">
        <v>0</v>
      </c>
      <c r="AD315" s="47">
        <v>0</v>
      </c>
      <c r="AE315" s="47">
        <v>0</v>
      </c>
      <c r="AF315" s="47">
        <v>0</v>
      </c>
      <c r="AG315" s="47">
        <v>0</v>
      </c>
      <c r="AH315" s="47">
        <v>0</v>
      </c>
      <c r="AI315" s="47"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0</v>
      </c>
      <c r="AO315" s="47">
        <v>0</v>
      </c>
      <c r="AP315" s="419"/>
      <c r="AQ315" s="96"/>
    </row>
  </sheetData>
  <mergeCells count="199">
    <mergeCell ref="A313:A315"/>
    <mergeCell ref="I313:I315"/>
    <mergeCell ref="A287:A289"/>
    <mergeCell ref="I287:I289"/>
    <mergeCell ref="A290:A299"/>
    <mergeCell ref="A300:A302"/>
    <mergeCell ref="I300:I302"/>
    <mergeCell ref="A310:A312"/>
    <mergeCell ref="I310:I312"/>
    <mergeCell ref="A280:A286"/>
    <mergeCell ref="C280:C281"/>
    <mergeCell ref="D280:D281"/>
    <mergeCell ref="E280:E281"/>
    <mergeCell ref="F280:F281"/>
    <mergeCell ref="I280:I286"/>
    <mergeCell ref="A275:A279"/>
    <mergeCell ref="C275:C276"/>
    <mergeCell ref="D275:D276"/>
    <mergeCell ref="E275:E276"/>
    <mergeCell ref="F275:F276"/>
    <mergeCell ref="I275:I279"/>
    <mergeCell ref="I269:I270"/>
    <mergeCell ref="J269:J270"/>
    <mergeCell ref="A271:A274"/>
    <mergeCell ref="C271:C272"/>
    <mergeCell ref="D271:D272"/>
    <mergeCell ref="E271:E272"/>
    <mergeCell ref="F271:F272"/>
    <mergeCell ref="I271:I274"/>
    <mergeCell ref="A254:A258"/>
    <mergeCell ref="I254:I258"/>
    <mergeCell ref="A259:A260"/>
    <mergeCell ref="I259:I260"/>
    <mergeCell ref="I266:I267"/>
    <mergeCell ref="A269:A270"/>
    <mergeCell ref="C269:C270"/>
    <mergeCell ref="D269:D270"/>
    <mergeCell ref="E269:E270"/>
    <mergeCell ref="F269:F270"/>
    <mergeCell ref="H240:H243"/>
    <mergeCell ref="I240:I243"/>
    <mergeCell ref="J240:J243"/>
    <mergeCell ref="A247:A250"/>
    <mergeCell ref="B247:H250"/>
    <mergeCell ref="A251:A253"/>
    <mergeCell ref="I251:I252"/>
    <mergeCell ref="I231:I232"/>
    <mergeCell ref="A233:A236"/>
    <mergeCell ref="B233:H236"/>
    <mergeCell ref="I237:I238"/>
    <mergeCell ref="A240:A243"/>
    <mergeCell ref="C240:C243"/>
    <mergeCell ref="D240:D243"/>
    <mergeCell ref="E240:E243"/>
    <mergeCell ref="F240:F243"/>
    <mergeCell ref="G240:G243"/>
    <mergeCell ref="J210:J214"/>
    <mergeCell ref="A215:A216"/>
    <mergeCell ref="I215:I216"/>
    <mergeCell ref="I221:I222"/>
    <mergeCell ref="I227:I228"/>
    <mergeCell ref="I229:I230"/>
    <mergeCell ref="A210:A214"/>
    <mergeCell ref="C210:C214"/>
    <mergeCell ref="D210:D214"/>
    <mergeCell ref="E210:E214"/>
    <mergeCell ref="F210:F214"/>
    <mergeCell ref="I210:I214"/>
    <mergeCell ref="A186:A187"/>
    <mergeCell ref="I186:I187"/>
    <mergeCell ref="A189:A190"/>
    <mergeCell ref="I189:I190"/>
    <mergeCell ref="A206:A209"/>
    <mergeCell ref="B206:H209"/>
    <mergeCell ref="H173:H174"/>
    <mergeCell ref="I173:I174"/>
    <mergeCell ref="J173:J174"/>
    <mergeCell ref="K173:K174"/>
    <mergeCell ref="A182:A183"/>
    <mergeCell ref="I182:I183"/>
    <mergeCell ref="A173:A174"/>
    <mergeCell ref="C173:C174"/>
    <mergeCell ref="D173:D174"/>
    <mergeCell ref="E173:E174"/>
    <mergeCell ref="F173:F174"/>
    <mergeCell ref="G173:G174"/>
    <mergeCell ref="H166:H167"/>
    <mergeCell ref="I166:I167"/>
    <mergeCell ref="J166:J167"/>
    <mergeCell ref="K166:K167"/>
    <mergeCell ref="A169:A172"/>
    <mergeCell ref="F169:F172"/>
    <mergeCell ref="I169:I172"/>
    <mergeCell ref="A166:A167"/>
    <mergeCell ref="C166:C167"/>
    <mergeCell ref="D166:D167"/>
    <mergeCell ref="E166:E167"/>
    <mergeCell ref="F166:F167"/>
    <mergeCell ref="G166:G167"/>
    <mergeCell ref="A150:A154"/>
    <mergeCell ref="I150:I154"/>
    <mergeCell ref="J150:J154"/>
    <mergeCell ref="A157:H161"/>
    <mergeCell ref="A162:A165"/>
    <mergeCell ref="B162:H165"/>
    <mergeCell ref="A140:A144"/>
    <mergeCell ref="I140:I144"/>
    <mergeCell ref="J140:J144"/>
    <mergeCell ref="A145:A149"/>
    <mergeCell ref="I145:I149"/>
    <mergeCell ref="J145:J149"/>
    <mergeCell ref="A120:A124"/>
    <mergeCell ref="I120:I124"/>
    <mergeCell ref="A125:A126"/>
    <mergeCell ref="I125:I126"/>
    <mergeCell ref="A128:A131"/>
    <mergeCell ref="B128:H131"/>
    <mergeCell ref="A108:A112"/>
    <mergeCell ref="I108:I112"/>
    <mergeCell ref="A113:A114"/>
    <mergeCell ref="I113:I114"/>
    <mergeCell ref="A116:A119"/>
    <mergeCell ref="I116:I119"/>
    <mergeCell ref="A96:A98"/>
    <mergeCell ref="I96:I97"/>
    <mergeCell ref="A99:A100"/>
    <mergeCell ref="I99:I100"/>
    <mergeCell ref="A102:A107"/>
    <mergeCell ref="I102:I107"/>
    <mergeCell ref="C86:C91"/>
    <mergeCell ref="D86:D91"/>
    <mergeCell ref="E86:E91"/>
    <mergeCell ref="F86:F91"/>
    <mergeCell ref="I86:I91"/>
    <mergeCell ref="A93:A95"/>
    <mergeCell ref="I93:I94"/>
    <mergeCell ref="I68:I71"/>
    <mergeCell ref="J68:J71"/>
    <mergeCell ref="A78:A81"/>
    <mergeCell ref="B78:H81"/>
    <mergeCell ref="A82:A83"/>
    <mergeCell ref="I82:I83"/>
    <mergeCell ref="A65:A67"/>
    <mergeCell ref="B65:H67"/>
    <mergeCell ref="A68:A71"/>
    <mergeCell ref="C68:C71"/>
    <mergeCell ref="D68:D71"/>
    <mergeCell ref="E68:E71"/>
    <mergeCell ref="F68:F7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1:AP1"/>
    <mergeCell ref="E3:F3"/>
    <mergeCell ref="M3:O3"/>
    <mergeCell ref="R3:S3"/>
    <mergeCell ref="T3:U3"/>
    <mergeCell ref="V3:W3"/>
    <mergeCell ref="X3:Y3"/>
    <mergeCell ref="AF3:AJ3"/>
    <mergeCell ref="AL3:AO3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5" max="16383" man="1"/>
    <brk id="253" max="16383" man="1"/>
  </rowBreaks>
  <colBreaks count="1" manualBreakCount="1">
    <brk id="4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6"/>
  <sheetViews>
    <sheetView view="pageBreakPreview" topLeftCell="B1" zoomScale="140" zoomScaleNormal="150" zoomScaleSheetLayoutView="140" workbookViewId="0">
      <pane xSplit="14" ySplit="9" topLeftCell="P72" activePane="bottomRight" state="frozen"/>
      <selection activeCell="B1" sqref="B1"/>
      <selection pane="topRight" activeCell="P1" sqref="P1"/>
      <selection pane="bottomLeft" activeCell="B10" sqref="B10"/>
      <selection pane="bottomRight" activeCell="AA137" sqref="AA137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483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244" t="s">
        <v>3</v>
      </c>
      <c r="B3" s="1244" t="s">
        <v>4</v>
      </c>
      <c r="C3" s="1226" t="s">
        <v>6</v>
      </c>
      <c r="D3" s="1226" t="s">
        <v>14</v>
      </c>
      <c r="E3" s="1530" t="s">
        <v>5</v>
      </c>
      <c r="F3" s="1532"/>
      <c r="G3" s="1226" t="s">
        <v>1</v>
      </c>
      <c r="H3" s="1226" t="s">
        <v>2</v>
      </c>
      <c r="I3" s="1226" t="s">
        <v>0</v>
      </c>
      <c r="J3" s="1226" t="s">
        <v>51</v>
      </c>
      <c r="K3" s="1226" t="s">
        <v>52</v>
      </c>
      <c r="L3" s="1226" t="s">
        <v>275</v>
      </c>
      <c r="M3" s="1530" t="s">
        <v>8</v>
      </c>
      <c r="N3" s="1531"/>
      <c r="O3" s="1532"/>
      <c r="P3" s="1224" t="s">
        <v>437</v>
      </c>
      <c r="Q3" s="1267" t="s">
        <v>484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485</v>
      </c>
      <c r="AB3" s="1224"/>
      <c r="AC3" s="1224"/>
      <c r="AD3" s="1224"/>
      <c r="AE3" s="1224"/>
      <c r="AF3" s="1508" t="s">
        <v>307</v>
      </c>
      <c r="AG3" s="1515"/>
      <c r="AH3" s="1515"/>
      <c r="AI3" s="1515"/>
      <c r="AJ3" s="1516"/>
      <c r="AK3" s="1225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227">
        <v>3</v>
      </c>
      <c r="Q4" s="606">
        <v>4</v>
      </c>
      <c r="R4" s="1227">
        <v>7</v>
      </c>
      <c r="S4" s="1227">
        <v>8</v>
      </c>
      <c r="T4" s="606">
        <v>9</v>
      </c>
      <c r="U4" s="606">
        <v>10</v>
      </c>
      <c r="V4" s="606">
        <v>11</v>
      </c>
      <c r="W4" s="606">
        <v>12</v>
      </c>
      <c r="X4" s="1227">
        <v>13</v>
      </c>
      <c r="Y4" s="1227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A5" si="1">P10+P158</f>
        <v>518864.81400000007</v>
      </c>
      <c r="Q5" s="679">
        <f t="shared" si="1"/>
        <v>105773.25480000001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120427.75061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317135.61194000003</v>
      </c>
      <c r="AL5" s="679">
        <f t="shared" si="2"/>
        <v>317135.61194000003</v>
      </c>
      <c r="AM5" s="679">
        <f>ROUND((Q5*100%/P5*100),2)</f>
        <v>20.39</v>
      </c>
      <c r="AN5" s="679">
        <f t="shared" si="2"/>
        <v>0</v>
      </c>
      <c r="AO5" s="679">
        <f t="shared" si="2"/>
        <v>0</v>
      </c>
      <c r="AP5" s="938"/>
      <c r="AQ5" s="679">
        <f>AQ10+AQ158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J11+J159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ref="P6:AA6" si="4">P11+P159</f>
        <v>264162.01</v>
      </c>
      <c r="Q6" s="3">
        <f t="shared" si="4"/>
        <v>0</v>
      </c>
      <c r="R6" s="3">
        <f t="shared" si="4"/>
        <v>1128.182</v>
      </c>
      <c r="S6" s="3">
        <f t="shared" si="4"/>
        <v>4128.1819999999998</v>
      </c>
      <c r="T6" s="3">
        <f t="shared" si="4"/>
        <v>31.5</v>
      </c>
      <c r="U6" s="3">
        <f t="shared" si="4"/>
        <v>2236.8380000000002</v>
      </c>
      <c r="V6" s="3">
        <f t="shared" si="4"/>
        <v>0</v>
      </c>
      <c r="W6" s="3">
        <f t="shared" si="4"/>
        <v>0</v>
      </c>
      <c r="X6" s="3">
        <f t="shared" si="4"/>
        <v>0</v>
      </c>
      <c r="Y6" s="3">
        <f t="shared" si="4"/>
        <v>0</v>
      </c>
      <c r="Z6" s="95">
        <f t="shared" si="4"/>
        <v>0</v>
      </c>
      <c r="AA6" s="3">
        <f t="shared" si="4"/>
        <v>0</v>
      </c>
      <c r="AB6" s="3">
        <f t="shared" ref="AB6:AL6" si="5">AB11+AB159</f>
        <v>3015.1369999999997</v>
      </c>
      <c r="AC6" s="3">
        <f t="shared" si="5"/>
        <v>0</v>
      </c>
      <c r="AD6" s="3">
        <f t="shared" si="5"/>
        <v>31.5</v>
      </c>
      <c r="AE6" s="3">
        <f t="shared" si="5"/>
        <v>0</v>
      </c>
      <c r="AF6" s="3">
        <f t="shared" si="5"/>
        <v>0</v>
      </c>
      <c r="AG6" s="3">
        <f t="shared" si="5"/>
        <v>0</v>
      </c>
      <c r="AH6" s="3">
        <f t="shared" si="5"/>
        <v>0</v>
      </c>
      <c r="AI6" s="3">
        <f t="shared" si="5"/>
        <v>0</v>
      </c>
      <c r="AJ6" s="3">
        <f t="shared" si="5"/>
        <v>0</v>
      </c>
      <c r="AK6" s="3">
        <f t="shared" si="5"/>
        <v>192946.75</v>
      </c>
      <c r="AL6" s="3">
        <f t="shared" si="5"/>
        <v>192946.75</v>
      </c>
      <c r="AM6" s="385">
        <f>ROUND((Q6*100%/P6*100),2)</f>
        <v>0</v>
      </c>
      <c r="AN6" s="3">
        <f t="shared" ref="AN6:AO9" si="6">AN11+AN159</f>
        <v>0</v>
      </c>
      <c r="AO6" s="3">
        <f t="shared" si="6"/>
        <v>0</v>
      </c>
      <c r="AP6" s="632"/>
      <c r="AQ6" s="95">
        <f>AQ11+AQ159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ref="P7:AA7" si="7">P12+P160</f>
        <v>175498.53000000003</v>
      </c>
      <c r="Q7" s="3">
        <f t="shared" si="7"/>
        <v>2706.3799199999999</v>
      </c>
      <c r="R7" s="3">
        <f t="shared" si="7"/>
        <v>12156.708000000001</v>
      </c>
      <c r="S7" s="3">
        <f t="shared" si="7"/>
        <v>12573.374</v>
      </c>
      <c r="T7" s="3">
        <f t="shared" si="7"/>
        <v>22089.049000000003</v>
      </c>
      <c r="U7" s="3">
        <f t="shared" si="7"/>
        <v>21847.228999999999</v>
      </c>
      <c r="V7" s="3">
        <f t="shared" si="7"/>
        <v>6338.5969999999998</v>
      </c>
      <c r="W7" s="3">
        <f t="shared" si="7"/>
        <v>7317.3669999999993</v>
      </c>
      <c r="X7" s="3">
        <f t="shared" si="7"/>
        <v>0</v>
      </c>
      <c r="Y7" s="3">
        <f t="shared" si="7"/>
        <v>0</v>
      </c>
      <c r="Z7" s="95">
        <f t="shared" si="7"/>
        <v>0</v>
      </c>
      <c r="AA7" s="3">
        <f t="shared" si="7"/>
        <v>2588.1920300000002</v>
      </c>
      <c r="AB7" s="3">
        <f t="shared" ref="AB7:AL7" si="8">AB12+AB160</f>
        <v>40.5</v>
      </c>
      <c r="AC7" s="3">
        <f t="shared" si="8"/>
        <v>4148.6930000000002</v>
      </c>
      <c r="AD7" s="3">
        <f t="shared" si="8"/>
        <v>72764.314890000009</v>
      </c>
      <c r="AE7" s="3">
        <f t="shared" si="8"/>
        <v>0</v>
      </c>
      <c r="AF7" s="3">
        <f t="shared" si="8"/>
        <v>0</v>
      </c>
      <c r="AG7" s="3">
        <f t="shared" si="8"/>
        <v>0</v>
      </c>
      <c r="AH7" s="3">
        <f t="shared" si="8"/>
        <v>0</v>
      </c>
      <c r="AI7" s="3">
        <f t="shared" si="8"/>
        <v>0</v>
      </c>
      <c r="AJ7" s="3">
        <f t="shared" si="8"/>
        <v>0</v>
      </c>
      <c r="AK7" s="3">
        <f t="shared" si="8"/>
        <v>124188.86194000002</v>
      </c>
      <c r="AL7" s="3">
        <f t="shared" si="8"/>
        <v>124188.86194000002</v>
      </c>
      <c r="AM7" s="385">
        <f>ROUND((Q7*100%/P7*100),2)</f>
        <v>1.54</v>
      </c>
      <c r="AN7" s="3">
        <f t="shared" si="6"/>
        <v>0</v>
      </c>
      <c r="AO7" s="3">
        <f t="shared" si="6"/>
        <v>0</v>
      </c>
      <c r="AP7" s="632"/>
      <c r="AQ7" s="95">
        <f>AQ12+AQ160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ref="P8:AA8" si="9">P13+P161</f>
        <v>0</v>
      </c>
      <c r="Q8" s="3">
        <f t="shared" si="9"/>
        <v>99508.413549999997</v>
      </c>
      <c r="R8" s="3">
        <f t="shared" si="9"/>
        <v>21705.95</v>
      </c>
      <c r="S8" s="3">
        <f t="shared" si="9"/>
        <v>21705.95</v>
      </c>
      <c r="T8" s="3">
        <f t="shared" si="9"/>
        <v>67610.615609999993</v>
      </c>
      <c r="U8" s="3">
        <f t="shared" si="9"/>
        <v>67610.615609999993</v>
      </c>
      <c r="V8" s="3">
        <f t="shared" si="9"/>
        <v>50383.255000000005</v>
      </c>
      <c r="W8" s="3">
        <f t="shared" si="9"/>
        <v>50383.255000000005</v>
      </c>
      <c r="X8" s="3">
        <f t="shared" si="9"/>
        <v>21705.95</v>
      </c>
      <c r="Y8" s="3">
        <f t="shared" si="9"/>
        <v>21705.95</v>
      </c>
      <c r="Z8" s="95">
        <f t="shared" si="9"/>
        <v>0</v>
      </c>
      <c r="AA8" s="3">
        <f t="shared" si="9"/>
        <v>114281.09724999999</v>
      </c>
      <c r="AB8" s="3">
        <f t="shared" ref="AB8:AL8" si="10">AB13+AB161</f>
        <v>17522.268</v>
      </c>
      <c r="AC8" s="3">
        <f t="shared" si="10"/>
        <v>32106.996000000003</v>
      </c>
      <c r="AD8" s="3">
        <f t="shared" si="10"/>
        <v>0</v>
      </c>
      <c r="AE8" s="3">
        <f t="shared" si="10"/>
        <v>0</v>
      </c>
      <c r="AF8" s="3">
        <f t="shared" si="10"/>
        <v>0</v>
      </c>
      <c r="AG8" s="3">
        <f t="shared" si="10"/>
        <v>0</v>
      </c>
      <c r="AH8" s="3">
        <f t="shared" si="10"/>
        <v>0</v>
      </c>
      <c r="AI8" s="3">
        <f t="shared" si="10"/>
        <v>0</v>
      </c>
      <c r="AJ8" s="3">
        <f t="shared" si="10"/>
        <v>0</v>
      </c>
      <c r="AK8" s="3">
        <f t="shared" si="10"/>
        <v>0</v>
      </c>
      <c r="AL8" s="3">
        <f t="shared" si="10"/>
        <v>0</v>
      </c>
      <c r="AM8" s="385">
        <v>0</v>
      </c>
      <c r="AN8" s="3">
        <f t="shared" si="6"/>
        <v>0</v>
      </c>
      <c r="AO8" s="3">
        <f t="shared" si="6"/>
        <v>0</v>
      </c>
      <c r="AP8" s="632"/>
      <c r="AQ8" s="95">
        <f>AQ13+AQ161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ref="P9:AA9" si="11">P14+P162</f>
        <v>0</v>
      </c>
      <c r="Q9" s="3">
        <f t="shared" si="11"/>
        <v>0</v>
      </c>
      <c r="R9" s="3">
        <f t="shared" si="11"/>
        <v>37814.324000000001</v>
      </c>
      <c r="S9" s="3">
        <f t="shared" si="11"/>
        <v>37814.324000000001</v>
      </c>
      <c r="T9" s="3">
        <f t="shared" si="11"/>
        <v>0</v>
      </c>
      <c r="U9" s="3">
        <f t="shared" si="11"/>
        <v>0</v>
      </c>
      <c r="V9" s="3">
        <f t="shared" si="11"/>
        <v>0</v>
      </c>
      <c r="W9" s="3">
        <f t="shared" si="11"/>
        <v>0</v>
      </c>
      <c r="X9" s="3">
        <f t="shared" si="11"/>
        <v>0</v>
      </c>
      <c r="Y9" s="3">
        <f t="shared" si="11"/>
        <v>0</v>
      </c>
      <c r="Z9" s="95">
        <f t="shared" si="11"/>
        <v>0</v>
      </c>
      <c r="AA9" s="3">
        <f t="shared" si="11"/>
        <v>0</v>
      </c>
      <c r="AB9" s="3">
        <f t="shared" ref="AB9:AL9" si="12">AB14+AB162</f>
        <v>0</v>
      </c>
      <c r="AC9" s="3">
        <f t="shared" si="12"/>
        <v>0</v>
      </c>
      <c r="AD9" s="3">
        <f t="shared" si="12"/>
        <v>0</v>
      </c>
      <c r="AE9" s="3">
        <f t="shared" si="12"/>
        <v>0</v>
      </c>
      <c r="AF9" s="3">
        <f t="shared" si="12"/>
        <v>0</v>
      </c>
      <c r="AG9" s="3">
        <f t="shared" si="12"/>
        <v>0</v>
      </c>
      <c r="AH9" s="3">
        <f t="shared" si="12"/>
        <v>0</v>
      </c>
      <c r="AI9" s="3">
        <f t="shared" si="12"/>
        <v>0</v>
      </c>
      <c r="AJ9" s="3">
        <f t="shared" si="12"/>
        <v>0</v>
      </c>
      <c r="AK9" s="3">
        <f t="shared" si="12"/>
        <v>0</v>
      </c>
      <c r="AL9" s="3">
        <f t="shared" si="12"/>
        <v>0</v>
      </c>
      <c r="AM9" s="385">
        <v>0</v>
      </c>
      <c r="AN9" s="3">
        <f t="shared" si="6"/>
        <v>0</v>
      </c>
      <c r="AO9" s="3">
        <f t="shared" si="6"/>
        <v>0</v>
      </c>
      <c r="AP9" s="632"/>
      <c r="AQ9" s="95">
        <f>AQ14+AQ162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13">J11+J12+J13+J14</f>
        <v>1940430.69</v>
      </c>
      <c r="K10" s="922">
        <f t="shared" si="13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13"/>
        <v>363282.47</v>
      </c>
      <c r="O10" s="922">
        <f t="shared" si="13"/>
        <v>116582.55</v>
      </c>
      <c r="P10" s="923">
        <f>P19+P33+P36+P47+P58+P68+P83+P87+P94+P97+P100+P103+P109+P114+P117+P121+P126+P141+P40+P62+P133+P137+P72+P77+P146+P151</f>
        <v>226122.614</v>
      </c>
      <c r="Q10" s="923">
        <f t="shared" ref="Q10:Z10" si="14">Q19+Q33+Q36+Q47+Q58+Q68+Q83+Q87+Q94+Q97+Q100+Q103+Q109+Q114+Q117+Q121+Q126+Q141+Q40+Q62+Q133+Q137+Q72+Q77+Q146+Q151</f>
        <v>3275.4613300000001</v>
      </c>
      <c r="R10" s="923">
        <f t="shared" si="14"/>
        <v>49571.563999999998</v>
      </c>
      <c r="S10" s="923">
        <f t="shared" si="14"/>
        <v>49988.229999999996</v>
      </c>
      <c r="T10" s="923">
        <f t="shared" si="14"/>
        <v>65950.61860999999</v>
      </c>
      <c r="U10" s="923">
        <f t="shared" si="14"/>
        <v>65705.398609999989</v>
      </c>
      <c r="V10" s="923">
        <f t="shared" si="14"/>
        <v>2007.1869999999999</v>
      </c>
      <c r="W10" s="923">
        <f t="shared" si="14"/>
        <v>2047.0429999999999</v>
      </c>
      <c r="X10" s="923">
        <f t="shared" si="14"/>
        <v>0</v>
      </c>
      <c r="Y10" s="923">
        <f t="shared" si="14"/>
        <v>0</v>
      </c>
      <c r="Z10" s="923">
        <f t="shared" si="14"/>
        <v>0</v>
      </c>
      <c r="AA10" s="923">
        <f>AA19+AA33+AA36+AA47+AA58+AA68+AA83+AA87+AA94+AA97+AA100+AA103+AA109+AA114+AA117+AA121+AA126+AA141+AA40+AA62+AA133+AA137+AA72+AA77+AA146+AA151</f>
        <v>3275.4613300000001</v>
      </c>
      <c r="AB10" s="923">
        <f t="shared" ref="AB10:AO10" si="15">AB11+AB12+AB13+AB14</f>
        <v>106.83</v>
      </c>
      <c r="AC10" s="923">
        <f t="shared" si="15"/>
        <v>914.28300000000002</v>
      </c>
      <c r="AD10" s="923">
        <f t="shared" si="15"/>
        <v>3005.3339999999998</v>
      </c>
      <c r="AE10" s="923">
        <f t="shared" si="15"/>
        <v>0</v>
      </c>
      <c r="AF10" s="923">
        <f t="shared" si="15"/>
        <v>0</v>
      </c>
      <c r="AG10" s="923">
        <f t="shared" si="15"/>
        <v>0</v>
      </c>
      <c r="AH10" s="923">
        <f t="shared" si="15"/>
        <v>0</v>
      </c>
      <c r="AI10" s="923">
        <f t="shared" si="15"/>
        <v>0</v>
      </c>
      <c r="AJ10" s="923">
        <f t="shared" si="15"/>
        <v>0</v>
      </c>
      <c r="AK10" s="923">
        <f t="shared" si="15"/>
        <v>170052.3</v>
      </c>
      <c r="AL10" s="923">
        <f t="shared" si="15"/>
        <v>170052.3</v>
      </c>
      <c r="AM10" s="923" t="e">
        <f t="shared" si="15"/>
        <v>#DIV/0!</v>
      </c>
      <c r="AN10" s="923">
        <f t="shared" si="15"/>
        <v>0</v>
      </c>
      <c r="AO10" s="923">
        <f t="shared" si="15"/>
        <v>0</v>
      </c>
      <c r="AP10" s="924"/>
      <c r="AQ10" s="923">
        <f>AQ19+AQ33+AQ36+AQ47+AQ58+AQ68+AQ83+AQ87+AQ94+AQ97+AQ100+AQ103+AQ109+AQ114+AQ117+AQ121+AQ126+AQ141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16">J15+J129</f>
        <v>977955.46</v>
      </c>
      <c r="K11" s="47">
        <f t="shared" si="16"/>
        <v>251829.19999999995</v>
      </c>
      <c r="L11" s="47">
        <f t="shared" si="16"/>
        <v>750480.15999999992</v>
      </c>
      <c r="M11" s="47">
        <f t="shared" si="16"/>
        <v>96658.23</v>
      </c>
      <c r="N11" s="47">
        <f t="shared" si="16"/>
        <v>83716.939999999988</v>
      </c>
      <c r="O11" s="47">
        <f t="shared" si="16"/>
        <v>78886.680000000008</v>
      </c>
      <c r="P11" s="47">
        <f t="shared" si="16"/>
        <v>164000</v>
      </c>
      <c r="Q11" s="47">
        <f t="shared" si="16"/>
        <v>0</v>
      </c>
      <c r="R11" s="47">
        <f t="shared" si="16"/>
        <v>384.71</v>
      </c>
      <c r="S11" s="47">
        <f t="shared" si="16"/>
        <v>384.71</v>
      </c>
      <c r="T11" s="47">
        <f t="shared" si="16"/>
        <v>0</v>
      </c>
      <c r="U11" s="47">
        <f t="shared" si="16"/>
        <v>0</v>
      </c>
      <c r="V11" s="47">
        <f t="shared" si="16"/>
        <v>0</v>
      </c>
      <c r="W11" s="47">
        <f t="shared" si="16"/>
        <v>0</v>
      </c>
      <c r="X11" s="47">
        <f t="shared" si="16"/>
        <v>0</v>
      </c>
      <c r="Y11" s="47">
        <f t="shared" si="16"/>
        <v>0</v>
      </c>
      <c r="Z11" s="96"/>
      <c r="AA11" s="47">
        <f t="shared" ref="AA11:AO11" si="17">AA15+AA129</f>
        <v>0</v>
      </c>
      <c r="AB11" s="47">
        <f t="shared" si="17"/>
        <v>66.33</v>
      </c>
      <c r="AC11" s="47">
        <f t="shared" si="17"/>
        <v>0</v>
      </c>
      <c r="AD11" s="47">
        <f t="shared" si="17"/>
        <v>0</v>
      </c>
      <c r="AE11" s="47">
        <f t="shared" si="17"/>
        <v>0</v>
      </c>
      <c r="AF11" s="47">
        <f t="shared" si="17"/>
        <v>0</v>
      </c>
      <c r="AG11" s="47">
        <f t="shared" si="17"/>
        <v>0</v>
      </c>
      <c r="AH11" s="47">
        <f t="shared" si="17"/>
        <v>0</v>
      </c>
      <c r="AI11" s="47">
        <f t="shared" si="17"/>
        <v>0</v>
      </c>
      <c r="AJ11" s="47">
        <f t="shared" si="17"/>
        <v>0</v>
      </c>
      <c r="AK11" s="47">
        <f t="shared" si="17"/>
        <v>164000</v>
      </c>
      <c r="AL11" s="47">
        <f t="shared" si="17"/>
        <v>164000</v>
      </c>
      <c r="AM11" s="47">
        <f t="shared" si="17"/>
        <v>0</v>
      </c>
      <c r="AN11" s="47">
        <f t="shared" si="17"/>
        <v>0</v>
      </c>
      <c r="AO11" s="47">
        <f t="shared" si="17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J16+J44+J52+J65+J80+J130</f>
        <v>236854.15</v>
      </c>
      <c r="K12" s="47">
        <f>K16+K65+K130</f>
        <v>0</v>
      </c>
      <c r="L12" s="47">
        <f t="shared" ref="L12:Y12" si="18">L16+L44+L52+L65+L80+L130</f>
        <v>230331.37</v>
      </c>
      <c r="M12" s="47">
        <f t="shared" si="18"/>
        <v>24568.73</v>
      </c>
      <c r="N12" s="47">
        <f t="shared" si="18"/>
        <v>46592.61</v>
      </c>
      <c r="O12" s="47">
        <f t="shared" si="18"/>
        <v>37695.869999999995</v>
      </c>
      <c r="P12" s="47">
        <f t="shared" si="18"/>
        <v>43488.07</v>
      </c>
      <c r="Q12" s="47">
        <f t="shared" si="18"/>
        <v>115</v>
      </c>
      <c r="R12" s="47">
        <f t="shared" si="18"/>
        <v>11372.53</v>
      </c>
      <c r="S12" s="47">
        <f t="shared" si="18"/>
        <v>11789.196</v>
      </c>
      <c r="T12" s="47">
        <f t="shared" si="18"/>
        <v>18085.953000000001</v>
      </c>
      <c r="U12" s="47">
        <f t="shared" si="18"/>
        <v>17840.733</v>
      </c>
      <c r="V12" s="47">
        <f t="shared" si="18"/>
        <v>2007.1869999999999</v>
      </c>
      <c r="W12" s="47">
        <f t="shared" si="18"/>
        <v>2047.0429999999999</v>
      </c>
      <c r="X12" s="47">
        <f t="shared" si="18"/>
        <v>0</v>
      </c>
      <c r="Y12" s="47">
        <f t="shared" si="18"/>
        <v>0</v>
      </c>
      <c r="Z12" s="96"/>
      <c r="AA12" s="47">
        <f t="shared" ref="AA12:AO12" si="19">AA16+AA44+AA52+AA65+AA80+AA130</f>
        <v>115</v>
      </c>
      <c r="AB12" s="47">
        <f t="shared" si="19"/>
        <v>40.5</v>
      </c>
      <c r="AC12" s="47">
        <f t="shared" si="19"/>
        <v>907.08299999999997</v>
      </c>
      <c r="AD12" s="47">
        <f t="shared" si="19"/>
        <v>3005.3339999999998</v>
      </c>
      <c r="AE12" s="47">
        <f t="shared" si="19"/>
        <v>0</v>
      </c>
      <c r="AF12" s="47">
        <f t="shared" si="19"/>
        <v>0</v>
      </c>
      <c r="AG12" s="47">
        <f t="shared" si="19"/>
        <v>0</v>
      </c>
      <c r="AH12" s="47">
        <f t="shared" si="19"/>
        <v>0</v>
      </c>
      <c r="AI12" s="47">
        <f t="shared" si="19"/>
        <v>0</v>
      </c>
      <c r="AJ12" s="47">
        <f t="shared" si="19"/>
        <v>0</v>
      </c>
      <c r="AK12" s="47">
        <f t="shared" si="19"/>
        <v>6052.3000000000011</v>
      </c>
      <c r="AL12" s="47">
        <f t="shared" si="19"/>
        <v>6052.3000000000011</v>
      </c>
      <c r="AM12" s="47" t="e">
        <f t="shared" si="19"/>
        <v>#DIV/0!</v>
      </c>
      <c r="AN12" s="47">
        <f t="shared" si="19"/>
        <v>0</v>
      </c>
      <c r="AO12" s="47">
        <f t="shared" si="19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20">J17+J66+J131+J45</f>
        <v>23417.360000000001</v>
      </c>
      <c r="K13" s="47">
        <f t="shared" si="20"/>
        <v>0</v>
      </c>
      <c r="L13" s="47">
        <f t="shared" si="20"/>
        <v>172003.82</v>
      </c>
      <c r="M13" s="47">
        <f t="shared" si="20"/>
        <v>135504.01</v>
      </c>
      <c r="N13" s="47">
        <f t="shared" si="20"/>
        <v>36499.81</v>
      </c>
      <c r="O13" s="47">
        <f t="shared" si="20"/>
        <v>0</v>
      </c>
      <c r="P13" s="47">
        <f t="shared" si="20"/>
        <v>0</v>
      </c>
      <c r="Q13" s="47">
        <f t="shared" si="20"/>
        <v>0</v>
      </c>
      <c r="R13" s="47">
        <f t="shared" si="20"/>
        <v>0</v>
      </c>
      <c r="S13" s="47">
        <f t="shared" si="20"/>
        <v>0</v>
      </c>
      <c r="T13" s="47">
        <f t="shared" si="20"/>
        <v>45904.665609999996</v>
      </c>
      <c r="U13" s="47">
        <f t="shared" si="20"/>
        <v>45904.665609999996</v>
      </c>
      <c r="V13" s="47">
        <f t="shared" si="20"/>
        <v>0</v>
      </c>
      <c r="W13" s="47">
        <f t="shared" si="20"/>
        <v>0</v>
      </c>
      <c r="X13" s="47">
        <f t="shared" si="20"/>
        <v>0</v>
      </c>
      <c r="Y13" s="47">
        <f t="shared" si="20"/>
        <v>0</v>
      </c>
      <c r="Z13" s="96"/>
      <c r="AA13" s="47">
        <f t="shared" ref="AA13:AO13" si="21">AA17+AA66+AA131+AA45</f>
        <v>0</v>
      </c>
      <c r="AB13" s="47">
        <f t="shared" si="21"/>
        <v>0</v>
      </c>
      <c r="AC13" s="47">
        <f t="shared" si="21"/>
        <v>7.2</v>
      </c>
      <c r="AD13" s="47">
        <f t="shared" si="21"/>
        <v>0</v>
      </c>
      <c r="AE13" s="47">
        <f t="shared" si="21"/>
        <v>0</v>
      </c>
      <c r="AF13" s="47">
        <f t="shared" si="21"/>
        <v>0</v>
      </c>
      <c r="AG13" s="47">
        <f t="shared" si="21"/>
        <v>0</v>
      </c>
      <c r="AH13" s="47">
        <f t="shared" si="21"/>
        <v>0</v>
      </c>
      <c r="AI13" s="47">
        <f t="shared" si="21"/>
        <v>0</v>
      </c>
      <c r="AJ13" s="47">
        <f t="shared" si="21"/>
        <v>0</v>
      </c>
      <c r="AK13" s="47">
        <f t="shared" si="21"/>
        <v>0</v>
      </c>
      <c r="AL13" s="47">
        <f t="shared" si="21"/>
        <v>0</v>
      </c>
      <c r="AM13" s="47">
        <f t="shared" si="21"/>
        <v>0</v>
      </c>
      <c r="AN13" s="47">
        <f t="shared" si="21"/>
        <v>0</v>
      </c>
      <c r="AO13" s="47">
        <f t="shared" si="21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22">J18+J67+J132</f>
        <v>702203.72</v>
      </c>
      <c r="K14" s="607">
        <f t="shared" si="22"/>
        <v>702203.72</v>
      </c>
      <c r="L14" s="607">
        <f t="shared" si="22"/>
        <v>789617.84</v>
      </c>
      <c r="M14" s="607">
        <f t="shared" si="22"/>
        <v>348941.19</v>
      </c>
      <c r="N14" s="607">
        <f t="shared" si="22"/>
        <v>196473.11</v>
      </c>
      <c r="O14" s="607">
        <f t="shared" si="22"/>
        <v>0</v>
      </c>
      <c r="P14" s="607">
        <f t="shared" si="22"/>
        <v>0</v>
      </c>
      <c r="Q14" s="607">
        <f t="shared" si="22"/>
        <v>0</v>
      </c>
      <c r="R14" s="607">
        <f t="shared" si="22"/>
        <v>37814.324000000001</v>
      </c>
      <c r="S14" s="607">
        <f t="shared" si="22"/>
        <v>37814.324000000001</v>
      </c>
      <c r="T14" s="607">
        <f t="shared" si="22"/>
        <v>0</v>
      </c>
      <c r="U14" s="607">
        <f t="shared" si="22"/>
        <v>0</v>
      </c>
      <c r="V14" s="607">
        <f t="shared" si="22"/>
        <v>0</v>
      </c>
      <c r="W14" s="607">
        <f t="shared" si="22"/>
        <v>0</v>
      </c>
      <c r="X14" s="607">
        <f t="shared" si="22"/>
        <v>0</v>
      </c>
      <c r="Y14" s="607">
        <f t="shared" si="22"/>
        <v>0</v>
      </c>
      <c r="Z14" s="674"/>
      <c r="AA14" s="607">
        <f t="shared" ref="AA14:AO14" si="23">AA18+AA67+AA132</f>
        <v>0</v>
      </c>
      <c r="AB14" s="607">
        <f t="shared" si="23"/>
        <v>0</v>
      </c>
      <c r="AC14" s="607">
        <f t="shared" si="23"/>
        <v>0</v>
      </c>
      <c r="AD14" s="607">
        <f t="shared" si="23"/>
        <v>0</v>
      </c>
      <c r="AE14" s="607">
        <f t="shared" si="23"/>
        <v>0</v>
      </c>
      <c r="AF14" s="607">
        <f t="shared" si="23"/>
        <v>0</v>
      </c>
      <c r="AG14" s="607">
        <f t="shared" si="23"/>
        <v>0</v>
      </c>
      <c r="AH14" s="607">
        <f t="shared" si="23"/>
        <v>0</v>
      </c>
      <c r="AI14" s="607">
        <f t="shared" si="23"/>
        <v>0</v>
      </c>
      <c r="AJ14" s="607">
        <f t="shared" si="23"/>
        <v>0</v>
      </c>
      <c r="AK14" s="607">
        <f t="shared" si="23"/>
        <v>0</v>
      </c>
      <c r="AL14" s="607">
        <f t="shared" si="23"/>
        <v>0</v>
      </c>
      <c r="AM14" s="607">
        <f t="shared" si="23"/>
        <v>0</v>
      </c>
      <c r="AN14" s="607">
        <f t="shared" si="23"/>
        <v>0</v>
      </c>
      <c r="AO14" s="607">
        <f t="shared" si="23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24">J20+J33+J36</f>
        <v>977955.46</v>
      </c>
      <c r="K15" s="47">
        <f t="shared" si="24"/>
        <v>251829.19999999995</v>
      </c>
      <c r="L15" s="47">
        <f t="shared" si="24"/>
        <v>750480.15999999992</v>
      </c>
      <c r="M15" s="47">
        <f t="shared" si="24"/>
        <v>96658.23</v>
      </c>
      <c r="N15" s="47">
        <f t="shared" si="24"/>
        <v>83716.939999999988</v>
      </c>
      <c r="O15" s="47">
        <f t="shared" si="24"/>
        <v>78886.680000000008</v>
      </c>
      <c r="P15" s="47">
        <f t="shared" si="24"/>
        <v>164000</v>
      </c>
      <c r="Q15" s="47">
        <f t="shared" si="24"/>
        <v>0</v>
      </c>
      <c r="R15" s="47">
        <f t="shared" si="24"/>
        <v>384.71</v>
      </c>
      <c r="S15" s="47">
        <f t="shared" si="24"/>
        <v>384.71</v>
      </c>
      <c r="T15" s="47">
        <f t="shared" si="24"/>
        <v>0</v>
      </c>
      <c r="U15" s="47">
        <f t="shared" si="24"/>
        <v>0</v>
      </c>
      <c r="V15" s="47">
        <f t="shared" si="24"/>
        <v>0</v>
      </c>
      <c r="W15" s="47">
        <f t="shared" si="24"/>
        <v>0</v>
      </c>
      <c r="X15" s="47">
        <f t="shared" si="24"/>
        <v>0</v>
      </c>
      <c r="Y15" s="47">
        <f t="shared" si="24"/>
        <v>0</v>
      </c>
      <c r="Z15" s="96"/>
      <c r="AA15" s="47">
        <f t="shared" ref="AA15:AO15" si="25">AA20+AA33+AA36</f>
        <v>0</v>
      </c>
      <c r="AB15" s="47">
        <f t="shared" si="25"/>
        <v>66.33</v>
      </c>
      <c r="AC15" s="47">
        <f t="shared" si="25"/>
        <v>0</v>
      </c>
      <c r="AD15" s="47">
        <f t="shared" si="25"/>
        <v>0</v>
      </c>
      <c r="AE15" s="47">
        <f t="shared" si="25"/>
        <v>0</v>
      </c>
      <c r="AF15" s="47">
        <f t="shared" si="25"/>
        <v>0</v>
      </c>
      <c r="AG15" s="47">
        <f t="shared" si="25"/>
        <v>0</v>
      </c>
      <c r="AH15" s="47">
        <f t="shared" si="25"/>
        <v>0</v>
      </c>
      <c r="AI15" s="47">
        <f t="shared" si="25"/>
        <v>0</v>
      </c>
      <c r="AJ15" s="47">
        <f t="shared" si="25"/>
        <v>0</v>
      </c>
      <c r="AK15" s="47">
        <f t="shared" si="25"/>
        <v>164000</v>
      </c>
      <c r="AL15" s="47">
        <f t="shared" si="25"/>
        <v>164000</v>
      </c>
      <c r="AM15" s="47">
        <f t="shared" si="25"/>
        <v>0</v>
      </c>
      <c r="AN15" s="47">
        <f t="shared" si="25"/>
        <v>0</v>
      </c>
      <c r="AO15" s="47">
        <f t="shared" si="25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26">R30</f>
        <v>0</v>
      </c>
      <c r="S17" s="47">
        <f t="shared" si="26"/>
        <v>0</v>
      </c>
      <c r="T17" s="47">
        <f t="shared" si="26"/>
        <v>45904.665609999996</v>
      </c>
      <c r="U17" s="47">
        <f>U30</f>
        <v>45904.665609999996</v>
      </c>
      <c r="V17" s="47">
        <f t="shared" si="26"/>
        <v>0</v>
      </c>
      <c r="W17" s="47">
        <f t="shared" si="26"/>
        <v>0</v>
      </c>
      <c r="X17" s="47">
        <f t="shared" si="26"/>
        <v>0</v>
      </c>
      <c r="Y17" s="47">
        <f t="shared" si="26"/>
        <v>0</v>
      </c>
      <c r="Z17" s="96"/>
      <c r="AA17" s="47">
        <f t="shared" si="26"/>
        <v>0</v>
      </c>
      <c r="AB17" s="47">
        <f t="shared" si="26"/>
        <v>0</v>
      </c>
      <c r="AC17" s="47">
        <f t="shared" si="26"/>
        <v>0</v>
      </c>
      <c r="AD17" s="47">
        <f t="shared" si="26"/>
        <v>0</v>
      </c>
      <c r="AE17" s="47">
        <f t="shared" si="26"/>
        <v>0</v>
      </c>
      <c r="AF17" s="47">
        <f t="shared" si="26"/>
        <v>0</v>
      </c>
      <c r="AG17" s="47">
        <f t="shared" si="26"/>
        <v>0</v>
      </c>
      <c r="AH17" s="47">
        <f t="shared" si="26"/>
        <v>0</v>
      </c>
      <c r="AI17" s="47">
        <f t="shared" si="26"/>
        <v>0</v>
      </c>
      <c r="AJ17" s="47">
        <f t="shared" si="26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7">J28</f>
        <v>702203.72</v>
      </c>
      <c r="K18" s="47">
        <f t="shared" si="27"/>
        <v>702203.72</v>
      </c>
      <c r="L18" s="47">
        <f t="shared" si="27"/>
        <v>789617.84</v>
      </c>
      <c r="M18" s="47">
        <f t="shared" si="27"/>
        <v>348941.19</v>
      </c>
      <c r="N18" s="47">
        <f t="shared" si="27"/>
        <v>196473.11</v>
      </c>
      <c r="O18" s="47">
        <f t="shared" si="27"/>
        <v>0</v>
      </c>
      <c r="P18" s="47">
        <f t="shared" si="27"/>
        <v>0</v>
      </c>
      <c r="Q18" s="47">
        <f t="shared" si="27"/>
        <v>0</v>
      </c>
      <c r="R18" s="47">
        <f t="shared" si="27"/>
        <v>37814.324000000001</v>
      </c>
      <c r="S18" s="47">
        <f t="shared" si="27"/>
        <v>37814.324000000001</v>
      </c>
      <c r="T18" s="47">
        <f t="shared" si="27"/>
        <v>0</v>
      </c>
      <c r="U18" s="47">
        <f t="shared" si="27"/>
        <v>0</v>
      </c>
      <c r="V18" s="47">
        <f t="shared" si="27"/>
        <v>0</v>
      </c>
      <c r="W18" s="47">
        <f t="shared" si="27"/>
        <v>0</v>
      </c>
      <c r="X18" s="47">
        <f t="shared" si="27"/>
        <v>0</v>
      </c>
      <c r="Y18" s="47">
        <f t="shared" si="27"/>
        <v>0</v>
      </c>
      <c r="Z18" s="96"/>
      <c r="AA18" s="47">
        <f t="shared" si="27"/>
        <v>0</v>
      </c>
      <c r="AB18" s="47">
        <f t="shared" si="27"/>
        <v>0</v>
      </c>
      <c r="AC18" s="47">
        <f t="shared" si="27"/>
        <v>0</v>
      </c>
      <c r="AD18" s="47">
        <f t="shared" si="27"/>
        <v>0</v>
      </c>
      <c r="AE18" s="47">
        <f t="shared" si="27"/>
        <v>0</v>
      </c>
      <c r="AF18" s="47">
        <f t="shared" si="27"/>
        <v>0</v>
      </c>
      <c r="AG18" s="47">
        <f t="shared" si="27"/>
        <v>0</v>
      </c>
      <c r="AH18" s="47">
        <f t="shared" si="27"/>
        <v>0</v>
      </c>
      <c r="AI18" s="47">
        <f t="shared" si="27"/>
        <v>0</v>
      </c>
      <c r="AJ18" s="47">
        <f t="shared" si="27"/>
        <v>0</v>
      </c>
      <c r="AK18" s="47">
        <f t="shared" si="27"/>
        <v>0</v>
      </c>
      <c r="AL18" s="47">
        <f t="shared" si="27"/>
        <v>0</v>
      </c>
      <c r="AM18" s="47">
        <f t="shared" si="27"/>
        <v>0</v>
      </c>
      <c r="AN18" s="47">
        <f t="shared" si="27"/>
        <v>0</v>
      </c>
      <c r="AO18" s="47">
        <f t="shared" si="27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8">L20+L28+L30</f>
        <v>1083165.3899999999</v>
      </c>
      <c r="M19" s="318">
        <f t="shared" si="28"/>
        <v>560860.31000000006</v>
      </c>
      <c r="N19" s="318">
        <f t="shared" si="28"/>
        <v>232972.91999999998</v>
      </c>
      <c r="O19" s="318">
        <f t="shared" si="28"/>
        <v>0</v>
      </c>
      <c r="P19" s="318">
        <f t="shared" si="28"/>
        <v>0</v>
      </c>
      <c r="Q19" s="318">
        <f>Q20+Q28+Q30</f>
        <v>0</v>
      </c>
      <c r="R19" s="318">
        <f t="shared" ref="R19:X19" si="29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9"/>
        <v>0</v>
      </c>
      <c r="W19" s="318">
        <f t="shared" si="29"/>
        <v>0</v>
      </c>
      <c r="X19" s="318">
        <f t="shared" si="29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30">AB20+AB28</f>
        <v>66.33</v>
      </c>
      <c r="AC19" s="318">
        <f t="shared" si="30"/>
        <v>0</v>
      </c>
      <c r="AD19" s="318">
        <f t="shared" si="30"/>
        <v>0</v>
      </c>
      <c r="AE19" s="318">
        <f t="shared" si="30"/>
        <v>0</v>
      </c>
      <c r="AF19" s="318">
        <f t="shared" si="30"/>
        <v>0</v>
      </c>
      <c r="AG19" s="318">
        <f t="shared" si="30"/>
        <v>0</v>
      </c>
      <c r="AH19" s="318">
        <f t="shared" si="30"/>
        <v>0</v>
      </c>
      <c r="AI19" s="318">
        <f t="shared" si="30"/>
        <v>0</v>
      </c>
      <c r="AJ19" s="318">
        <f t="shared" si="30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213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31">SUM(R21:R27)</f>
        <v>384.71</v>
      </c>
      <c r="S20" s="47">
        <f t="shared" si="31"/>
        <v>384.71</v>
      </c>
      <c r="T20" s="47">
        <f t="shared" si="31"/>
        <v>0</v>
      </c>
      <c r="U20" s="47">
        <f t="shared" si="31"/>
        <v>0</v>
      </c>
      <c r="V20" s="47">
        <f t="shared" si="31"/>
        <v>0</v>
      </c>
      <c r="W20" s="47">
        <f>SUM(W21:W27)</f>
        <v>0</v>
      </c>
      <c r="X20" s="47">
        <f t="shared" si="31"/>
        <v>0</v>
      </c>
      <c r="Y20" s="47">
        <f t="shared" si="31"/>
        <v>0</v>
      </c>
      <c r="Z20" s="96"/>
      <c r="AA20" s="47">
        <f t="shared" ref="AA20:AJ20" si="32">SUM(AA21:AA27)</f>
        <v>0</v>
      </c>
      <c r="AB20" s="47">
        <f t="shared" si="32"/>
        <v>66.33</v>
      </c>
      <c r="AC20" s="47">
        <f t="shared" si="32"/>
        <v>0</v>
      </c>
      <c r="AD20" s="47">
        <f t="shared" si="32"/>
        <v>0</v>
      </c>
      <c r="AE20" s="47">
        <f t="shared" si="32"/>
        <v>0</v>
      </c>
      <c r="AF20" s="47">
        <f t="shared" si="32"/>
        <v>0</v>
      </c>
      <c r="AG20" s="47">
        <f t="shared" si="32"/>
        <v>0</v>
      </c>
      <c r="AH20" s="47">
        <f t="shared" si="32"/>
        <v>0</v>
      </c>
      <c r="AI20" s="47">
        <f t="shared" si="32"/>
        <v>0</v>
      </c>
      <c r="AJ20" s="47">
        <f t="shared" si="32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33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33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33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34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33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34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33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34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33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34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33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1221"/>
      <c r="D28" s="1221"/>
      <c r="E28" s="1221"/>
      <c r="F28" s="1266"/>
      <c r="G28" s="1221"/>
      <c r="H28" s="1221"/>
      <c r="I28" s="23" t="s">
        <v>9</v>
      </c>
      <c r="J28" s="1259">
        <f>K28</f>
        <v>702203.72</v>
      </c>
      <c r="K28" s="1259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35">SUM(T29:T29)</f>
        <v>0</v>
      </c>
      <c r="U28" s="71">
        <f t="shared" si="35"/>
        <v>0</v>
      </c>
      <c r="V28" s="71">
        <f t="shared" si="35"/>
        <v>0</v>
      </c>
      <c r="W28" s="71">
        <f t="shared" si="35"/>
        <v>0</v>
      </c>
      <c r="X28" s="71">
        <v>0</v>
      </c>
      <c r="Y28" s="71">
        <f t="shared" si="35"/>
        <v>0</v>
      </c>
      <c r="Z28" s="100"/>
      <c r="AA28" s="71">
        <f t="shared" si="35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35"/>
        <v>0</v>
      </c>
      <c r="AG28" s="71">
        <f t="shared" si="35"/>
        <v>0</v>
      </c>
      <c r="AH28" s="71">
        <f t="shared" si="35"/>
        <v>0</v>
      </c>
      <c r="AI28" s="71">
        <f t="shared" si="35"/>
        <v>0</v>
      </c>
      <c r="AJ28" s="71">
        <f t="shared" si="35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265"/>
      <c r="B30" s="801"/>
      <c r="C30" s="1221"/>
      <c r="D30" s="1221"/>
      <c r="E30" s="1221"/>
      <c r="F30" s="1266"/>
      <c r="G30" s="1221"/>
      <c r="H30" s="1221"/>
      <c r="I30" s="1217" t="s">
        <v>10</v>
      </c>
      <c r="J30" s="1260"/>
      <c r="K30" s="1260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36">SUM(R31:R32)</f>
        <v>0</v>
      </c>
      <c r="S30" s="47">
        <f t="shared" si="36"/>
        <v>0</v>
      </c>
      <c r="T30" s="47">
        <f t="shared" si="36"/>
        <v>45904.665609999996</v>
      </c>
      <c r="U30" s="47">
        <f t="shared" si="36"/>
        <v>45904.665609999996</v>
      </c>
      <c r="V30" s="47">
        <f t="shared" si="36"/>
        <v>0</v>
      </c>
      <c r="W30" s="47">
        <f t="shared" si="36"/>
        <v>0</v>
      </c>
      <c r="X30" s="47">
        <v>0</v>
      </c>
      <c r="Y30" s="47">
        <f t="shared" si="36"/>
        <v>0</v>
      </c>
      <c r="Z30" s="96"/>
      <c r="AA30" s="47">
        <f t="shared" si="36"/>
        <v>0</v>
      </c>
      <c r="AB30" s="47">
        <f t="shared" si="36"/>
        <v>0</v>
      </c>
      <c r="AC30" s="47">
        <f t="shared" si="36"/>
        <v>0</v>
      </c>
      <c r="AD30" s="47">
        <f t="shared" si="36"/>
        <v>0</v>
      </c>
      <c r="AE30" s="47">
        <f t="shared" si="36"/>
        <v>0</v>
      </c>
      <c r="AF30" s="47">
        <f t="shared" si="36"/>
        <v>0</v>
      </c>
      <c r="AG30" s="47">
        <f t="shared" si="36"/>
        <v>0</v>
      </c>
      <c r="AH30" s="47">
        <f t="shared" si="36"/>
        <v>0</v>
      </c>
      <c r="AI30" s="47">
        <f t="shared" si="36"/>
        <v>0</v>
      </c>
      <c r="AJ30" s="47">
        <f t="shared" si="36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265"/>
      <c r="B31" s="37" t="s">
        <v>219</v>
      </c>
      <c r="C31" s="1221"/>
      <c r="D31" s="1221"/>
      <c r="E31" s="1221"/>
      <c r="F31" s="1266"/>
      <c r="G31" s="1221"/>
      <c r="H31" s="1221"/>
      <c r="I31" s="1217"/>
      <c r="J31" s="1260"/>
      <c r="K31" s="1260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265"/>
      <c r="B32" s="37" t="s">
        <v>220</v>
      </c>
      <c r="C32" s="1221"/>
      <c r="D32" s="1221"/>
      <c r="E32" s="1221"/>
      <c r="F32" s="1266"/>
      <c r="G32" s="1221"/>
      <c r="H32" s="1221"/>
      <c r="I32" s="1217"/>
      <c r="J32" s="1260"/>
      <c r="K32" s="1260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7">Q35</f>
        <v>0</v>
      </c>
      <c r="R33" s="70">
        <f t="shared" si="37"/>
        <v>0</v>
      </c>
      <c r="S33" s="70">
        <f t="shared" si="37"/>
        <v>0</v>
      </c>
      <c r="T33" s="70">
        <f t="shared" si="37"/>
        <v>0</v>
      </c>
      <c r="U33" s="70">
        <f t="shared" si="37"/>
        <v>0</v>
      </c>
      <c r="V33" s="70">
        <f t="shared" si="37"/>
        <v>0</v>
      </c>
      <c r="W33" s="70">
        <f t="shared" si="37"/>
        <v>0</v>
      </c>
      <c r="X33" s="70">
        <f t="shared" si="37"/>
        <v>0</v>
      </c>
      <c r="Y33" s="70">
        <f t="shared" si="37"/>
        <v>0</v>
      </c>
      <c r="Z33" s="679">
        <v>0</v>
      </c>
      <c r="AA33" s="70">
        <f t="shared" si="37"/>
        <v>0</v>
      </c>
      <c r="AB33" s="70">
        <f t="shared" si="37"/>
        <v>0</v>
      </c>
      <c r="AC33" s="70">
        <f t="shared" si="37"/>
        <v>0</v>
      </c>
      <c r="AD33" s="70">
        <f t="shared" si="37"/>
        <v>0</v>
      </c>
      <c r="AE33" s="70">
        <f t="shared" si="37"/>
        <v>0</v>
      </c>
      <c r="AF33" s="70">
        <f t="shared" si="37"/>
        <v>0</v>
      </c>
      <c r="AG33" s="70">
        <f t="shared" si="37"/>
        <v>0</v>
      </c>
      <c r="AH33" s="70">
        <f t="shared" si="37"/>
        <v>0</v>
      </c>
      <c r="AI33" s="70">
        <f t="shared" si="37"/>
        <v>0</v>
      </c>
      <c r="AJ33" s="70">
        <f t="shared" si="37"/>
        <v>0</v>
      </c>
      <c r="AK33" s="3">
        <f>P33-Q33</f>
        <v>74000</v>
      </c>
      <c r="AL33" s="3">
        <f>AK33</f>
        <v>74000</v>
      </c>
      <c r="AM33" s="70">
        <f t="shared" si="37"/>
        <v>0</v>
      </c>
      <c r="AN33" s="70">
        <f t="shared" si="37"/>
        <v>0</v>
      </c>
      <c r="AO33" s="70">
        <f t="shared" si="37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228"/>
      <c r="H34" s="1228"/>
      <c r="I34" s="1327"/>
      <c r="J34" s="1628"/>
      <c r="K34" s="1628"/>
      <c r="L34" s="1246">
        <v>10164.5</v>
      </c>
      <c r="M34" s="1246">
        <v>0</v>
      </c>
      <c r="N34" s="1246">
        <v>4946.26</v>
      </c>
      <c r="O34" s="1246">
        <v>0</v>
      </c>
      <c r="P34" s="1246">
        <v>0</v>
      </c>
      <c r="Q34" s="1246">
        <v>0</v>
      </c>
      <c r="R34" s="1246">
        <v>0</v>
      </c>
      <c r="S34" s="1246">
        <v>0</v>
      </c>
      <c r="T34" s="1246">
        <v>0</v>
      </c>
      <c r="U34" s="1246">
        <v>0</v>
      </c>
      <c r="V34" s="1246">
        <v>0</v>
      </c>
      <c r="W34" s="1246">
        <v>0</v>
      </c>
      <c r="X34" s="1246">
        <v>0</v>
      </c>
      <c r="Y34" s="1246">
        <v>0</v>
      </c>
      <c r="Z34" s="258"/>
      <c r="AA34" s="1246">
        <v>0</v>
      </c>
      <c r="AB34" s="1246">
        <v>0</v>
      </c>
      <c r="AC34" s="1246">
        <v>0</v>
      </c>
      <c r="AD34" s="1246">
        <v>0</v>
      </c>
      <c r="AE34" s="1246">
        <v>0</v>
      </c>
      <c r="AF34" s="1246">
        <v>0</v>
      </c>
      <c r="AG34" s="1246">
        <v>0</v>
      </c>
      <c r="AH34" s="1246">
        <v>0</v>
      </c>
      <c r="AI34" s="1246">
        <v>0</v>
      </c>
      <c r="AJ34" s="1246">
        <v>0</v>
      </c>
      <c r="AK34" s="288">
        <v>0</v>
      </c>
      <c r="AL34" s="288">
        <v>0</v>
      </c>
      <c r="AM34" s="1246">
        <v>0</v>
      </c>
      <c r="AN34" s="1246">
        <v>0</v>
      </c>
      <c r="AO34" s="1246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228">
        <v>2020</v>
      </c>
      <c r="H35" s="1228">
        <v>2021</v>
      </c>
      <c r="I35" s="1328"/>
      <c r="J35" s="1629"/>
      <c r="K35" s="1629"/>
      <c r="L35" s="1246">
        <v>250336.75</v>
      </c>
      <c r="M35" s="1246">
        <v>0</v>
      </c>
      <c r="N35" s="1246">
        <v>64997.45</v>
      </c>
      <c r="O35" s="1246">
        <v>69943.710000000006</v>
      </c>
      <c r="P35" s="1246">
        <v>74000</v>
      </c>
      <c r="Q35" s="1246">
        <v>0</v>
      </c>
      <c r="R35" s="1246">
        <v>0</v>
      </c>
      <c r="S35" s="1246">
        <v>0</v>
      </c>
      <c r="T35" s="1246">
        <v>0</v>
      </c>
      <c r="U35" s="1246">
        <v>0</v>
      </c>
      <c r="V35" s="1246">
        <v>0</v>
      </c>
      <c r="W35" s="1246">
        <v>0</v>
      </c>
      <c r="X35" s="1246">
        <v>0</v>
      </c>
      <c r="Y35" s="1246">
        <v>0</v>
      </c>
      <c r="Z35" s="258"/>
      <c r="AA35" s="1246">
        <v>0</v>
      </c>
      <c r="AB35" s="1246">
        <v>0</v>
      </c>
      <c r="AC35" s="1246">
        <v>0</v>
      </c>
      <c r="AD35" s="1246">
        <v>0</v>
      </c>
      <c r="AE35" s="1246">
        <v>0</v>
      </c>
      <c r="AF35" s="1246">
        <v>0</v>
      </c>
      <c r="AG35" s="1246">
        <v>0</v>
      </c>
      <c r="AH35" s="1246">
        <v>0</v>
      </c>
      <c r="AI35" s="1246">
        <v>0</v>
      </c>
      <c r="AJ35" s="1246">
        <v>0</v>
      </c>
      <c r="AK35" s="1246">
        <v>0</v>
      </c>
      <c r="AL35" s="1246">
        <v>0</v>
      </c>
      <c r="AM35" s="1246">
        <v>0</v>
      </c>
      <c r="AN35" s="1246">
        <v>0</v>
      </c>
      <c r="AO35" s="1246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8">M37+M39</f>
        <v>20243.12</v>
      </c>
      <c r="N36" s="318">
        <f t="shared" si="38"/>
        <v>13773.23</v>
      </c>
      <c r="O36" s="318">
        <f t="shared" si="38"/>
        <v>8942.9699999999993</v>
      </c>
      <c r="P36" s="318">
        <f t="shared" si="38"/>
        <v>90000</v>
      </c>
      <c r="Q36" s="318">
        <f t="shared" si="38"/>
        <v>0</v>
      </c>
      <c r="R36" s="318">
        <f t="shared" si="38"/>
        <v>0</v>
      </c>
      <c r="S36" s="318">
        <f t="shared" si="38"/>
        <v>0</v>
      </c>
      <c r="T36" s="318">
        <f t="shared" si="38"/>
        <v>0</v>
      </c>
      <c r="U36" s="318">
        <f t="shared" si="38"/>
        <v>0</v>
      </c>
      <c r="V36" s="318">
        <f t="shared" si="38"/>
        <v>0</v>
      </c>
      <c r="W36" s="318">
        <f t="shared" si="38"/>
        <v>0</v>
      </c>
      <c r="X36" s="318">
        <f t="shared" si="38"/>
        <v>0</v>
      </c>
      <c r="Y36" s="318">
        <f t="shared" si="38"/>
        <v>0</v>
      </c>
      <c r="Z36" s="372">
        <v>0</v>
      </c>
      <c r="AA36" s="318">
        <f t="shared" si="38"/>
        <v>0</v>
      </c>
      <c r="AB36" s="318">
        <f t="shared" si="38"/>
        <v>0</v>
      </c>
      <c r="AC36" s="318">
        <f t="shared" si="38"/>
        <v>0</v>
      </c>
      <c r="AD36" s="318">
        <f t="shared" si="38"/>
        <v>0</v>
      </c>
      <c r="AE36" s="318">
        <f t="shared" si="38"/>
        <v>0</v>
      </c>
      <c r="AF36" s="318">
        <f t="shared" si="38"/>
        <v>0</v>
      </c>
      <c r="AG36" s="318">
        <f t="shared" si="38"/>
        <v>0</v>
      </c>
      <c r="AH36" s="318">
        <f t="shared" si="38"/>
        <v>0</v>
      </c>
      <c r="AI36" s="318">
        <f t="shared" si="38"/>
        <v>0</v>
      </c>
      <c r="AJ36" s="318">
        <f t="shared" si="38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8"/>
        <v>0</v>
      </c>
      <c r="AO36" s="318">
        <f t="shared" si="38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228">
        <v>2019</v>
      </c>
      <c r="H37" s="1228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242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228">
        <v>2020</v>
      </c>
      <c r="H39" s="1228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235"/>
      <c r="J40" s="3"/>
      <c r="K40" s="1238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9">SUM(R41:R42)</f>
        <v>0</v>
      </c>
      <c r="S40" s="318">
        <f t="shared" si="39"/>
        <v>0</v>
      </c>
      <c r="T40" s="318">
        <f t="shared" si="39"/>
        <v>0</v>
      </c>
      <c r="U40" s="318">
        <f t="shared" si="39"/>
        <v>0</v>
      </c>
      <c r="V40" s="318">
        <f t="shared" si="39"/>
        <v>0</v>
      </c>
      <c r="W40" s="318">
        <f t="shared" si="39"/>
        <v>0</v>
      </c>
      <c r="X40" s="318">
        <f t="shared" si="39"/>
        <v>0</v>
      </c>
      <c r="Y40" s="318">
        <f t="shared" si="39"/>
        <v>0</v>
      </c>
      <c r="Z40" s="318">
        <f t="shared" si="39"/>
        <v>0</v>
      </c>
      <c r="AA40" s="318">
        <f t="shared" si="39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265"/>
      <c r="B41" s="42" t="s">
        <v>15</v>
      </c>
      <c r="C41" s="768"/>
      <c r="D41" s="768"/>
      <c r="E41" s="768"/>
      <c r="F41" s="769"/>
      <c r="G41" s="335"/>
      <c r="H41" s="770"/>
      <c r="I41" s="1220"/>
      <c r="J41" s="47"/>
      <c r="K41" s="1246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242"/>
      <c r="AQ41" s="268"/>
    </row>
    <row r="42" spans="1:43" ht="15" customHeight="1" x14ac:dyDescent="0.25">
      <c r="A42" s="1265"/>
      <c r="B42" s="42" t="s">
        <v>16</v>
      </c>
      <c r="C42" s="768"/>
      <c r="D42" s="768"/>
      <c r="E42" s="768"/>
      <c r="F42" s="769"/>
      <c r="G42" s="335"/>
      <c r="H42" s="770"/>
      <c r="I42" s="1220"/>
      <c r="J42" s="47"/>
      <c r="K42" s="1246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242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242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40">M47</f>
        <v>0</v>
      </c>
      <c r="N44" s="47">
        <f t="shared" si="40"/>
        <v>0</v>
      </c>
      <c r="O44" s="47">
        <f t="shared" si="40"/>
        <v>0</v>
      </c>
      <c r="P44" s="47">
        <f t="shared" si="40"/>
        <v>0</v>
      </c>
      <c r="Q44" s="47">
        <f t="shared" si="40"/>
        <v>0</v>
      </c>
      <c r="R44" s="47">
        <f t="shared" si="40"/>
        <v>0</v>
      </c>
      <c r="S44" s="47">
        <f t="shared" si="40"/>
        <v>0</v>
      </c>
      <c r="T44" s="47">
        <f t="shared" si="40"/>
        <v>0</v>
      </c>
      <c r="U44" s="47">
        <f t="shared" si="40"/>
        <v>7.2</v>
      </c>
      <c r="V44" s="47">
        <f t="shared" si="40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242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41">J47</f>
        <v>23417.360000000001</v>
      </c>
      <c r="K45" s="47">
        <f t="shared" si="41"/>
        <v>0</v>
      </c>
      <c r="L45" s="47">
        <v>0</v>
      </c>
      <c r="M45" s="4">
        <f t="shared" si="41"/>
        <v>0</v>
      </c>
      <c r="N45" s="4">
        <f t="shared" si="41"/>
        <v>0</v>
      </c>
      <c r="O45" s="4">
        <f t="shared" si="41"/>
        <v>0</v>
      </c>
      <c r="P45" s="4">
        <v>0</v>
      </c>
      <c r="Q45" s="4">
        <v>0</v>
      </c>
      <c r="R45" s="4">
        <f t="shared" si="41"/>
        <v>0</v>
      </c>
      <c r="S45" s="4">
        <f t="shared" si="41"/>
        <v>0</v>
      </c>
      <c r="T45" s="4">
        <f t="shared" si="41"/>
        <v>0</v>
      </c>
      <c r="U45" s="4">
        <v>0</v>
      </c>
      <c r="V45" s="4">
        <f t="shared" si="41"/>
        <v>0</v>
      </c>
      <c r="W45" s="4">
        <f t="shared" si="41"/>
        <v>0</v>
      </c>
      <c r="X45" s="4">
        <f t="shared" si="41"/>
        <v>0</v>
      </c>
      <c r="Y45" s="4">
        <f t="shared" si="41"/>
        <v>0</v>
      </c>
      <c r="Z45" s="268"/>
      <c r="AA45" s="4">
        <f t="shared" si="41"/>
        <v>0</v>
      </c>
      <c r="AB45" s="4">
        <f t="shared" si="41"/>
        <v>0</v>
      </c>
      <c r="AC45" s="4">
        <f t="shared" si="41"/>
        <v>7.2</v>
      </c>
      <c r="AD45" s="4">
        <f t="shared" si="41"/>
        <v>0</v>
      </c>
      <c r="AE45" s="4">
        <f t="shared" si="41"/>
        <v>0</v>
      </c>
      <c r="AF45" s="4">
        <f t="shared" si="41"/>
        <v>0</v>
      </c>
      <c r="AG45" s="4">
        <f t="shared" si="41"/>
        <v>0</v>
      </c>
      <c r="AH45" s="4">
        <f t="shared" si="41"/>
        <v>0</v>
      </c>
      <c r="AI45" s="4">
        <f t="shared" si="41"/>
        <v>0</v>
      </c>
      <c r="AJ45" s="4">
        <f t="shared" si="41"/>
        <v>0</v>
      </c>
      <c r="AK45" s="4">
        <f t="shared" si="41"/>
        <v>0</v>
      </c>
      <c r="AL45" s="4">
        <f t="shared" si="41"/>
        <v>0</v>
      </c>
      <c r="AM45" s="4">
        <f t="shared" si="41"/>
        <v>0</v>
      </c>
      <c r="AN45" s="4">
        <f t="shared" si="41"/>
        <v>0</v>
      </c>
      <c r="AO45" s="4">
        <f t="shared" si="41"/>
        <v>0</v>
      </c>
      <c r="AP45" s="1242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242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230">
        <v>900</v>
      </c>
      <c r="D47" s="35">
        <v>28000</v>
      </c>
      <c r="E47" s="1230"/>
      <c r="F47" s="1241"/>
      <c r="G47" s="1233"/>
      <c r="H47" s="1233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42">R48+R51</f>
        <v>0</v>
      </c>
      <c r="S47" s="70">
        <f t="shared" si="42"/>
        <v>0</v>
      </c>
      <c r="T47" s="70">
        <f t="shared" si="42"/>
        <v>0</v>
      </c>
      <c r="U47" s="70">
        <f t="shared" si="42"/>
        <v>7.2</v>
      </c>
      <c r="V47" s="70">
        <f t="shared" si="42"/>
        <v>0</v>
      </c>
      <c r="W47" s="70">
        <f t="shared" si="42"/>
        <v>0</v>
      </c>
      <c r="X47" s="70">
        <f t="shared" si="42"/>
        <v>0</v>
      </c>
      <c r="Y47" s="70">
        <f t="shared" si="42"/>
        <v>0</v>
      </c>
      <c r="Z47" s="679">
        <v>0</v>
      </c>
      <c r="AA47" s="70">
        <v>0</v>
      </c>
      <c r="AB47" s="70">
        <f t="shared" si="42"/>
        <v>0</v>
      </c>
      <c r="AC47" s="70">
        <f t="shared" si="42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213" t="s">
        <v>15</v>
      </c>
      <c r="C48" s="1236"/>
      <c r="D48" s="577"/>
      <c r="E48" s="1236"/>
      <c r="F48" s="1244"/>
      <c r="G48" s="1219"/>
      <c r="H48" s="1219"/>
      <c r="I48" s="1448"/>
      <c r="J48" s="1628"/>
      <c r="K48" s="1628"/>
      <c r="L48" s="1246">
        <v>521.89</v>
      </c>
      <c r="M48" s="1246"/>
      <c r="N48" s="1246">
        <v>0</v>
      </c>
      <c r="O48" s="1264"/>
      <c r="P48" s="1246">
        <v>0</v>
      </c>
      <c r="Q48" s="1246">
        <v>0</v>
      </c>
      <c r="R48" s="1246">
        <f t="shared" ref="R48:Z48" si="43">R49+R50</f>
        <v>0</v>
      </c>
      <c r="S48" s="1246">
        <f t="shared" si="43"/>
        <v>0</v>
      </c>
      <c r="T48" s="1246">
        <f t="shared" si="43"/>
        <v>0</v>
      </c>
      <c r="U48" s="1246">
        <f t="shared" si="43"/>
        <v>7.2</v>
      </c>
      <c r="V48" s="1246">
        <f t="shared" si="43"/>
        <v>0</v>
      </c>
      <c r="W48" s="1246">
        <f t="shared" si="43"/>
        <v>0</v>
      </c>
      <c r="X48" s="1246">
        <f t="shared" si="43"/>
        <v>0</v>
      </c>
      <c r="Y48" s="1246">
        <f t="shared" si="43"/>
        <v>0</v>
      </c>
      <c r="Z48" s="1246">
        <f t="shared" si="43"/>
        <v>0</v>
      </c>
      <c r="AA48" s="1246">
        <v>0</v>
      </c>
      <c r="AB48" s="1246">
        <f t="shared" ref="AB48:AC48" si="44">AB49</f>
        <v>0</v>
      </c>
      <c r="AC48" s="1246">
        <f t="shared" si="44"/>
        <v>7.2</v>
      </c>
      <c r="AD48" s="1246"/>
      <c r="AE48" s="1246"/>
      <c r="AF48" s="1246"/>
      <c r="AG48" s="1246"/>
      <c r="AH48" s="1246"/>
      <c r="AI48" s="1246"/>
      <c r="AJ48" s="1246"/>
      <c r="AK48" s="288"/>
      <c r="AL48" s="288"/>
      <c r="AM48" s="1246"/>
      <c r="AN48" s="1246"/>
      <c r="AO48" s="1246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213" t="s">
        <v>16</v>
      </c>
      <c r="C51" s="1236"/>
      <c r="D51" s="1236"/>
      <c r="E51" s="1236"/>
      <c r="F51" s="1244"/>
      <c r="G51" s="1219">
        <v>2020</v>
      </c>
      <c r="H51" s="1219">
        <v>2020</v>
      </c>
      <c r="I51" s="1449"/>
      <c r="J51" s="1629"/>
      <c r="K51" s="1629"/>
      <c r="L51" s="1246">
        <v>4152.18</v>
      </c>
      <c r="M51" s="1246">
        <v>0</v>
      </c>
      <c r="N51" s="1246">
        <v>0</v>
      </c>
      <c r="O51" s="1246">
        <v>0</v>
      </c>
      <c r="P51" s="1246">
        <v>0</v>
      </c>
      <c r="Q51" s="1246">
        <v>0</v>
      </c>
      <c r="R51" s="1246">
        <v>0</v>
      </c>
      <c r="S51" s="1246">
        <v>0</v>
      </c>
      <c r="T51" s="1246">
        <v>0</v>
      </c>
      <c r="U51" s="1246">
        <v>0</v>
      </c>
      <c r="V51" s="1246">
        <v>0</v>
      </c>
      <c r="W51" s="1246">
        <v>0</v>
      </c>
      <c r="X51" s="1246">
        <v>0</v>
      </c>
      <c r="Y51" s="1246">
        <v>0</v>
      </c>
      <c r="Z51" s="258"/>
      <c r="AA51" s="1246">
        <v>0</v>
      </c>
      <c r="AB51" s="1246">
        <v>0</v>
      </c>
      <c r="AC51" s="1246">
        <v>0</v>
      </c>
      <c r="AD51" s="1246">
        <v>0</v>
      </c>
      <c r="AE51" s="1246">
        <v>0</v>
      </c>
      <c r="AF51" s="1246">
        <v>0</v>
      </c>
      <c r="AG51" s="1246">
        <f t="shared" ref="AG51:AJ52" si="45">AG54+AG57</f>
        <v>0</v>
      </c>
      <c r="AH51" s="1246">
        <f t="shared" si="45"/>
        <v>0</v>
      </c>
      <c r="AI51" s="1246">
        <f t="shared" si="45"/>
        <v>0</v>
      </c>
      <c r="AJ51" s="1246">
        <f t="shared" si="45"/>
        <v>0</v>
      </c>
      <c r="AK51" s="1246">
        <v>0</v>
      </c>
      <c r="AL51" s="1246">
        <v>0</v>
      </c>
      <c r="AM51" s="1246">
        <v>0</v>
      </c>
      <c r="AN51" s="1246">
        <v>0</v>
      </c>
      <c r="AO51" s="1246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261">
        <f>L52</f>
        <v>924.64</v>
      </c>
      <c r="K52" s="1261">
        <v>0</v>
      </c>
      <c r="L52" s="1246">
        <f>L58</f>
        <v>924.64</v>
      </c>
      <c r="M52" s="1246">
        <f t="shared" ref="M52:AO52" si="46">M55+M58</f>
        <v>0</v>
      </c>
      <c r="N52" s="1246">
        <f t="shared" si="46"/>
        <v>0</v>
      </c>
      <c r="O52" s="1246">
        <f t="shared" si="46"/>
        <v>0</v>
      </c>
      <c r="P52" s="1246">
        <f t="shared" si="46"/>
        <v>725.37</v>
      </c>
      <c r="Q52" s="1246">
        <f t="shared" si="46"/>
        <v>0</v>
      </c>
      <c r="R52" s="1246">
        <f t="shared" si="46"/>
        <v>0</v>
      </c>
      <c r="S52" s="1246">
        <f t="shared" si="46"/>
        <v>0</v>
      </c>
      <c r="T52" s="1246">
        <f t="shared" si="46"/>
        <v>0</v>
      </c>
      <c r="U52" s="1246">
        <f t="shared" si="46"/>
        <v>0</v>
      </c>
      <c r="V52" s="1246">
        <f t="shared" si="46"/>
        <v>131</v>
      </c>
      <c r="W52" s="1246">
        <f t="shared" si="46"/>
        <v>131</v>
      </c>
      <c r="X52" s="1246">
        <f t="shared" si="46"/>
        <v>0</v>
      </c>
      <c r="Y52" s="1246">
        <f t="shared" si="46"/>
        <v>0</v>
      </c>
      <c r="Z52" s="258"/>
      <c r="AA52" s="1246">
        <f t="shared" si="46"/>
        <v>0</v>
      </c>
      <c r="AB52" s="1246">
        <f t="shared" si="46"/>
        <v>0</v>
      </c>
      <c r="AC52" s="1246">
        <f t="shared" si="46"/>
        <v>0</v>
      </c>
      <c r="AD52" s="1246">
        <f t="shared" si="46"/>
        <v>200</v>
      </c>
      <c r="AE52" s="1246">
        <f t="shared" si="46"/>
        <v>0</v>
      </c>
      <c r="AF52" s="1246">
        <f t="shared" si="46"/>
        <v>0</v>
      </c>
      <c r="AG52" s="1246">
        <f t="shared" si="45"/>
        <v>0</v>
      </c>
      <c r="AH52" s="1246">
        <f t="shared" si="45"/>
        <v>0</v>
      </c>
      <c r="AI52" s="1246">
        <f t="shared" si="45"/>
        <v>0</v>
      </c>
      <c r="AJ52" s="1246">
        <f t="shared" si="45"/>
        <v>0</v>
      </c>
      <c r="AK52" s="1246">
        <f t="shared" si="46"/>
        <v>725.37</v>
      </c>
      <c r="AL52" s="1246">
        <f t="shared" si="46"/>
        <v>725.37</v>
      </c>
      <c r="AM52" s="1246">
        <f t="shared" si="46"/>
        <v>0</v>
      </c>
      <c r="AN52" s="1246">
        <f t="shared" si="46"/>
        <v>0</v>
      </c>
      <c r="AO52" s="1246">
        <f t="shared" si="46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261">
        <f>L53</f>
        <v>0</v>
      </c>
      <c r="K53" s="1261">
        <v>0</v>
      </c>
      <c r="L53" s="1246">
        <v>0</v>
      </c>
      <c r="M53" s="1246">
        <v>0</v>
      </c>
      <c r="N53" s="1246">
        <v>0</v>
      </c>
      <c r="O53" s="1264">
        <v>0</v>
      </c>
      <c r="P53" s="1246">
        <v>0</v>
      </c>
      <c r="Q53" s="1246">
        <v>0</v>
      </c>
      <c r="R53" s="1246">
        <v>0</v>
      </c>
      <c r="S53" s="1246">
        <v>0</v>
      </c>
      <c r="T53" s="1246">
        <v>0</v>
      </c>
      <c r="U53" s="1246">
        <v>0</v>
      </c>
      <c r="V53" s="1246">
        <v>0</v>
      </c>
      <c r="W53" s="1246">
        <v>0</v>
      </c>
      <c r="X53" s="1246">
        <v>0</v>
      </c>
      <c r="Y53" s="1246">
        <v>0</v>
      </c>
      <c r="Z53" s="258"/>
      <c r="AA53" s="1246">
        <v>0</v>
      </c>
      <c r="AB53" s="1246">
        <v>0</v>
      </c>
      <c r="AC53" s="1246">
        <v>0</v>
      </c>
      <c r="AD53" s="1246">
        <v>0</v>
      </c>
      <c r="AE53" s="1246">
        <v>0</v>
      </c>
      <c r="AF53" s="1246">
        <v>0</v>
      </c>
      <c r="AG53" s="1246">
        <v>0</v>
      </c>
      <c r="AH53" s="1246">
        <v>0</v>
      </c>
      <c r="AI53" s="1246">
        <v>0</v>
      </c>
      <c r="AJ53" s="1246">
        <v>0</v>
      </c>
      <c r="AK53" s="1246">
        <v>0</v>
      </c>
      <c r="AL53" s="1246">
        <v>0</v>
      </c>
      <c r="AM53" s="1246">
        <v>0</v>
      </c>
      <c r="AN53" s="1246">
        <v>0</v>
      </c>
      <c r="AO53" s="1246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261">
        <f>L54</f>
        <v>0</v>
      </c>
      <c r="K54" s="1261">
        <v>0</v>
      </c>
      <c r="L54" s="1246">
        <v>0</v>
      </c>
      <c r="M54" s="1246">
        <v>0</v>
      </c>
      <c r="N54" s="1246">
        <v>0</v>
      </c>
      <c r="O54" s="1264">
        <v>0</v>
      </c>
      <c r="P54" s="1246">
        <v>0</v>
      </c>
      <c r="Q54" s="1246">
        <v>0</v>
      </c>
      <c r="R54" s="1246">
        <v>0</v>
      </c>
      <c r="S54" s="1246">
        <v>0</v>
      </c>
      <c r="T54" s="1246">
        <v>0</v>
      </c>
      <c r="U54" s="1246">
        <v>0</v>
      </c>
      <c r="V54" s="1246">
        <v>0</v>
      </c>
      <c r="W54" s="1246">
        <v>0</v>
      </c>
      <c r="X54" s="1246">
        <v>0</v>
      </c>
      <c r="Y54" s="1246">
        <v>0</v>
      </c>
      <c r="Z54" s="258"/>
      <c r="AA54" s="1246">
        <v>0</v>
      </c>
      <c r="AB54" s="1246">
        <v>0</v>
      </c>
      <c r="AC54" s="1246">
        <v>0</v>
      </c>
      <c r="AD54" s="1246">
        <v>0</v>
      </c>
      <c r="AE54" s="1246">
        <v>0</v>
      </c>
      <c r="AF54" s="1246">
        <v>0</v>
      </c>
      <c r="AG54" s="1246">
        <v>0</v>
      </c>
      <c r="AH54" s="1246">
        <v>0</v>
      </c>
      <c r="AI54" s="1246">
        <v>0</v>
      </c>
      <c r="AJ54" s="1246">
        <v>0</v>
      </c>
      <c r="AK54" s="1246">
        <v>0</v>
      </c>
      <c r="AL54" s="1246">
        <v>0</v>
      </c>
      <c r="AM54" s="1246">
        <v>0</v>
      </c>
      <c r="AN54" s="1246">
        <v>0</v>
      </c>
      <c r="AO54" s="1246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236"/>
      <c r="H55" s="1236"/>
      <c r="I55" s="1374" t="s">
        <v>20</v>
      </c>
      <c r="J55" s="1261">
        <f>L55</f>
        <v>0</v>
      </c>
      <c r="K55" s="1261"/>
      <c r="L55" s="1246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7">R56+R57</f>
        <v>0</v>
      </c>
      <c r="S55" s="71">
        <f t="shared" si="47"/>
        <v>0</v>
      </c>
      <c r="T55" s="71">
        <f t="shared" si="47"/>
        <v>0</v>
      </c>
      <c r="U55" s="71">
        <f t="shared" si="47"/>
        <v>0</v>
      </c>
      <c r="V55" s="71">
        <f t="shared" si="47"/>
        <v>0</v>
      </c>
      <c r="W55" s="71">
        <f t="shared" si="47"/>
        <v>0</v>
      </c>
      <c r="X55" s="71">
        <f t="shared" si="47"/>
        <v>0</v>
      </c>
      <c r="Y55" s="71">
        <f t="shared" si="47"/>
        <v>0</v>
      </c>
      <c r="Z55" s="100"/>
      <c r="AA55" s="71">
        <f t="shared" si="47"/>
        <v>0</v>
      </c>
      <c r="AB55" s="71">
        <f t="shared" si="47"/>
        <v>0</v>
      </c>
      <c r="AC55" s="71">
        <f t="shared" si="47"/>
        <v>0</v>
      </c>
      <c r="AD55" s="71">
        <f t="shared" si="47"/>
        <v>0</v>
      </c>
      <c r="AE55" s="71">
        <f t="shared" si="47"/>
        <v>0</v>
      </c>
      <c r="AF55" s="71">
        <f t="shared" si="47"/>
        <v>0</v>
      </c>
      <c r="AG55" s="71">
        <f t="shared" si="47"/>
        <v>0</v>
      </c>
      <c r="AH55" s="71">
        <f t="shared" si="47"/>
        <v>0</v>
      </c>
      <c r="AI55" s="71">
        <f t="shared" si="47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7"/>
        <v>0</v>
      </c>
      <c r="AO55" s="71">
        <f t="shared" si="47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236">
        <v>2019</v>
      </c>
      <c r="H56" s="1236">
        <v>2019</v>
      </c>
      <c r="I56" s="1391"/>
      <c r="J56" s="1261">
        <f t="shared" ref="J56:J61" si="48">L56</f>
        <v>0</v>
      </c>
      <c r="K56" s="1261"/>
      <c r="L56" s="1246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228">
        <v>2019</v>
      </c>
      <c r="H57" s="1228">
        <v>2019</v>
      </c>
      <c r="I57" s="1375"/>
      <c r="J57" s="1261">
        <f t="shared" si="48"/>
        <v>0</v>
      </c>
      <c r="K57" s="1220"/>
      <c r="L57" s="1246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228"/>
      <c r="H58" s="1228"/>
      <c r="I58" s="1374" t="s">
        <v>20</v>
      </c>
      <c r="J58" s="1261">
        <f t="shared" si="48"/>
        <v>924.64</v>
      </c>
      <c r="K58" s="1220"/>
      <c r="L58" s="1246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9">R59+R61</f>
        <v>0</v>
      </c>
      <c r="S58" s="318">
        <f t="shared" si="49"/>
        <v>0</v>
      </c>
      <c r="T58" s="318">
        <f t="shared" si="49"/>
        <v>0</v>
      </c>
      <c r="U58" s="318">
        <f t="shared" si="49"/>
        <v>0</v>
      </c>
      <c r="V58" s="318">
        <f t="shared" si="49"/>
        <v>131</v>
      </c>
      <c r="W58" s="318">
        <f t="shared" si="49"/>
        <v>131</v>
      </c>
      <c r="X58" s="318">
        <f t="shared" si="49"/>
        <v>0</v>
      </c>
      <c r="Y58" s="318">
        <f t="shared" si="49"/>
        <v>0</v>
      </c>
      <c r="Z58" s="372">
        <v>0</v>
      </c>
      <c r="AA58" s="318">
        <v>0</v>
      </c>
      <c r="AB58" s="4">
        <f t="shared" si="49"/>
        <v>0</v>
      </c>
      <c r="AC58" s="4">
        <f t="shared" si="49"/>
        <v>0</v>
      </c>
      <c r="AD58" s="4">
        <f t="shared" si="49"/>
        <v>200</v>
      </c>
      <c r="AE58" s="4">
        <f t="shared" si="49"/>
        <v>0</v>
      </c>
      <c r="AF58" s="4">
        <f t="shared" si="49"/>
        <v>0</v>
      </c>
      <c r="AG58" s="4">
        <f t="shared" si="49"/>
        <v>0</v>
      </c>
      <c r="AH58" s="4">
        <f t="shared" si="49"/>
        <v>0</v>
      </c>
      <c r="AI58" s="4">
        <f t="shared" si="49"/>
        <v>0</v>
      </c>
      <c r="AJ58" s="4">
        <f t="shared" si="49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9"/>
        <v>0</v>
      </c>
      <c r="AO58" s="4">
        <f t="shared" si="49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228">
        <v>2019</v>
      </c>
      <c r="H59" s="1228">
        <v>2019</v>
      </c>
      <c r="I59" s="1391"/>
      <c r="J59" s="1261">
        <f t="shared" si="48"/>
        <v>250</v>
      </c>
      <c r="K59" s="1220"/>
      <c r="L59" s="1246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50">R60</f>
        <v>0</v>
      </c>
      <c r="S59" s="4">
        <f t="shared" si="50"/>
        <v>0</v>
      </c>
      <c r="T59" s="4">
        <f t="shared" si="50"/>
        <v>0</v>
      </c>
      <c r="U59" s="4">
        <f t="shared" si="50"/>
        <v>0</v>
      </c>
      <c r="V59" s="4">
        <f t="shared" si="50"/>
        <v>131</v>
      </c>
      <c r="W59" s="4">
        <f t="shared" si="50"/>
        <v>131</v>
      </c>
      <c r="X59" s="4">
        <f t="shared" si="50"/>
        <v>0</v>
      </c>
      <c r="Y59" s="4">
        <f t="shared" si="50"/>
        <v>0</v>
      </c>
      <c r="Z59" s="268"/>
      <c r="AA59" s="4">
        <v>0</v>
      </c>
      <c r="AB59" s="4">
        <f t="shared" si="50"/>
        <v>0</v>
      </c>
      <c r="AC59" s="4">
        <f t="shared" si="50"/>
        <v>0</v>
      </c>
      <c r="AD59" s="4">
        <f t="shared" si="50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242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228">
        <v>2019</v>
      </c>
      <c r="H61" s="1228">
        <v>2019</v>
      </c>
      <c r="I61" s="1375"/>
      <c r="J61" s="1261">
        <f t="shared" si="48"/>
        <v>674.64</v>
      </c>
      <c r="K61" s="1220"/>
      <c r="L61" s="1246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235"/>
      <c r="L62" s="1238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51">SUM(R63:R64)</f>
        <v>0</v>
      </c>
      <c r="S62" s="318">
        <f t="shared" si="51"/>
        <v>0</v>
      </c>
      <c r="T62" s="318">
        <f t="shared" si="51"/>
        <v>0</v>
      </c>
      <c r="U62" s="318">
        <f t="shared" si="51"/>
        <v>0</v>
      </c>
      <c r="V62" s="318">
        <f t="shared" si="51"/>
        <v>0</v>
      </c>
      <c r="W62" s="318">
        <f t="shared" si="51"/>
        <v>0</v>
      </c>
      <c r="X62" s="318">
        <f t="shared" si="51"/>
        <v>0</v>
      </c>
      <c r="Y62" s="318">
        <f t="shared" si="51"/>
        <v>0</v>
      </c>
      <c r="Z62" s="318">
        <f t="shared" si="51"/>
        <v>0</v>
      </c>
      <c r="AA62" s="318">
        <f t="shared" si="51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265"/>
      <c r="B63" s="42" t="s">
        <v>15</v>
      </c>
      <c r="C63" s="341"/>
      <c r="D63" s="341"/>
      <c r="E63" s="771"/>
      <c r="F63" s="691"/>
      <c r="G63" s="335"/>
      <c r="H63" s="770"/>
      <c r="I63" s="1239"/>
      <c r="J63" s="1261"/>
      <c r="K63" s="1220"/>
      <c r="L63" s="1246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265"/>
      <c r="B64" s="42" t="s">
        <v>32</v>
      </c>
      <c r="C64" s="341"/>
      <c r="D64" s="341"/>
      <c r="E64" s="771"/>
      <c r="F64" s="691"/>
      <c r="G64" s="335"/>
      <c r="H64" s="770"/>
      <c r="I64" s="1239"/>
      <c r="J64" s="1261"/>
      <c r="K64" s="1220"/>
      <c r="L64" s="1246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52">J68</f>
        <v>18824.2</v>
      </c>
      <c r="K65" s="47">
        <f t="shared" si="52"/>
        <v>0</v>
      </c>
      <c r="L65" s="47">
        <f t="shared" si="52"/>
        <v>5710.74</v>
      </c>
      <c r="M65" s="47">
        <f t="shared" si="52"/>
        <v>893.45</v>
      </c>
      <c r="N65" s="47">
        <f t="shared" si="52"/>
        <v>1051.49</v>
      </c>
      <c r="O65" s="47">
        <f t="shared" si="52"/>
        <v>11206.2</v>
      </c>
      <c r="P65" s="47">
        <f t="shared" si="52"/>
        <v>192.06</v>
      </c>
      <c r="Q65" s="47">
        <f t="shared" si="52"/>
        <v>75</v>
      </c>
      <c r="R65" s="47">
        <f t="shared" si="52"/>
        <v>0</v>
      </c>
      <c r="S65" s="47">
        <f t="shared" si="52"/>
        <v>0</v>
      </c>
      <c r="T65" s="47">
        <f t="shared" si="52"/>
        <v>0</v>
      </c>
      <c r="U65" s="47">
        <f t="shared" si="52"/>
        <v>0</v>
      </c>
      <c r="V65" s="47">
        <f t="shared" si="52"/>
        <v>0</v>
      </c>
      <c r="W65" s="47">
        <f t="shared" si="52"/>
        <v>0</v>
      </c>
      <c r="X65" s="47">
        <f t="shared" si="52"/>
        <v>0</v>
      </c>
      <c r="Y65" s="47">
        <f t="shared" si="52"/>
        <v>0</v>
      </c>
      <c r="Z65" s="96"/>
      <c r="AA65" s="47">
        <f t="shared" si="52"/>
        <v>75</v>
      </c>
      <c r="AB65" s="47">
        <f t="shared" si="52"/>
        <v>0</v>
      </c>
      <c r="AC65" s="47">
        <f t="shared" si="52"/>
        <v>0</v>
      </c>
      <c r="AD65" s="47">
        <f t="shared" si="52"/>
        <v>0</v>
      </c>
      <c r="AE65" s="47">
        <f t="shared" si="52"/>
        <v>0</v>
      </c>
      <c r="AF65" s="47">
        <f t="shared" si="52"/>
        <v>0</v>
      </c>
      <c r="AG65" s="47">
        <f t="shared" si="52"/>
        <v>0</v>
      </c>
      <c r="AH65" s="47">
        <f t="shared" si="52"/>
        <v>0</v>
      </c>
      <c r="AI65" s="47">
        <f t="shared" si="52"/>
        <v>0</v>
      </c>
      <c r="AJ65" s="47">
        <f t="shared" si="52"/>
        <v>0</v>
      </c>
      <c r="AK65" s="47">
        <f t="shared" si="52"/>
        <v>117.06</v>
      </c>
      <c r="AL65" s="47">
        <f t="shared" si="52"/>
        <v>117.06</v>
      </c>
      <c r="AM65" s="47">
        <f t="shared" si="52"/>
        <v>39.049999999999997</v>
      </c>
      <c r="AN65" s="47">
        <f t="shared" si="52"/>
        <v>0</v>
      </c>
      <c r="AO65" s="47">
        <f t="shared" si="52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233"/>
      <c r="H68" s="1233"/>
      <c r="I68" s="1326" t="s">
        <v>20</v>
      </c>
      <c r="J68" s="1640">
        <v>18824.2</v>
      </c>
      <c r="K68" s="3">
        <v>0</v>
      </c>
      <c r="L68" s="3">
        <f t="shared" ref="L68:P68" si="53">L69+L71</f>
        <v>5710.74</v>
      </c>
      <c r="M68" s="3">
        <f t="shared" si="53"/>
        <v>893.45</v>
      </c>
      <c r="N68" s="3">
        <f t="shared" si="53"/>
        <v>1051.49</v>
      </c>
      <c r="O68" s="3">
        <f t="shared" si="53"/>
        <v>11206.2</v>
      </c>
      <c r="P68" s="3">
        <f t="shared" si="53"/>
        <v>192.06</v>
      </c>
      <c r="Q68" s="3">
        <f>SUM(Q69:Q71)</f>
        <v>75</v>
      </c>
      <c r="R68" s="3">
        <f t="shared" ref="R68:AA68" si="54">SUM(R69:R71)</f>
        <v>0</v>
      </c>
      <c r="S68" s="3">
        <f t="shared" si="54"/>
        <v>0</v>
      </c>
      <c r="T68" s="3">
        <f t="shared" si="54"/>
        <v>0</v>
      </c>
      <c r="U68" s="3">
        <f t="shared" si="54"/>
        <v>0</v>
      </c>
      <c r="V68" s="3">
        <f t="shared" si="54"/>
        <v>0</v>
      </c>
      <c r="W68" s="3">
        <f t="shared" si="54"/>
        <v>0</v>
      </c>
      <c r="X68" s="3">
        <f t="shared" si="54"/>
        <v>0</v>
      </c>
      <c r="Y68" s="3">
        <f t="shared" si="54"/>
        <v>0</v>
      </c>
      <c r="Z68" s="3">
        <f t="shared" si="54"/>
        <v>0</v>
      </c>
      <c r="AA68" s="3">
        <f t="shared" si="54"/>
        <v>75</v>
      </c>
      <c r="AB68" s="3">
        <f t="shared" ref="AB68:AO68" si="55">AB69+AB71</f>
        <v>0</v>
      </c>
      <c r="AC68" s="3">
        <f t="shared" si="55"/>
        <v>0</v>
      </c>
      <c r="AD68" s="3">
        <f t="shared" si="55"/>
        <v>0</v>
      </c>
      <c r="AE68" s="3">
        <f t="shared" si="55"/>
        <v>0</v>
      </c>
      <c r="AF68" s="3">
        <f t="shared" si="55"/>
        <v>0</v>
      </c>
      <c r="AG68" s="3">
        <f t="shared" si="55"/>
        <v>0</v>
      </c>
      <c r="AH68" s="3">
        <f t="shared" si="55"/>
        <v>0</v>
      </c>
      <c r="AI68" s="3">
        <f t="shared" si="55"/>
        <v>0</v>
      </c>
      <c r="AJ68" s="3">
        <f t="shared" si="55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55"/>
        <v>0</v>
      </c>
      <c r="AO68" s="3">
        <f t="shared" si="55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213" t="s">
        <v>15</v>
      </c>
      <c r="C69" s="1327"/>
      <c r="D69" s="1327"/>
      <c r="E69" s="1327"/>
      <c r="F69" s="1327"/>
      <c r="G69" s="1219">
        <v>2019</v>
      </c>
      <c r="H69" s="1219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56">SUM(R70)</f>
        <v>0</v>
      </c>
      <c r="S69" s="47">
        <f t="shared" si="56"/>
        <v>0</v>
      </c>
      <c r="T69" s="47">
        <f t="shared" si="56"/>
        <v>0</v>
      </c>
      <c r="U69" s="47">
        <f t="shared" si="56"/>
        <v>0</v>
      </c>
      <c r="V69" s="47">
        <f t="shared" si="56"/>
        <v>0</v>
      </c>
      <c r="W69" s="47">
        <f t="shared" si="56"/>
        <v>0</v>
      </c>
      <c r="X69" s="47">
        <v>0</v>
      </c>
      <c r="Y69" s="47">
        <f t="shared" si="56"/>
        <v>0</v>
      </c>
      <c r="Z69" s="96"/>
      <c r="AA69" s="47">
        <v>75</v>
      </c>
      <c r="AB69" s="47">
        <f t="shared" si="56"/>
        <v>0</v>
      </c>
      <c r="AC69" s="47">
        <v>0</v>
      </c>
      <c r="AD69" s="47">
        <v>0</v>
      </c>
      <c r="AE69" s="47">
        <v>0</v>
      </c>
      <c r="AF69" s="47">
        <f t="shared" si="56"/>
        <v>0</v>
      </c>
      <c r="AG69" s="47">
        <f t="shared" si="56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213" t="s">
        <v>16</v>
      </c>
      <c r="C71" s="1327"/>
      <c r="D71" s="1327"/>
      <c r="E71" s="1327"/>
      <c r="F71" s="1327"/>
      <c r="G71" s="1219">
        <v>2020</v>
      </c>
      <c r="H71" s="1219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229"/>
      <c r="B72" s="609" t="s">
        <v>403</v>
      </c>
      <c r="C72" s="341"/>
      <c r="D72" s="341"/>
      <c r="E72" s="341"/>
      <c r="F72" s="341"/>
      <c r="G72" s="1233"/>
      <c r="H72" s="1233"/>
      <c r="I72" s="1220"/>
      <c r="J72" s="1263"/>
      <c r="K72" s="3">
        <v>0</v>
      </c>
      <c r="L72" s="3">
        <f>L73+L79</f>
        <v>0</v>
      </c>
      <c r="M72" s="3">
        <f>M73+M79</f>
        <v>0</v>
      </c>
      <c r="N72" s="3">
        <f>N73+N79</f>
        <v>0</v>
      </c>
      <c r="O72" s="3">
        <f>O73+O79</f>
        <v>0</v>
      </c>
      <c r="P72" s="3">
        <f>P73+P79</f>
        <v>0</v>
      </c>
      <c r="Q72" s="3">
        <f>SUM(Q73)</f>
        <v>906.20046000000002</v>
      </c>
      <c r="R72" s="3">
        <f t="shared" ref="R72:AA72" si="57">SUM(R73)</f>
        <v>0</v>
      </c>
      <c r="S72" s="3">
        <f t="shared" si="57"/>
        <v>0</v>
      </c>
      <c r="T72" s="3">
        <f t="shared" si="57"/>
        <v>0</v>
      </c>
      <c r="U72" s="3">
        <f t="shared" si="57"/>
        <v>0</v>
      </c>
      <c r="V72" s="3">
        <f t="shared" si="57"/>
        <v>0</v>
      </c>
      <c r="W72" s="3">
        <f t="shared" si="57"/>
        <v>0</v>
      </c>
      <c r="X72" s="3">
        <f t="shared" si="57"/>
        <v>0</v>
      </c>
      <c r="Y72" s="3">
        <f t="shared" si="57"/>
        <v>0</v>
      </c>
      <c r="Z72" s="3">
        <f t="shared" si="57"/>
        <v>0</v>
      </c>
      <c r="AA72" s="3">
        <f t="shared" si="57"/>
        <v>906.20046000000002</v>
      </c>
      <c r="AB72" s="3">
        <f t="shared" ref="AB72:AJ72" si="58">AB73+AB79</f>
        <v>0</v>
      </c>
      <c r="AC72" s="3">
        <f t="shared" si="58"/>
        <v>0</v>
      </c>
      <c r="AD72" s="3">
        <f t="shared" si="58"/>
        <v>0</v>
      </c>
      <c r="AE72" s="3">
        <f t="shared" si="58"/>
        <v>0</v>
      </c>
      <c r="AF72" s="3">
        <f t="shared" si="58"/>
        <v>0</v>
      </c>
      <c r="AG72" s="3">
        <f t="shared" si="58"/>
        <v>0</v>
      </c>
      <c r="AH72" s="3">
        <f t="shared" si="58"/>
        <v>0</v>
      </c>
      <c r="AI72" s="3">
        <f t="shared" si="58"/>
        <v>0</v>
      </c>
      <c r="AJ72" s="3">
        <f t="shared" si="58"/>
        <v>0</v>
      </c>
      <c r="AK72" s="3">
        <f>P72-Q72</f>
        <v>-906.20046000000002</v>
      </c>
      <c r="AL72" s="3">
        <f>AK72</f>
        <v>-906.20046000000002</v>
      </c>
      <c r="AM72" s="318" t="e">
        <f>ROUND((Q72*100%/P72*100),2)</f>
        <v>#DIV/0!</v>
      </c>
      <c r="AN72" s="3">
        <f>AN73+AN79</f>
        <v>0</v>
      </c>
      <c r="AO72" s="3">
        <f>AO73+AO79</f>
        <v>0</v>
      </c>
      <c r="AP72" s="633" t="s">
        <v>272</v>
      </c>
      <c r="AQ72" s="95">
        <v>40</v>
      </c>
    </row>
    <row r="73" spans="1:43" ht="15.75" customHeight="1" x14ac:dyDescent="0.25">
      <c r="A73" s="1229"/>
      <c r="B73" s="42" t="s">
        <v>16</v>
      </c>
      <c r="C73" s="341"/>
      <c r="D73" s="341"/>
      <c r="E73" s="341"/>
      <c r="F73" s="341"/>
      <c r="G73" s="313"/>
      <c r="H73" s="1252"/>
      <c r="I73" s="1220"/>
      <c r="J73" s="1263"/>
      <c r="K73" s="4"/>
      <c r="L73" s="47"/>
      <c r="M73" s="47"/>
      <c r="N73" s="47"/>
      <c r="O73" s="47"/>
      <c r="P73" s="47">
        <v>0</v>
      </c>
      <c r="Q73" s="47">
        <f>SUM(Q74:Q76)</f>
        <v>906.20046000000002</v>
      </c>
      <c r="R73" s="47">
        <f t="shared" ref="R73:AA73" si="59">SUM(R74:R76)</f>
        <v>0</v>
      </c>
      <c r="S73" s="47">
        <f t="shared" si="59"/>
        <v>0</v>
      </c>
      <c r="T73" s="47">
        <f t="shared" si="59"/>
        <v>0</v>
      </c>
      <c r="U73" s="47">
        <f t="shared" si="59"/>
        <v>0</v>
      </c>
      <c r="V73" s="47">
        <f t="shared" si="59"/>
        <v>0</v>
      </c>
      <c r="W73" s="47">
        <f t="shared" si="59"/>
        <v>0</v>
      </c>
      <c r="X73" s="47">
        <f t="shared" si="59"/>
        <v>0</v>
      </c>
      <c r="Y73" s="47">
        <f t="shared" si="59"/>
        <v>0</v>
      </c>
      <c r="Z73" s="47">
        <f t="shared" si="59"/>
        <v>0</v>
      </c>
      <c r="AA73" s="47">
        <f t="shared" si="59"/>
        <v>906.20046000000002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customHeight="1" x14ac:dyDescent="0.25">
      <c r="A75" s="362"/>
      <c r="B75" s="252" t="s">
        <v>398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870.52831000000003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870.52831000000003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266" customFormat="1" ht="15.75" customHeight="1" x14ac:dyDescent="0.25">
      <c r="A76" s="362"/>
      <c r="B76" s="252" t="s">
        <v>451</v>
      </c>
      <c r="C76" s="453"/>
      <c r="D76" s="453"/>
      <c r="E76" s="453"/>
      <c r="F76" s="453"/>
      <c r="G76" s="363"/>
      <c r="H76" s="364"/>
      <c r="I76" s="368"/>
      <c r="J76" s="993"/>
      <c r="K76" s="268"/>
      <c r="L76" s="96"/>
      <c r="M76" s="96"/>
      <c r="N76" s="96"/>
      <c r="O76" s="96"/>
      <c r="P76" s="96"/>
      <c r="Q76" s="96">
        <v>34.092149999999997</v>
      </c>
      <c r="R76" s="96"/>
      <c r="S76" s="96"/>
      <c r="T76" s="96"/>
      <c r="U76" s="96"/>
      <c r="V76" s="96"/>
      <c r="W76" s="96"/>
      <c r="X76" s="96"/>
      <c r="Y76" s="96"/>
      <c r="Z76" s="96"/>
      <c r="AA76" s="96">
        <v>34.092149999999997</v>
      </c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268"/>
      <c r="AN76" s="96"/>
      <c r="AO76" s="96"/>
      <c r="AP76" s="405"/>
      <c r="AQ76" s="96"/>
    </row>
    <row r="77" spans="1:43" s="327" customFormat="1" ht="28.5" customHeight="1" x14ac:dyDescent="0.25">
      <c r="A77" s="1229"/>
      <c r="B77" s="609" t="s">
        <v>404</v>
      </c>
      <c r="C77" s="341"/>
      <c r="D77" s="341"/>
      <c r="E77" s="341"/>
      <c r="F77" s="341"/>
      <c r="G77" s="1233"/>
      <c r="H77" s="1233"/>
      <c r="I77" s="1220"/>
      <c r="J77" s="1263"/>
      <c r="K77" s="3">
        <v>0</v>
      </c>
      <c r="L77" s="3">
        <f>L78+L81</f>
        <v>0</v>
      </c>
      <c r="M77" s="3">
        <f>M78+M81</f>
        <v>0</v>
      </c>
      <c r="N77" s="3">
        <f>N78+N81</f>
        <v>0</v>
      </c>
      <c r="O77" s="3">
        <f>O78+O81</f>
        <v>0</v>
      </c>
      <c r="P77" s="3">
        <f>P78+P81</f>
        <v>0</v>
      </c>
      <c r="Q77" s="3">
        <f>SUM(Q78)</f>
        <v>0</v>
      </c>
      <c r="R77" s="3">
        <f t="shared" ref="R77:AA77" si="60">SUM(R78)</f>
        <v>0</v>
      </c>
      <c r="S77" s="3">
        <f t="shared" si="60"/>
        <v>0</v>
      </c>
      <c r="T77" s="3">
        <f t="shared" si="60"/>
        <v>0</v>
      </c>
      <c r="U77" s="3">
        <f t="shared" si="60"/>
        <v>0</v>
      </c>
      <c r="V77" s="3">
        <f t="shared" si="60"/>
        <v>0</v>
      </c>
      <c r="W77" s="3">
        <f t="shared" si="60"/>
        <v>0</v>
      </c>
      <c r="X77" s="3">
        <f t="shared" si="60"/>
        <v>0</v>
      </c>
      <c r="Y77" s="3">
        <f t="shared" si="60"/>
        <v>0</v>
      </c>
      <c r="Z77" s="3">
        <f t="shared" si="60"/>
        <v>0</v>
      </c>
      <c r="AA77" s="3">
        <f t="shared" si="60"/>
        <v>0</v>
      </c>
      <c r="AB77" s="3">
        <f t="shared" ref="AB77:AJ77" si="61">AB78+AB81</f>
        <v>0</v>
      </c>
      <c r="AC77" s="3">
        <f t="shared" si="61"/>
        <v>0</v>
      </c>
      <c r="AD77" s="3">
        <f t="shared" si="61"/>
        <v>0</v>
      </c>
      <c r="AE77" s="3">
        <f t="shared" si="61"/>
        <v>0</v>
      </c>
      <c r="AF77" s="3">
        <f t="shared" si="61"/>
        <v>0</v>
      </c>
      <c r="AG77" s="3">
        <f t="shared" si="61"/>
        <v>0</v>
      </c>
      <c r="AH77" s="3">
        <f t="shared" si="61"/>
        <v>0</v>
      </c>
      <c r="AI77" s="3">
        <f t="shared" si="61"/>
        <v>0</v>
      </c>
      <c r="AJ77" s="3">
        <f t="shared" si="61"/>
        <v>0</v>
      </c>
      <c r="AK77" s="3">
        <f>P77-Q77</f>
        <v>0</v>
      </c>
      <c r="AL77" s="3">
        <f>AK77</f>
        <v>0</v>
      </c>
      <c r="AM77" s="318" t="e">
        <f>ROUND((Q77*100%/P77*100),2)</f>
        <v>#DIV/0!</v>
      </c>
      <c r="AN77" s="3">
        <f>AN78+AN81</f>
        <v>0</v>
      </c>
      <c r="AO77" s="3">
        <f>AO78+AO81</f>
        <v>0</v>
      </c>
      <c r="AP77" s="633" t="s">
        <v>272</v>
      </c>
      <c r="AQ77" s="95">
        <v>40</v>
      </c>
    </row>
    <row r="78" spans="1:43" ht="15.75" customHeight="1" x14ac:dyDescent="0.25">
      <c r="A78" s="1229"/>
      <c r="B78" s="42" t="s">
        <v>16</v>
      </c>
      <c r="C78" s="341"/>
      <c r="D78" s="341"/>
      <c r="E78" s="341"/>
      <c r="F78" s="341"/>
      <c r="G78" s="313"/>
      <c r="H78" s="1252"/>
      <c r="I78" s="1220"/>
      <c r="J78" s="1263"/>
      <c r="K78" s="4"/>
      <c r="L78" s="47"/>
      <c r="M78" s="47"/>
      <c r="N78" s="47"/>
      <c r="O78" s="47"/>
      <c r="P78" s="47">
        <v>0</v>
      </c>
      <c r="Q78" s="47">
        <v>0</v>
      </c>
      <c r="R78" s="47"/>
      <c r="S78" s="47"/>
      <c r="T78" s="47"/>
      <c r="U78" s="47"/>
      <c r="V78" s="47"/>
      <c r="W78" s="47"/>
      <c r="X78" s="47"/>
      <c r="Y78" s="47"/>
      <c r="Z78" s="96"/>
      <c r="AA78" s="47"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397"/>
      <c r="AQ78" s="96"/>
    </row>
    <row r="79" spans="1:43" ht="52.5" hidden="1" customHeight="1" x14ac:dyDescent="0.25">
      <c r="A79" s="1332" t="s">
        <v>56</v>
      </c>
      <c r="B79" s="1613" t="s">
        <v>41</v>
      </c>
      <c r="C79" s="1614"/>
      <c r="D79" s="1614"/>
      <c r="E79" s="1614"/>
      <c r="F79" s="1614"/>
      <c r="G79" s="1614"/>
      <c r="H79" s="1615"/>
      <c r="I79" s="23" t="s">
        <v>19</v>
      </c>
      <c r="J79" s="1245">
        <v>0</v>
      </c>
      <c r="K79" s="1245">
        <v>0</v>
      </c>
      <c r="L79" s="47">
        <f>M79+N79+O79</f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96"/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397"/>
      <c r="AQ79" s="96"/>
    </row>
    <row r="80" spans="1:43" ht="48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20</v>
      </c>
      <c r="J80" s="1245">
        <f>L80</f>
        <v>212998.96</v>
      </c>
      <c r="K80" s="1245">
        <f>K83+K130+K131+K132</f>
        <v>0</v>
      </c>
      <c r="L80" s="47">
        <f>L83+L87+L93+L94+L97+L100+L103+L109+L114+L117+L121+L126</f>
        <v>212998.96</v>
      </c>
      <c r="M80" s="47">
        <f>M83+M87+M93+M94+M97+M100+M103+M109</f>
        <v>23675.279999999999</v>
      </c>
      <c r="N80" s="47">
        <f>N83+N87+N93+N94+N97+N100+N103+N109+N114+N117+N121+N126</f>
        <v>44561.120000000003</v>
      </c>
      <c r="O80" s="47">
        <f>O83+O87+O93+O94+O97+O100+O103+O109+O114+O117+O121+O126</f>
        <v>26487.67</v>
      </c>
      <c r="P80" s="47">
        <f>P83+P87+P93+P94+P97+P100+P103+P109+P114+P117+P121+P126</f>
        <v>42150.159999999996</v>
      </c>
      <c r="Q80" s="47">
        <f>Q83+Q87+Q93+Q94+Q97+Q100+Q103+Q109+Q114+Q117+Q121+Q126</f>
        <v>40</v>
      </c>
      <c r="R80" s="47">
        <f t="shared" ref="R80:Y80" si="62">R83+R87+R93+R94+R97+R100+R103+R109+R114+R117+R121+R126</f>
        <v>11372.53</v>
      </c>
      <c r="S80" s="47">
        <f t="shared" si="62"/>
        <v>11789.196</v>
      </c>
      <c r="T80" s="47">
        <f t="shared" si="62"/>
        <v>17105.953000000001</v>
      </c>
      <c r="U80" s="47">
        <f t="shared" si="62"/>
        <v>16853.532999999999</v>
      </c>
      <c r="V80" s="47">
        <f t="shared" si="62"/>
        <v>1876.1869999999999</v>
      </c>
      <c r="W80" s="47">
        <f t="shared" si="62"/>
        <v>1916.0429999999999</v>
      </c>
      <c r="X80" s="47">
        <f t="shared" si="62"/>
        <v>0</v>
      </c>
      <c r="Y80" s="47">
        <f t="shared" si="62"/>
        <v>0</v>
      </c>
      <c r="Z80" s="96"/>
      <c r="AA80" s="47">
        <f>AA83+AA87+AA93+AA94+AA97+AA100+AA103+AA109+AA114+AA117+AA121+AA126</f>
        <v>40</v>
      </c>
      <c r="AB80" s="47">
        <f>AB83+AB87+AB93+AB94+AB97+AB100+AB103+AB109+AB114+AB117+AB121+AB126</f>
        <v>40.5</v>
      </c>
      <c r="AC80" s="47">
        <f>AC83+AC87+AC93+AC94+AC97+AC100+AC103+AC109+AC114+AC117+AC121+AC126</f>
        <v>907.08299999999997</v>
      </c>
      <c r="AD80" s="47">
        <f>AD83+AD87+AD93+AD94+AD97+AD100+AD103+AD109+AD114+AD117+AD121+AD126</f>
        <v>2805.3339999999998</v>
      </c>
      <c r="AE80" s="47">
        <f>AE83+AE87+AE93+AE94+AE97+AE100+AE103+AE109+AE114+AE117+AE121+AE126</f>
        <v>0</v>
      </c>
      <c r="AF80" s="47">
        <f t="shared" ref="AF80:AO80" si="63">AF83+AF87+AF93</f>
        <v>0</v>
      </c>
      <c r="AG80" s="47">
        <f t="shared" si="63"/>
        <v>0</v>
      </c>
      <c r="AH80" s="47">
        <f t="shared" si="63"/>
        <v>0</v>
      </c>
      <c r="AI80" s="47">
        <f t="shared" si="63"/>
        <v>0</v>
      </c>
      <c r="AJ80" s="47">
        <f>AJ83+AJ87+AJ93+AJ126</f>
        <v>0</v>
      </c>
      <c r="AK80" s="47">
        <f t="shared" si="63"/>
        <v>4789.3900000000003</v>
      </c>
      <c r="AL80" s="47">
        <f t="shared" si="63"/>
        <v>4789.3900000000003</v>
      </c>
      <c r="AM80" s="47" t="e">
        <f t="shared" si="63"/>
        <v>#DIV/0!</v>
      </c>
      <c r="AN80" s="47">
        <f t="shared" si="63"/>
        <v>0</v>
      </c>
      <c r="AO80" s="47">
        <f t="shared" si="63"/>
        <v>0</v>
      </c>
      <c r="AP80" s="397"/>
      <c r="AQ80" s="96"/>
    </row>
    <row r="81" spans="1:43" ht="27" hidden="1" customHeight="1" x14ac:dyDescent="0.25">
      <c r="A81" s="1333"/>
      <c r="B81" s="1616"/>
      <c r="C81" s="1617"/>
      <c r="D81" s="1617"/>
      <c r="E81" s="1617"/>
      <c r="F81" s="1617"/>
      <c r="G81" s="1617"/>
      <c r="H81" s="1618"/>
      <c r="I81" s="23" t="s">
        <v>10</v>
      </c>
      <c r="J81" s="1245">
        <f>L81</f>
        <v>0</v>
      </c>
      <c r="K81" s="1245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ht="27" hidden="1" customHeight="1" x14ac:dyDescent="0.25">
      <c r="A82" s="1334"/>
      <c r="B82" s="1619"/>
      <c r="C82" s="1620"/>
      <c r="D82" s="1620"/>
      <c r="E82" s="1620"/>
      <c r="F82" s="1620"/>
      <c r="G82" s="1620"/>
      <c r="H82" s="1621"/>
      <c r="I82" s="23" t="s">
        <v>9</v>
      </c>
      <c r="J82" s="1245">
        <f>L82</f>
        <v>0</v>
      </c>
      <c r="K82" s="1245">
        <v>0</v>
      </c>
      <c r="L82" s="47">
        <f>M82+N82+O82</f>
        <v>0</v>
      </c>
      <c r="M82" s="47">
        <v>0</v>
      </c>
      <c r="N82" s="47">
        <v>0</v>
      </c>
      <c r="O82" s="47">
        <v>0</v>
      </c>
      <c r="P82" s="47">
        <v>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0</v>
      </c>
      <c r="Z82" s="96"/>
      <c r="AA82" s="47">
        <v>0</v>
      </c>
      <c r="AB82" s="47">
        <v>0</v>
      </c>
      <c r="AC82" s="47">
        <v>0</v>
      </c>
      <c r="AD82" s="47">
        <v>0</v>
      </c>
      <c r="AE82" s="47">
        <v>0</v>
      </c>
      <c r="AF82" s="47">
        <v>0</v>
      </c>
      <c r="AG82" s="47">
        <v>0</v>
      </c>
      <c r="AH82" s="47">
        <v>0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47">
        <v>0</v>
      </c>
      <c r="AP82" s="397"/>
      <c r="AQ82" s="96"/>
    </row>
    <row r="83" spans="1:43" s="327" customFormat="1" ht="27.75" customHeight="1" x14ac:dyDescent="0.25">
      <c r="A83" s="1372" t="s">
        <v>57</v>
      </c>
      <c r="B83" s="780" t="s">
        <v>200</v>
      </c>
      <c r="C83" s="1230"/>
      <c r="D83" s="1230"/>
      <c r="E83" s="1230"/>
      <c r="F83" s="1230"/>
      <c r="G83" s="1230">
        <v>2019</v>
      </c>
      <c r="H83" s="1230">
        <v>2019</v>
      </c>
      <c r="I83" s="1326" t="s">
        <v>20</v>
      </c>
      <c r="J83" s="3">
        <f>L83</f>
        <v>30833.33</v>
      </c>
      <c r="K83" s="3"/>
      <c r="L83" s="3">
        <f t="shared" ref="L83:AC83" si="64">L84</f>
        <v>30833.33</v>
      </c>
      <c r="M83" s="3">
        <f t="shared" si="64"/>
        <v>20000</v>
      </c>
      <c r="N83" s="3">
        <f t="shared" si="64"/>
        <v>9151.41</v>
      </c>
      <c r="O83" s="3">
        <f t="shared" si="64"/>
        <v>0</v>
      </c>
      <c r="P83" s="3">
        <v>0</v>
      </c>
      <c r="Q83" s="3">
        <f t="shared" si="64"/>
        <v>0</v>
      </c>
      <c r="R83" s="3">
        <f t="shared" si="64"/>
        <v>0</v>
      </c>
      <c r="S83" s="3">
        <f t="shared" si="64"/>
        <v>0</v>
      </c>
      <c r="T83" s="3">
        <f t="shared" si="64"/>
        <v>0</v>
      </c>
      <c r="U83" s="3">
        <f t="shared" si="64"/>
        <v>0</v>
      </c>
      <c r="V83" s="3">
        <f t="shared" si="64"/>
        <v>0</v>
      </c>
      <c r="W83" s="3">
        <f t="shared" si="64"/>
        <v>0</v>
      </c>
      <c r="X83" s="3">
        <f t="shared" si="64"/>
        <v>0</v>
      </c>
      <c r="Y83" s="3">
        <f t="shared" si="64"/>
        <v>0</v>
      </c>
      <c r="Z83" s="95">
        <v>0</v>
      </c>
      <c r="AA83" s="3">
        <f t="shared" si="64"/>
        <v>0</v>
      </c>
      <c r="AB83" s="3">
        <f t="shared" si="64"/>
        <v>0</v>
      </c>
      <c r="AC83" s="3">
        <f t="shared" si="64"/>
        <v>0</v>
      </c>
      <c r="AD83" s="3">
        <f>AD84</f>
        <v>0</v>
      </c>
      <c r="AE83" s="3">
        <f t="shared" ref="AE83:AJ83" si="65">AE84</f>
        <v>0</v>
      </c>
      <c r="AF83" s="3">
        <f t="shared" si="65"/>
        <v>0</v>
      </c>
      <c r="AG83" s="3">
        <f t="shared" si="65"/>
        <v>0</v>
      </c>
      <c r="AH83" s="3">
        <f t="shared" si="65"/>
        <v>0</v>
      </c>
      <c r="AI83" s="3">
        <f t="shared" si="65"/>
        <v>0</v>
      </c>
      <c r="AJ83" s="3">
        <f t="shared" si="65"/>
        <v>0</v>
      </c>
      <c r="AK83" s="3">
        <v>0</v>
      </c>
      <c r="AL83" s="3">
        <f>AK83</f>
        <v>0</v>
      </c>
      <c r="AM83" s="318" t="e">
        <f>ROUND((Q83*100%/P83*100),2)</f>
        <v>#DIV/0!</v>
      </c>
      <c r="AN83" s="3">
        <v>0</v>
      </c>
      <c r="AO83" s="3">
        <v>0</v>
      </c>
      <c r="AP83" s="633" t="s">
        <v>273</v>
      </c>
      <c r="AQ83" s="95">
        <v>0</v>
      </c>
    </row>
    <row r="84" spans="1:43" ht="14.25" hidden="1" customHeight="1" x14ac:dyDescent="0.25">
      <c r="A84" s="1383"/>
      <c r="B84" s="1" t="s">
        <v>201</v>
      </c>
      <c r="C84" s="1219"/>
      <c r="D84" s="1219"/>
      <c r="E84" s="1219"/>
      <c r="F84" s="1219"/>
      <c r="G84" s="1236"/>
      <c r="H84" s="1236"/>
      <c r="I84" s="1639"/>
      <c r="J84" s="47"/>
      <c r="K84" s="47"/>
      <c r="L84" s="47">
        <v>30833.33</v>
      </c>
      <c r="M84" s="47">
        <v>20000</v>
      </c>
      <c r="N84" s="47">
        <v>9151.41</v>
      </c>
      <c r="O84" s="47">
        <v>0</v>
      </c>
      <c r="P84" s="47">
        <v>1681.92</v>
      </c>
      <c r="Q84" s="47">
        <f>SUM(Q85:Q86)</f>
        <v>0</v>
      </c>
      <c r="R84" s="47">
        <f>SUM(R85:R86)</f>
        <v>0</v>
      </c>
      <c r="S84" s="47">
        <f>SUM(S85:S86)</f>
        <v>0</v>
      </c>
      <c r="T84" s="47">
        <f t="shared" ref="T84:AC84" si="66">SUM(T85:T86)</f>
        <v>0</v>
      </c>
      <c r="U84" s="47">
        <f t="shared" si="66"/>
        <v>0</v>
      </c>
      <c r="V84" s="47">
        <f t="shared" si="66"/>
        <v>0</v>
      </c>
      <c r="W84" s="47">
        <f t="shared" si="66"/>
        <v>0</v>
      </c>
      <c r="X84" s="47">
        <f t="shared" si="66"/>
        <v>0</v>
      </c>
      <c r="Y84" s="47">
        <f t="shared" si="66"/>
        <v>0</v>
      </c>
      <c r="Z84" s="96"/>
      <c r="AA84" s="47">
        <f t="shared" si="66"/>
        <v>0</v>
      </c>
      <c r="AB84" s="47">
        <f t="shared" si="66"/>
        <v>0</v>
      </c>
      <c r="AC84" s="47">
        <f t="shared" si="66"/>
        <v>0</v>
      </c>
      <c r="AD84" s="47">
        <f>SUM(AD85:AD86)</f>
        <v>0</v>
      </c>
      <c r="AE84" s="47">
        <f t="shared" ref="AE84:AJ84" si="67">SUM(AE85:AE86)</f>
        <v>0</v>
      </c>
      <c r="AF84" s="47">
        <f t="shared" si="67"/>
        <v>0</v>
      </c>
      <c r="AG84" s="47">
        <f t="shared" si="67"/>
        <v>0</v>
      </c>
      <c r="AH84" s="47">
        <f t="shared" si="67"/>
        <v>0</v>
      </c>
      <c r="AI84" s="47">
        <f t="shared" si="67"/>
        <v>0</v>
      </c>
      <c r="AJ84" s="47">
        <f t="shared" si="67"/>
        <v>0</v>
      </c>
      <c r="AK84" s="47">
        <v>0</v>
      </c>
      <c r="AL84" s="47">
        <v>0</v>
      </c>
      <c r="AM84" s="4">
        <v>0</v>
      </c>
      <c r="AN84" s="47">
        <v>0</v>
      </c>
      <c r="AO84" s="47">
        <v>0</v>
      </c>
      <c r="AP84" s="397"/>
      <c r="AQ84" s="96"/>
    </row>
    <row r="85" spans="1:43" s="266" customFormat="1" ht="15.75" hidden="1" x14ac:dyDescent="0.25">
      <c r="A85" s="1223"/>
      <c r="B85" s="102"/>
      <c r="C85" s="262"/>
      <c r="D85" s="262"/>
      <c r="E85" s="262"/>
      <c r="F85" s="262"/>
      <c r="G85" s="104"/>
      <c r="H85" s="104"/>
      <c r="I85" s="1262"/>
      <c r="J85" s="96"/>
      <c r="K85" s="96"/>
      <c r="L85" s="96"/>
      <c r="M85" s="96"/>
      <c r="N85" s="96"/>
      <c r="O85" s="96"/>
      <c r="P85" s="47">
        <f>Q85</f>
        <v>0</v>
      </c>
      <c r="Q85" s="96">
        <f>S85+U85+W85+Y85</f>
        <v>0</v>
      </c>
      <c r="R85" s="96">
        <f>S85</f>
        <v>0</v>
      </c>
      <c r="S85" s="96">
        <v>0</v>
      </c>
      <c r="T85" s="96">
        <v>0</v>
      </c>
      <c r="U85" s="96">
        <v>0</v>
      </c>
      <c r="V85" s="96">
        <f>W85</f>
        <v>0</v>
      </c>
      <c r="W85" s="96">
        <v>0</v>
      </c>
      <c r="X85" s="96">
        <f>Y85</f>
        <v>0</v>
      </c>
      <c r="Y85" s="96">
        <v>0</v>
      </c>
      <c r="Z85" s="96"/>
      <c r="AA85" s="96">
        <f>AB85+AD85</f>
        <v>0</v>
      </c>
      <c r="AB85" s="96">
        <v>0</v>
      </c>
      <c r="AC85" s="96">
        <v>0</v>
      </c>
      <c r="AD85" s="96">
        <v>0</v>
      </c>
      <c r="AE85" s="96">
        <v>0</v>
      </c>
      <c r="AF85" s="96">
        <f>AG85+AH85+AI85</f>
        <v>0</v>
      </c>
      <c r="AG85" s="96"/>
      <c r="AH85" s="96"/>
      <c r="AI85" s="96">
        <v>0</v>
      </c>
      <c r="AJ85" s="96"/>
      <c r="AK85" s="96"/>
      <c r="AL85" s="96"/>
      <c r="AM85" s="268"/>
      <c r="AN85" s="96"/>
      <c r="AO85" s="96"/>
      <c r="AP85" s="405"/>
      <c r="AQ85" s="96"/>
    </row>
    <row r="86" spans="1:43" ht="14.25" hidden="1" customHeight="1" x14ac:dyDescent="0.25">
      <c r="A86" s="1223"/>
      <c r="B86" s="1"/>
      <c r="C86" s="1219"/>
      <c r="D86" s="1219"/>
      <c r="E86" s="1219"/>
      <c r="F86" s="1219"/>
      <c r="G86" s="1236"/>
      <c r="H86" s="1236"/>
      <c r="I86" s="1262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96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"/>
      <c r="AN86" s="47"/>
      <c r="AO86" s="47"/>
      <c r="AP86" s="397"/>
      <c r="AQ86" s="96"/>
    </row>
    <row r="87" spans="1:43" s="327" customFormat="1" ht="27" customHeight="1" x14ac:dyDescent="0.25">
      <c r="A87" s="787" t="s">
        <v>58</v>
      </c>
      <c r="B87" s="780" t="s">
        <v>87</v>
      </c>
      <c r="C87" s="1326"/>
      <c r="D87" s="1326"/>
      <c r="E87" s="1326"/>
      <c r="F87" s="1326"/>
      <c r="G87" s="1230"/>
      <c r="H87" s="1230"/>
      <c r="I87" s="1326" t="s">
        <v>20</v>
      </c>
      <c r="J87" s="3">
        <f t="shared" ref="J87:J92" si="68">L87</f>
        <v>20425.87</v>
      </c>
      <c r="K87" s="3"/>
      <c r="L87" s="3">
        <f>L88+L92</f>
        <v>20425.87</v>
      </c>
      <c r="M87" s="3">
        <f t="shared" ref="M87:AO87" si="69">M88+M92</f>
        <v>616.66</v>
      </c>
      <c r="N87" s="3">
        <f t="shared" si="69"/>
        <v>6665.55</v>
      </c>
      <c r="O87" s="3">
        <f t="shared" si="69"/>
        <v>4018.39</v>
      </c>
      <c r="P87" s="3">
        <f t="shared" si="69"/>
        <v>4809.3900000000003</v>
      </c>
      <c r="Q87" s="3">
        <f t="shared" si="69"/>
        <v>20</v>
      </c>
      <c r="R87" s="3">
        <f t="shared" si="69"/>
        <v>0</v>
      </c>
      <c r="S87" s="3">
        <f t="shared" si="69"/>
        <v>416.67</v>
      </c>
      <c r="T87" s="3">
        <f t="shared" si="69"/>
        <v>495.38399999999996</v>
      </c>
      <c r="U87" s="3">
        <f t="shared" si="69"/>
        <v>495.38399999999996</v>
      </c>
      <c r="V87" s="3">
        <f t="shared" si="69"/>
        <v>278.41000000000003</v>
      </c>
      <c r="W87" s="3">
        <f t="shared" si="69"/>
        <v>318.26600000000002</v>
      </c>
      <c r="X87" s="3">
        <f t="shared" si="69"/>
        <v>0</v>
      </c>
      <c r="Y87" s="3">
        <f t="shared" si="69"/>
        <v>0</v>
      </c>
      <c r="Z87" s="95">
        <v>0</v>
      </c>
      <c r="AA87" s="3">
        <f>AA88+AA92+AQ87</f>
        <v>20</v>
      </c>
      <c r="AB87" s="3">
        <f t="shared" si="69"/>
        <v>0</v>
      </c>
      <c r="AC87" s="3">
        <f t="shared" si="69"/>
        <v>907.08299999999997</v>
      </c>
      <c r="AD87" s="3">
        <f t="shared" si="69"/>
        <v>308.33300000000003</v>
      </c>
      <c r="AE87" s="3">
        <f t="shared" si="69"/>
        <v>0</v>
      </c>
      <c r="AF87" s="3">
        <f t="shared" si="69"/>
        <v>0</v>
      </c>
      <c r="AG87" s="3">
        <f t="shared" si="69"/>
        <v>0</v>
      </c>
      <c r="AH87" s="3">
        <f t="shared" si="69"/>
        <v>0</v>
      </c>
      <c r="AI87" s="3">
        <f t="shared" si="69"/>
        <v>0</v>
      </c>
      <c r="AJ87" s="3">
        <f t="shared" si="69"/>
        <v>0</v>
      </c>
      <c r="AK87" s="3">
        <f>P87-Q87</f>
        <v>4789.3900000000003</v>
      </c>
      <c r="AL87" s="3">
        <f>AK87</f>
        <v>4789.3900000000003</v>
      </c>
      <c r="AM87" s="318">
        <f>ROUND((Q87*100%/P87*100),2)</f>
        <v>0.42</v>
      </c>
      <c r="AN87" s="3">
        <f t="shared" si="69"/>
        <v>0</v>
      </c>
      <c r="AO87" s="3">
        <f t="shared" si="69"/>
        <v>0</v>
      </c>
      <c r="AP87" s="633" t="s">
        <v>243</v>
      </c>
      <c r="AQ87" s="95">
        <v>0</v>
      </c>
    </row>
    <row r="88" spans="1:43" ht="14.25" customHeight="1" x14ac:dyDescent="0.25">
      <c r="A88" s="44"/>
      <c r="B88" s="1" t="s">
        <v>15</v>
      </c>
      <c r="C88" s="1327"/>
      <c r="D88" s="1327"/>
      <c r="E88" s="1327"/>
      <c r="F88" s="1327"/>
      <c r="G88" s="1236">
        <v>2020</v>
      </c>
      <c r="H88" s="1236">
        <v>2020</v>
      </c>
      <c r="I88" s="1327"/>
      <c r="J88" s="47">
        <f t="shared" si="68"/>
        <v>7560.63</v>
      </c>
      <c r="K88" s="47"/>
      <c r="L88" s="47">
        <v>7560.63</v>
      </c>
      <c r="M88" s="47">
        <v>616.66</v>
      </c>
      <c r="N88" s="47">
        <v>6665.55</v>
      </c>
      <c r="O88" s="47">
        <v>0</v>
      </c>
      <c r="P88" s="47">
        <v>791.01</v>
      </c>
      <c r="Q88" s="47">
        <v>0</v>
      </c>
      <c r="R88" s="47">
        <f>R91+R89+R90</f>
        <v>0</v>
      </c>
      <c r="S88" s="47">
        <f>S91+S89+S90</f>
        <v>416.67</v>
      </c>
      <c r="T88" s="47">
        <f>T91+T89+T90</f>
        <v>495.38399999999996</v>
      </c>
      <c r="U88" s="47">
        <f>SUM(U89:U91)</f>
        <v>495.38399999999996</v>
      </c>
      <c r="V88" s="47">
        <f t="shared" ref="V88:AK88" si="70">V91+V89</f>
        <v>278.41000000000003</v>
      </c>
      <c r="W88" s="47">
        <f>W91+W89+W90</f>
        <v>318.26600000000002</v>
      </c>
      <c r="X88" s="47">
        <f t="shared" si="70"/>
        <v>0</v>
      </c>
      <c r="Y88" s="47">
        <f t="shared" si="70"/>
        <v>0</v>
      </c>
      <c r="Z88" s="96"/>
      <c r="AA88" s="47">
        <v>0</v>
      </c>
      <c r="AB88" s="47">
        <f t="shared" si="70"/>
        <v>0</v>
      </c>
      <c r="AC88" s="47">
        <f t="shared" si="70"/>
        <v>907.08299999999997</v>
      </c>
      <c r="AD88" s="47">
        <f t="shared" si="70"/>
        <v>308.33300000000003</v>
      </c>
      <c r="AE88" s="47">
        <f t="shared" si="70"/>
        <v>0</v>
      </c>
      <c r="AF88" s="47">
        <f t="shared" si="70"/>
        <v>0</v>
      </c>
      <c r="AG88" s="47">
        <f t="shared" si="70"/>
        <v>0</v>
      </c>
      <c r="AH88" s="47">
        <f t="shared" si="70"/>
        <v>0</v>
      </c>
      <c r="AI88" s="47">
        <f t="shared" si="70"/>
        <v>0</v>
      </c>
      <c r="AJ88" s="47">
        <f t="shared" si="70"/>
        <v>0</v>
      </c>
      <c r="AK88" s="47">
        <f t="shared" si="70"/>
        <v>0</v>
      </c>
      <c r="AL88" s="47">
        <v>0</v>
      </c>
      <c r="AM88" s="47">
        <v>0</v>
      </c>
      <c r="AN88" s="47">
        <v>0</v>
      </c>
      <c r="AO88" s="47">
        <v>0</v>
      </c>
      <c r="AP88" s="397"/>
      <c r="AQ88" s="96"/>
    </row>
    <row r="89" spans="1:43" s="266" customFormat="1" ht="19.5" hidden="1" customHeight="1" x14ac:dyDescent="0.25">
      <c r="A89" s="251"/>
      <c r="B89" s="102" t="s">
        <v>297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S89+U89+Y89+W89</f>
        <v>1215.42</v>
      </c>
      <c r="R89" s="96"/>
      <c r="S89" s="96">
        <v>416.67</v>
      </c>
      <c r="T89" s="96">
        <f>U89</f>
        <v>490.41699999999997</v>
      </c>
      <c r="U89" s="96">
        <v>490.41699999999997</v>
      </c>
      <c r="V89" s="96">
        <v>278.41000000000003</v>
      </c>
      <c r="W89" s="96">
        <v>308.33300000000003</v>
      </c>
      <c r="X89" s="96"/>
      <c r="Y89" s="96"/>
      <c r="Z89" s="96"/>
      <c r="AA89" s="96">
        <f>AC89+AD89</f>
        <v>1215.4159999999999</v>
      </c>
      <c r="AB89" s="96"/>
      <c r="AC89" s="96">
        <v>907.08299999999997</v>
      </c>
      <c r="AD89" s="96">
        <v>308.33300000000003</v>
      </c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9.5" hidden="1" customHeight="1" x14ac:dyDescent="0.25">
      <c r="A90" s="251"/>
      <c r="B90" s="102" t="s">
        <v>315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96"/>
      <c r="Q90" s="96">
        <f>U90+W90</f>
        <v>14.899999999999999</v>
      </c>
      <c r="R90" s="96"/>
      <c r="S90" s="96">
        <v>0</v>
      </c>
      <c r="T90" s="96">
        <f>U90</f>
        <v>4.9669999999999996</v>
      </c>
      <c r="U90" s="96">
        <v>4.9669999999999996</v>
      </c>
      <c r="V90" s="96"/>
      <c r="W90" s="96">
        <v>9.9329999999999998</v>
      </c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405"/>
      <c r="AQ90" s="96"/>
    </row>
    <row r="91" spans="1:43" s="266" customFormat="1" ht="16.5" hidden="1" customHeight="1" x14ac:dyDescent="0.25">
      <c r="A91" s="251"/>
      <c r="B91" s="102" t="s">
        <v>255</v>
      </c>
      <c r="C91" s="1327"/>
      <c r="D91" s="1327"/>
      <c r="E91" s="1327"/>
      <c r="F91" s="1327"/>
      <c r="G91" s="104"/>
      <c r="H91" s="104"/>
      <c r="I91" s="1327"/>
      <c r="J91" s="96"/>
      <c r="K91" s="96"/>
      <c r="L91" s="96"/>
      <c r="M91" s="96"/>
      <c r="N91" s="96"/>
      <c r="O91" s="96"/>
      <c r="P91" s="47">
        <v>0</v>
      </c>
      <c r="Q91" s="96">
        <f>S91+U91+Y91</f>
        <v>0</v>
      </c>
      <c r="R91" s="96">
        <f>S91</f>
        <v>0</v>
      </c>
      <c r="S91" s="96"/>
      <c r="T91" s="96"/>
      <c r="U91" s="96"/>
      <c r="V91" s="96"/>
      <c r="W91" s="96"/>
      <c r="X91" s="96"/>
      <c r="Y91" s="96">
        <v>0</v>
      </c>
      <c r="Z91" s="96"/>
      <c r="AA91" s="96">
        <f>AB91</f>
        <v>0</v>
      </c>
      <c r="AB91" s="96"/>
      <c r="AC91" s="96">
        <v>0</v>
      </c>
      <c r="AD91" s="96"/>
      <c r="AE91" s="96"/>
      <c r="AF91" s="96">
        <f>SUM(AG91:AG91)</f>
        <v>0</v>
      </c>
      <c r="AG91" s="96"/>
      <c r="AH91" s="96"/>
      <c r="AI91" s="96"/>
      <c r="AJ91" s="96"/>
      <c r="AK91" s="96">
        <v>0</v>
      </c>
      <c r="AL91" s="96">
        <v>0</v>
      </c>
      <c r="AM91" s="96">
        <v>0</v>
      </c>
      <c r="AN91" s="96">
        <v>0</v>
      </c>
      <c r="AO91" s="96">
        <v>0</v>
      </c>
      <c r="AP91" s="405"/>
      <c r="AQ91" s="96"/>
    </row>
    <row r="92" spans="1:43" ht="15.75" customHeight="1" x14ac:dyDescent="0.25">
      <c r="A92" s="44"/>
      <c r="B92" s="1" t="s">
        <v>16</v>
      </c>
      <c r="C92" s="1328"/>
      <c r="D92" s="1328"/>
      <c r="E92" s="1328"/>
      <c r="F92" s="1328"/>
      <c r="G92" s="1236">
        <v>2020</v>
      </c>
      <c r="H92" s="1236">
        <v>2020</v>
      </c>
      <c r="I92" s="1328"/>
      <c r="J92" s="47">
        <f t="shared" si="68"/>
        <v>12865.24</v>
      </c>
      <c r="K92" s="47"/>
      <c r="L92" s="47">
        <v>12865.24</v>
      </c>
      <c r="M92" s="47">
        <v>0</v>
      </c>
      <c r="N92" s="47">
        <v>0</v>
      </c>
      <c r="O92" s="47">
        <v>4018.39</v>
      </c>
      <c r="P92" s="47">
        <v>4018.38</v>
      </c>
      <c r="Q92" s="47">
        <f>Q93</f>
        <v>20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f>AA93</f>
        <v>20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397"/>
      <c r="AQ92" s="96"/>
    </row>
    <row r="93" spans="1:43" s="266" customFormat="1" ht="14.25" customHeight="1" x14ac:dyDescent="0.25">
      <c r="A93" s="251"/>
      <c r="B93" s="102" t="s">
        <v>478</v>
      </c>
      <c r="C93" s="104"/>
      <c r="D93" s="104"/>
      <c r="E93" s="104"/>
      <c r="F93" s="104"/>
      <c r="G93" s="104"/>
      <c r="H93" s="104"/>
      <c r="I93" s="368"/>
      <c r="J93" s="258"/>
      <c r="K93" s="96"/>
      <c r="L93" s="96"/>
      <c r="M93" s="96"/>
      <c r="N93" s="96"/>
      <c r="O93" s="96"/>
      <c r="P93" s="96"/>
      <c r="Q93" s="96">
        <v>20</v>
      </c>
      <c r="R93" s="96"/>
      <c r="S93" s="96"/>
      <c r="T93" s="96"/>
      <c r="U93" s="96"/>
      <c r="V93" s="96"/>
      <c r="W93" s="96"/>
      <c r="X93" s="96"/>
      <c r="Y93" s="96"/>
      <c r="Z93" s="96"/>
      <c r="AA93" s="96">
        <v>20</v>
      </c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268"/>
      <c r="AN93" s="96"/>
      <c r="AO93" s="96"/>
      <c r="AP93" s="405"/>
      <c r="AQ93" s="96"/>
    </row>
    <row r="94" spans="1:43" s="327" customFormat="1" ht="40.5" customHeight="1" x14ac:dyDescent="0.25">
      <c r="A94" s="1372" t="s">
        <v>278</v>
      </c>
      <c r="B94" s="772" t="s">
        <v>202</v>
      </c>
      <c r="C94" s="312"/>
      <c r="D94" s="312"/>
      <c r="E94" s="312"/>
      <c r="F94" s="312"/>
      <c r="G94" s="312"/>
      <c r="H94" s="1231"/>
      <c r="I94" s="1326" t="s">
        <v>20</v>
      </c>
      <c r="J94" s="1238"/>
      <c r="K94" s="3"/>
      <c r="L94" s="3">
        <f>L95</f>
        <v>4214.49</v>
      </c>
      <c r="M94" s="3">
        <f t="shared" ref="M94:AO95" si="71">M95</f>
        <v>0</v>
      </c>
      <c r="N94" s="3">
        <f t="shared" si="71"/>
        <v>3995.07</v>
      </c>
      <c r="O94" s="3">
        <f t="shared" si="71"/>
        <v>0</v>
      </c>
      <c r="P94" s="3">
        <v>0</v>
      </c>
      <c r="Q94" s="3">
        <v>0</v>
      </c>
      <c r="R94" s="3">
        <f t="shared" si="71"/>
        <v>0</v>
      </c>
      <c r="S94" s="3">
        <f t="shared" si="71"/>
        <v>0</v>
      </c>
      <c r="T94" s="3">
        <f t="shared" si="71"/>
        <v>219.42</v>
      </c>
      <c r="U94" s="3">
        <f t="shared" si="71"/>
        <v>537.85</v>
      </c>
      <c r="V94" s="3">
        <f t="shared" si="71"/>
        <v>0</v>
      </c>
      <c r="W94" s="3">
        <f t="shared" si="71"/>
        <v>0</v>
      </c>
      <c r="X94" s="3">
        <f t="shared" si="71"/>
        <v>0</v>
      </c>
      <c r="Y94" s="3">
        <f t="shared" si="71"/>
        <v>0</v>
      </c>
      <c r="Z94" s="95">
        <v>0</v>
      </c>
      <c r="AA94" s="3">
        <v>0</v>
      </c>
      <c r="AB94" s="3">
        <f t="shared" si="71"/>
        <v>0</v>
      </c>
      <c r="AC94" s="3">
        <f t="shared" si="71"/>
        <v>0</v>
      </c>
      <c r="AD94" s="3">
        <f t="shared" si="71"/>
        <v>537.85400000000004</v>
      </c>
      <c r="AE94" s="3">
        <f t="shared" si="71"/>
        <v>0</v>
      </c>
      <c r="AF94" s="3">
        <f t="shared" si="71"/>
        <v>0</v>
      </c>
      <c r="AG94" s="3">
        <f t="shared" si="71"/>
        <v>0</v>
      </c>
      <c r="AH94" s="3">
        <f t="shared" si="71"/>
        <v>0</v>
      </c>
      <c r="AI94" s="3">
        <f t="shared" si="71"/>
        <v>0</v>
      </c>
      <c r="AJ94" s="3">
        <f t="shared" si="71"/>
        <v>0</v>
      </c>
      <c r="AK94" s="3">
        <f t="shared" si="71"/>
        <v>0</v>
      </c>
      <c r="AL94" s="3">
        <f t="shared" si="71"/>
        <v>0</v>
      </c>
      <c r="AM94" s="3">
        <f t="shared" si="71"/>
        <v>0</v>
      </c>
      <c r="AN94" s="3">
        <f t="shared" si="71"/>
        <v>0</v>
      </c>
      <c r="AO94" s="3">
        <f t="shared" si="71"/>
        <v>0</v>
      </c>
      <c r="AP94" s="633" t="s">
        <v>244</v>
      </c>
      <c r="AQ94" s="95">
        <v>0</v>
      </c>
    </row>
    <row r="95" spans="1:43" ht="17.25" hidden="1" customHeight="1" x14ac:dyDescent="0.25">
      <c r="A95" s="1638"/>
      <c r="B95" s="42" t="s">
        <v>203</v>
      </c>
      <c r="C95" s="313"/>
      <c r="D95" s="313"/>
      <c r="E95" s="313"/>
      <c r="F95" s="313"/>
      <c r="G95" s="313"/>
      <c r="H95" s="1252"/>
      <c r="I95" s="1639"/>
      <c r="J95" s="1246"/>
      <c r="K95" s="47"/>
      <c r="L95" s="47">
        <v>4214.49</v>
      </c>
      <c r="M95" s="47">
        <v>0</v>
      </c>
      <c r="N95" s="47">
        <v>3995.07</v>
      </c>
      <c r="O95" s="47">
        <v>0</v>
      </c>
      <c r="P95" s="47">
        <v>219.42</v>
      </c>
      <c r="Q95" s="47">
        <f>Q96</f>
        <v>537.85</v>
      </c>
      <c r="R95" s="47">
        <f t="shared" si="71"/>
        <v>0</v>
      </c>
      <c r="S95" s="47">
        <f t="shared" si="71"/>
        <v>0</v>
      </c>
      <c r="T95" s="47">
        <f t="shared" si="71"/>
        <v>219.42</v>
      </c>
      <c r="U95" s="47">
        <f t="shared" si="71"/>
        <v>537.85</v>
      </c>
      <c r="V95" s="47">
        <f t="shared" si="71"/>
        <v>0</v>
      </c>
      <c r="W95" s="47">
        <f t="shared" si="71"/>
        <v>0</v>
      </c>
      <c r="X95" s="47">
        <f t="shared" si="71"/>
        <v>0</v>
      </c>
      <c r="Y95" s="47">
        <f t="shared" si="71"/>
        <v>0</v>
      </c>
      <c r="Z95" s="96"/>
      <c r="AA95" s="47">
        <f t="shared" si="71"/>
        <v>537.85400000000004</v>
      </c>
      <c r="AB95" s="47">
        <f t="shared" si="71"/>
        <v>0</v>
      </c>
      <c r="AC95" s="47">
        <f t="shared" si="71"/>
        <v>0</v>
      </c>
      <c r="AD95" s="47">
        <f t="shared" si="71"/>
        <v>537.85400000000004</v>
      </c>
      <c r="AE95" s="47">
        <f t="shared" si="71"/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397"/>
      <c r="AQ95" s="96"/>
    </row>
    <row r="96" spans="1:43" s="266" customFormat="1" ht="28.5" hidden="1" customHeight="1" x14ac:dyDescent="0.25">
      <c r="A96" s="1639"/>
      <c r="B96" s="252" t="s">
        <v>267</v>
      </c>
      <c r="C96" s="363"/>
      <c r="D96" s="363"/>
      <c r="E96" s="363"/>
      <c r="F96" s="363"/>
      <c r="G96" s="363"/>
      <c r="H96" s="364"/>
      <c r="I96" s="539"/>
      <c r="J96" s="258"/>
      <c r="K96" s="96"/>
      <c r="L96" s="96"/>
      <c r="M96" s="96"/>
      <c r="N96" s="96"/>
      <c r="O96" s="96"/>
      <c r="P96" s="96"/>
      <c r="Q96" s="96">
        <f>S96+U96</f>
        <v>537.85</v>
      </c>
      <c r="R96" s="96"/>
      <c r="S96" s="96"/>
      <c r="T96" s="96">
        <v>219.42</v>
      </c>
      <c r="U96" s="96">
        <f>ROUND((645.425/1.2),2)</f>
        <v>537.85</v>
      </c>
      <c r="V96" s="96"/>
      <c r="W96" s="96"/>
      <c r="X96" s="96"/>
      <c r="Y96" s="96"/>
      <c r="Z96" s="96"/>
      <c r="AA96" s="96">
        <f>AD96</f>
        <v>537.85400000000004</v>
      </c>
      <c r="AB96" s="96"/>
      <c r="AC96" s="96"/>
      <c r="AD96" s="96">
        <v>537.85400000000004</v>
      </c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405"/>
      <c r="AQ96" s="96"/>
    </row>
    <row r="97" spans="1:43" s="327" customFormat="1" ht="42.75" customHeight="1" x14ac:dyDescent="0.25">
      <c r="A97" s="1372" t="s">
        <v>279</v>
      </c>
      <c r="B97" s="772" t="s">
        <v>204</v>
      </c>
      <c r="C97" s="312"/>
      <c r="D97" s="312"/>
      <c r="E97" s="312"/>
      <c r="F97" s="312"/>
      <c r="G97" s="312"/>
      <c r="H97" s="1231"/>
      <c r="I97" s="1326" t="s">
        <v>20</v>
      </c>
      <c r="J97" s="1238"/>
      <c r="K97" s="3"/>
      <c r="L97" s="3">
        <f>L98</f>
        <v>3214.56</v>
      </c>
      <c r="M97" s="3">
        <f t="shared" ref="M97:AO98" si="72">M98</f>
        <v>0</v>
      </c>
      <c r="N97" s="3">
        <f t="shared" si="72"/>
        <v>2956.68</v>
      </c>
      <c r="O97" s="3">
        <f t="shared" si="72"/>
        <v>0</v>
      </c>
      <c r="P97" s="3">
        <v>0</v>
      </c>
      <c r="Q97" s="3">
        <v>0</v>
      </c>
      <c r="R97" s="3">
        <f t="shared" si="72"/>
        <v>0</v>
      </c>
      <c r="S97" s="3">
        <f t="shared" si="72"/>
        <v>0</v>
      </c>
      <c r="T97" s="3">
        <f t="shared" si="72"/>
        <v>0</v>
      </c>
      <c r="U97" s="3">
        <f t="shared" si="72"/>
        <v>409.15</v>
      </c>
      <c r="V97" s="3">
        <f t="shared" si="72"/>
        <v>0</v>
      </c>
      <c r="W97" s="3">
        <f t="shared" si="72"/>
        <v>0</v>
      </c>
      <c r="X97" s="3">
        <f t="shared" si="72"/>
        <v>0</v>
      </c>
      <c r="Y97" s="3">
        <f t="shared" si="72"/>
        <v>0</v>
      </c>
      <c r="Z97" s="95">
        <v>0</v>
      </c>
      <c r="AA97" s="3">
        <v>0</v>
      </c>
      <c r="AB97" s="3">
        <f t="shared" si="72"/>
        <v>0</v>
      </c>
      <c r="AC97" s="3">
        <f t="shared" si="72"/>
        <v>0</v>
      </c>
      <c r="AD97" s="3">
        <f t="shared" si="72"/>
        <v>409.14699999999999</v>
      </c>
      <c r="AE97" s="3">
        <f t="shared" si="72"/>
        <v>0</v>
      </c>
      <c r="AF97" s="3">
        <f>AF98</f>
        <v>0</v>
      </c>
      <c r="AG97" s="3">
        <f t="shared" si="72"/>
        <v>0</v>
      </c>
      <c r="AH97" s="3">
        <f t="shared" si="72"/>
        <v>0</v>
      </c>
      <c r="AI97" s="3">
        <f t="shared" si="72"/>
        <v>0</v>
      </c>
      <c r="AJ97" s="3">
        <f t="shared" si="72"/>
        <v>0</v>
      </c>
      <c r="AK97" s="3">
        <f t="shared" si="72"/>
        <v>0</v>
      </c>
      <c r="AL97" s="3">
        <f t="shared" si="72"/>
        <v>0</v>
      </c>
      <c r="AM97" s="3">
        <f t="shared" si="72"/>
        <v>0</v>
      </c>
      <c r="AN97" s="3">
        <f t="shared" si="72"/>
        <v>0</v>
      </c>
      <c r="AO97" s="3">
        <f t="shared" si="72"/>
        <v>0</v>
      </c>
      <c r="AP97" s="633" t="s">
        <v>244</v>
      </c>
      <c r="AQ97" s="95">
        <v>0</v>
      </c>
    </row>
    <row r="98" spans="1:43" ht="17.25" hidden="1" customHeight="1" x14ac:dyDescent="0.25">
      <c r="A98" s="1382"/>
      <c r="B98" s="42" t="s">
        <v>203</v>
      </c>
      <c r="C98" s="313"/>
      <c r="D98" s="313"/>
      <c r="E98" s="313"/>
      <c r="F98" s="313"/>
      <c r="G98" s="313"/>
      <c r="H98" s="1252"/>
      <c r="I98" s="1639"/>
      <c r="J98" s="1246"/>
      <c r="K98" s="47"/>
      <c r="L98" s="47">
        <v>3214.56</v>
      </c>
      <c r="M98" s="47">
        <v>0</v>
      </c>
      <c r="N98" s="47">
        <v>2956.68</v>
      </c>
      <c r="O98" s="47">
        <v>0</v>
      </c>
      <c r="P98" s="47">
        <v>257.88</v>
      </c>
      <c r="Q98" s="47">
        <f>Q99</f>
        <v>409.15</v>
      </c>
      <c r="R98" s="47">
        <f t="shared" si="72"/>
        <v>0</v>
      </c>
      <c r="S98" s="47">
        <f t="shared" si="72"/>
        <v>0</v>
      </c>
      <c r="T98" s="47">
        <f t="shared" si="72"/>
        <v>0</v>
      </c>
      <c r="U98" s="47">
        <f t="shared" si="72"/>
        <v>409.15</v>
      </c>
      <c r="V98" s="47">
        <f t="shared" si="72"/>
        <v>0</v>
      </c>
      <c r="W98" s="47">
        <f t="shared" si="72"/>
        <v>0</v>
      </c>
      <c r="X98" s="47">
        <f t="shared" si="72"/>
        <v>0</v>
      </c>
      <c r="Y98" s="47">
        <f t="shared" si="72"/>
        <v>0</v>
      </c>
      <c r="Z98" s="96"/>
      <c r="AA98" s="47">
        <f t="shared" si="72"/>
        <v>409.14699999999999</v>
      </c>
      <c r="AB98" s="47">
        <f t="shared" si="72"/>
        <v>0</v>
      </c>
      <c r="AC98" s="47">
        <f t="shared" si="72"/>
        <v>0</v>
      </c>
      <c r="AD98" s="47">
        <f t="shared" si="72"/>
        <v>409.14699999999999</v>
      </c>
      <c r="AE98" s="47">
        <v>0</v>
      </c>
      <c r="AF98" s="47">
        <v>0</v>
      </c>
      <c r="AG98" s="47">
        <v>0</v>
      </c>
      <c r="AH98" s="47">
        <v>0</v>
      </c>
      <c r="AI98" s="47">
        <v>0</v>
      </c>
      <c r="AJ98" s="47">
        <v>0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397"/>
      <c r="AQ98" s="96"/>
    </row>
    <row r="99" spans="1:43" s="266" customFormat="1" ht="27.75" hidden="1" customHeight="1" x14ac:dyDescent="0.25">
      <c r="A99" s="1639"/>
      <c r="B99" s="252" t="s">
        <v>267</v>
      </c>
      <c r="C99" s="363"/>
      <c r="D99" s="363"/>
      <c r="E99" s="363"/>
      <c r="F99" s="363"/>
      <c r="G99" s="363"/>
      <c r="H99" s="364"/>
      <c r="I99" s="539"/>
      <c r="J99" s="258"/>
      <c r="K99" s="96"/>
      <c r="L99" s="96"/>
      <c r="M99" s="96"/>
      <c r="N99" s="96"/>
      <c r="O99" s="96"/>
      <c r="P99" s="96"/>
      <c r="Q99" s="96">
        <f>S99+U99</f>
        <v>409.15</v>
      </c>
      <c r="R99" s="96"/>
      <c r="S99" s="96"/>
      <c r="T99" s="96"/>
      <c r="U99" s="96">
        <f>ROUND((490.979/1.2),2)</f>
        <v>409.15</v>
      </c>
      <c r="V99" s="96"/>
      <c r="W99" s="96"/>
      <c r="X99" s="96"/>
      <c r="Y99" s="96"/>
      <c r="Z99" s="96"/>
      <c r="AA99" s="96">
        <f>AD99</f>
        <v>409.14699999999999</v>
      </c>
      <c r="AB99" s="96"/>
      <c r="AC99" s="96"/>
      <c r="AD99" s="96">
        <v>409.14699999999999</v>
      </c>
      <c r="AE99" s="96"/>
      <c r="AF99" s="96"/>
      <c r="AG99" s="96"/>
      <c r="AH99" s="96"/>
      <c r="AI99" s="96"/>
      <c r="AJ99" s="96"/>
      <c r="AK99" s="96"/>
      <c r="AL99" s="96"/>
      <c r="AM99" s="268"/>
      <c r="AN99" s="96"/>
      <c r="AO99" s="96"/>
      <c r="AP99" s="405"/>
      <c r="AQ99" s="96"/>
    </row>
    <row r="100" spans="1:43" s="327" customFormat="1" ht="41.25" customHeight="1" x14ac:dyDescent="0.25">
      <c r="A100" s="1372" t="s">
        <v>159</v>
      </c>
      <c r="B100" s="772" t="s">
        <v>326</v>
      </c>
      <c r="C100" s="312"/>
      <c r="D100" s="312"/>
      <c r="E100" s="312"/>
      <c r="F100" s="312"/>
      <c r="G100" s="312"/>
      <c r="H100" s="1231"/>
      <c r="I100" s="1326" t="s">
        <v>20</v>
      </c>
      <c r="J100" s="1238"/>
      <c r="K100" s="3"/>
      <c r="L100" s="3">
        <f>L101</f>
        <v>372.9</v>
      </c>
      <c r="M100" s="3">
        <f>M101</f>
        <v>0</v>
      </c>
      <c r="N100" s="3">
        <f t="shared" ref="N100:AO101" si="73">N101</f>
        <v>372.9</v>
      </c>
      <c r="O100" s="3">
        <f t="shared" si="73"/>
        <v>0</v>
      </c>
      <c r="P100" s="3">
        <f t="shared" si="73"/>
        <v>0</v>
      </c>
      <c r="Q100" s="3">
        <f t="shared" si="73"/>
        <v>0</v>
      </c>
      <c r="R100" s="3">
        <f t="shared" si="73"/>
        <v>0</v>
      </c>
      <c r="S100" s="3">
        <f t="shared" si="73"/>
        <v>0</v>
      </c>
      <c r="T100" s="3">
        <f t="shared" si="73"/>
        <v>0</v>
      </c>
      <c r="U100" s="3">
        <f t="shared" si="73"/>
        <v>0</v>
      </c>
      <c r="V100" s="3">
        <f t="shared" si="73"/>
        <v>0</v>
      </c>
      <c r="W100" s="3">
        <f t="shared" si="73"/>
        <v>0</v>
      </c>
      <c r="X100" s="3">
        <f t="shared" si="73"/>
        <v>0</v>
      </c>
      <c r="Y100" s="3">
        <f t="shared" si="73"/>
        <v>0</v>
      </c>
      <c r="Z100" s="95">
        <v>0</v>
      </c>
      <c r="AA100" s="3">
        <f t="shared" si="73"/>
        <v>0</v>
      </c>
      <c r="AB100" s="3">
        <f t="shared" si="73"/>
        <v>0</v>
      </c>
      <c r="AC100" s="3">
        <f t="shared" si="73"/>
        <v>0</v>
      </c>
      <c r="AD100" s="3">
        <f t="shared" si="73"/>
        <v>0</v>
      </c>
      <c r="AE100" s="3">
        <f t="shared" si="73"/>
        <v>0</v>
      </c>
      <c r="AF100" s="3">
        <f t="shared" si="73"/>
        <v>0</v>
      </c>
      <c r="AG100" s="3">
        <f t="shared" si="73"/>
        <v>0</v>
      </c>
      <c r="AH100" s="3">
        <f t="shared" si="73"/>
        <v>0</v>
      </c>
      <c r="AI100" s="3">
        <f t="shared" si="73"/>
        <v>0</v>
      </c>
      <c r="AJ100" s="3">
        <f t="shared" si="73"/>
        <v>0</v>
      </c>
      <c r="AK100" s="3">
        <f>P100-Q100</f>
        <v>0</v>
      </c>
      <c r="AL100" s="3">
        <f t="shared" si="73"/>
        <v>0</v>
      </c>
      <c r="AM100" s="318">
        <v>0</v>
      </c>
      <c r="AN100" s="3">
        <f t="shared" si="73"/>
        <v>0</v>
      </c>
      <c r="AO100" s="3">
        <f t="shared" si="73"/>
        <v>0</v>
      </c>
      <c r="AP100" s="633" t="s">
        <v>274</v>
      </c>
      <c r="AQ100" s="95">
        <v>0</v>
      </c>
    </row>
    <row r="101" spans="1:43" ht="17.25" hidden="1" customHeight="1" x14ac:dyDescent="0.25">
      <c r="A101" s="1383"/>
      <c r="B101" s="42" t="s">
        <v>203</v>
      </c>
      <c r="C101" s="313"/>
      <c r="D101" s="313"/>
      <c r="E101" s="313"/>
      <c r="F101" s="313"/>
      <c r="G101" s="313"/>
      <c r="H101" s="1252"/>
      <c r="I101" s="1639"/>
      <c r="J101" s="1246"/>
      <c r="K101" s="47"/>
      <c r="L101" s="47">
        <v>372.9</v>
      </c>
      <c r="M101" s="47">
        <v>0</v>
      </c>
      <c r="N101" s="47">
        <v>372.9</v>
      </c>
      <c r="O101" s="47">
        <v>0</v>
      </c>
      <c r="P101" s="47">
        <v>0</v>
      </c>
      <c r="Q101" s="47">
        <f>Q102</f>
        <v>0</v>
      </c>
      <c r="R101" s="47">
        <f t="shared" si="73"/>
        <v>0</v>
      </c>
      <c r="S101" s="47">
        <f t="shared" si="73"/>
        <v>0</v>
      </c>
      <c r="T101" s="47">
        <f t="shared" si="73"/>
        <v>0</v>
      </c>
      <c r="U101" s="47">
        <f t="shared" si="73"/>
        <v>0</v>
      </c>
      <c r="V101" s="47">
        <f t="shared" si="73"/>
        <v>0</v>
      </c>
      <c r="W101" s="47">
        <f t="shared" si="73"/>
        <v>0</v>
      </c>
      <c r="X101" s="47">
        <f t="shared" si="73"/>
        <v>0</v>
      </c>
      <c r="Y101" s="47">
        <f t="shared" si="73"/>
        <v>0</v>
      </c>
      <c r="Z101" s="96"/>
      <c r="AA101" s="47">
        <f t="shared" si="73"/>
        <v>0</v>
      </c>
      <c r="AB101" s="47">
        <f t="shared" si="73"/>
        <v>0</v>
      </c>
      <c r="AC101" s="47">
        <f t="shared" si="73"/>
        <v>0</v>
      </c>
      <c r="AD101" s="47">
        <f t="shared" si="73"/>
        <v>0</v>
      </c>
      <c r="AE101" s="47">
        <f t="shared" si="73"/>
        <v>0</v>
      </c>
      <c r="AF101" s="47">
        <f>AF102</f>
        <v>0</v>
      </c>
      <c r="AG101" s="47">
        <f t="shared" si="73"/>
        <v>0</v>
      </c>
      <c r="AH101" s="47">
        <f t="shared" si="73"/>
        <v>0</v>
      </c>
      <c r="AI101" s="47">
        <f t="shared" si="73"/>
        <v>0</v>
      </c>
      <c r="AJ101" s="47">
        <f t="shared" si="73"/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397"/>
      <c r="AQ101" s="96"/>
    </row>
    <row r="102" spans="1:43" s="266" customFormat="1" ht="17.25" hidden="1" customHeight="1" x14ac:dyDescent="0.25">
      <c r="A102" s="362"/>
      <c r="B102" s="252" t="s">
        <v>224</v>
      </c>
      <c r="C102" s="363"/>
      <c r="D102" s="363"/>
      <c r="E102" s="363"/>
      <c r="F102" s="363"/>
      <c r="G102" s="363"/>
      <c r="H102" s="364"/>
      <c r="I102" s="539"/>
      <c r="J102" s="258"/>
      <c r="K102" s="96"/>
      <c r="L102" s="96"/>
      <c r="M102" s="96"/>
      <c r="N102" s="96"/>
      <c r="O102" s="96"/>
      <c r="P102" s="47"/>
      <c r="Q102" s="96">
        <f>Y102</f>
        <v>0</v>
      </c>
      <c r="R102" s="96"/>
      <c r="S102" s="96"/>
      <c r="T102" s="96"/>
      <c r="U102" s="96"/>
      <c r="V102" s="96"/>
      <c r="W102" s="96"/>
      <c r="X102" s="96">
        <v>0</v>
      </c>
      <c r="Y102" s="96">
        <v>0</v>
      </c>
      <c r="Z102" s="96"/>
      <c r="AA102" s="96">
        <v>0</v>
      </c>
      <c r="AB102" s="96">
        <v>0</v>
      </c>
      <c r="AC102" s="96"/>
      <c r="AD102" s="96"/>
      <c r="AE102" s="96"/>
      <c r="AF102" s="96">
        <f>SUM(AG102:AG102)</f>
        <v>0</v>
      </c>
      <c r="AG102" s="96"/>
      <c r="AH102" s="96"/>
      <c r="AI102" s="96"/>
      <c r="AJ102" s="96"/>
      <c r="AK102" s="96"/>
      <c r="AL102" s="96"/>
      <c r="AM102" s="96"/>
      <c r="AN102" s="96"/>
      <c r="AO102" s="96"/>
      <c r="AP102" s="405"/>
      <c r="AQ102" s="96"/>
    </row>
    <row r="103" spans="1:43" s="327" customFormat="1" ht="41.25" customHeight="1" x14ac:dyDescent="0.25">
      <c r="A103" s="1372" t="s">
        <v>160</v>
      </c>
      <c r="B103" s="772" t="s">
        <v>163</v>
      </c>
      <c r="C103" s="312"/>
      <c r="D103" s="312"/>
      <c r="E103" s="312"/>
      <c r="F103" s="312"/>
      <c r="G103" s="312"/>
      <c r="H103" s="1231"/>
      <c r="I103" s="1326" t="s">
        <v>20</v>
      </c>
      <c r="J103" s="1238"/>
      <c r="K103" s="3"/>
      <c r="L103" s="3">
        <f>L104+L108</f>
        <v>5513.9</v>
      </c>
      <c r="M103" s="3">
        <f t="shared" ref="M103:AO103" si="74">M104+M108</f>
        <v>297.18</v>
      </c>
      <c r="N103" s="3">
        <f t="shared" si="74"/>
        <v>1639.84</v>
      </c>
      <c r="O103" s="3">
        <f t="shared" si="74"/>
        <v>0</v>
      </c>
      <c r="P103" s="3">
        <f t="shared" si="74"/>
        <v>0</v>
      </c>
      <c r="Q103" s="3">
        <f t="shared" si="74"/>
        <v>0</v>
      </c>
      <c r="R103" s="3">
        <f t="shared" si="74"/>
        <v>0</v>
      </c>
      <c r="S103" s="3">
        <f t="shared" si="74"/>
        <v>0</v>
      </c>
      <c r="T103" s="3">
        <f t="shared" si="74"/>
        <v>0</v>
      </c>
      <c r="U103" s="3">
        <f t="shared" si="74"/>
        <v>0</v>
      </c>
      <c r="V103" s="3">
        <f t="shared" si="74"/>
        <v>0</v>
      </c>
      <c r="W103" s="3">
        <f t="shared" si="74"/>
        <v>0</v>
      </c>
      <c r="X103" s="3">
        <f t="shared" si="74"/>
        <v>0</v>
      </c>
      <c r="Y103" s="3">
        <f t="shared" si="74"/>
        <v>0</v>
      </c>
      <c r="Z103" s="95">
        <v>0</v>
      </c>
      <c r="AA103" s="3">
        <f t="shared" si="74"/>
        <v>0</v>
      </c>
      <c r="AB103" s="3">
        <f t="shared" si="74"/>
        <v>0</v>
      </c>
      <c r="AC103" s="3">
        <f t="shared" si="74"/>
        <v>0</v>
      </c>
      <c r="AD103" s="3">
        <f t="shared" si="74"/>
        <v>0</v>
      </c>
      <c r="AE103" s="3">
        <f t="shared" si="74"/>
        <v>0</v>
      </c>
      <c r="AF103" s="3">
        <f t="shared" si="74"/>
        <v>0</v>
      </c>
      <c r="AG103" s="3">
        <f t="shared" si="74"/>
        <v>0</v>
      </c>
      <c r="AH103" s="3">
        <f>AH104+AH108</f>
        <v>0</v>
      </c>
      <c r="AI103" s="3">
        <f>AI104+AI108</f>
        <v>0</v>
      </c>
      <c r="AJ103" s="3">
        <f>AJ104+AJ108</f>
        <v>0</v>
      </c>
      <c r="AK103" s="3">
        <f>P103-Q103</f>
        <v>0</v>
      </c>
      <c r="AL103" s="3">
        <f t="shared" si="74"/>
        <v>0</v>
      </c>
      <c r="AM103" s="318">
        <v>0</v>
      </c>
      <c r="AN103" s="3">
        <f t="shared" si="74"/>
        <v>0</v>
      </c>
      <c r="AO103" s="3">
        <f t="shared" si="74"/>
        <v>0</v>
      </c>
      <c r="AP103" s="633" t="s">
        <v>256</v>
      </c>
      <c r="AQ103" s="95">
        <v>0</v>
      </c>
    </row>
    <row r="104" spans="1:43" ht="17.25" hidden="1" customHeight="1" x14ac:dyDescent="0.25">
      <c r="A104" s="1382"/>
      <c r="B104" s="42" t="s">
        <v>15</v>
      </c>
      <c r="C104" s="313"/>
      <c r="D104" s="313"/>
      <c r="E104" s="313"/>
      <c r="F104" s="313"/>
      <c r="G104" s="313"/>
      <c r="H104" s="1252"/>
      <c r="I104" s="1638"/>
      <c r="J104" s="1246"/>
      <c r="K104" s="47"/>
      <c r="L104" s="47">
        <v>594.36</v>
      </c>
      <c r="M104" s="47">
        <v>297.18</v>
      </c>
      <c r="N104" s="47">
        <v>0</v>
      </c>
      <c r="O104" s="47">
        <v>0</v>
      </c>
      <c r="P104" s="47">
        <f>N104</f>
        <v>0</v>
      </c>
      <c r="Q104" s="47">
        <f>SUM(Q105:Q107)</f>
        <v>0</v>
      </c>
      <c r="R104" s="47">
        <f t="shared" ref="R104:AJ104" si="75">SUM(R105:R107)</f>
        <v>0</v>
      </c>
      <c r="S104" s="47">
        <f>SUM(S105:S107)</f>
        <v>0</v>
      </c>
      <c r="T104" s="47">
        <f t="shared" si="75"/>
        <v>0</v>
      </c>
      <c r="U104" s="47">
        <f t="shared" si="75"/>
        <v>0</v>
      </c>
      <c r="V104" s="47">
        <f t="shared" si="75"/>
        <v>0</v>
      </c>
      <c r="W104" s="47">
        <f t="shared" si="75"/>
        <v>0</v>
      </c>
      <c r="X104" s="47">
        <v>0</v>
      </c>
      <c r="Y104" s="47">
        <f t="shared" si="75"/>
        <v>0</v>
      </c>
      <c r="Z104" s="96"/>
      <c r="AA104" s="47">
        <f t="shared" si="75"/>
        <v>0</v>
      </c>
      <c r="AB104" s="47">
        <f t="shared" si="75"/>
        <v>0</v>
      </c>
      <c r="AC104" s="47">
        <f t="shared" si="75"/>
        <v>0</v>
      </c>
      <c r="AD104" s="47">
        <f t="shared" si="75"/>
        <v>0</v>
      </c>
      <c r="AE104" s="47">
        <f t="shared" si="75"/>
        <v>0</v>
      </c>
      <c r="AF104" s="47">
        <f>SUM(AF105:AF107)</f>
        <v>0</v>
      </c>
      <c r="AG104" s="47">
        <f t="shared" si="75"/>
        <v>0</v>
      </c>
      <c r="AH104" s="47">
        <f t="shared" si="75"/>
        <v>0</v>
      </c>
      <c r="AI104" s="47">
        <f t="shared" si="75"/>
        <v>0</v>
      </c>
      <c r="AJ104" s="47">
        <f t="shared" si="75"/>
        <v>0</v>
      </c>
      <c r="AK104" s="47">
        <v>0</v>
      </c>
      <c r="AL104" s="47">
        <v>0</v>
      </c>
      <c r="AM104" s="47">
        <v>0</v>
      </c>
      <c r="AN104" s="47">
        <v>0</v>
      </c>
      <c r="AO104" s="47">
        <v>0</v>
      </c>
      <c r="AP104" s="397">
        <v>159.434</v>
      </c>
      <c r="AQ104" s="96"/>
    </row>
    <row r="105" spans="1:43" s="266" customFormat="1" ht="17.25" hidden="1" customHeight="1" x14ac:dyDescent="0.25">
      <c r="A105" s="1382"/>
      <c r="B105" s="252" t="s">
        <v>225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Y105</f>
        <v>0</v>
      </c>
      <c r="R105" s="96"/>
      <c r="S105" s="96"/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226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S106</f>
        <v>0</v>
      </c>
      <c r="R106" s="96">
        <f>S106</f>
        <v>0</v>
      </c>
      <c r="S106" s="96">
        <v>0</v>
      </c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f>AB106</f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s="266" customFormat="1" ht="17.25" hidden="1" customHeight="1" x14ac:dyDescent="0.25">
      <c r="A107" s="1382"/>
      <c r="B107" s="252" t="s">
        <v>227</v>
      </c>
      <c r="C107" s="363"/>
      <c r="D107" s="363"/>
      <c r="E107" s="363"/>
      <c r="F107" s="363"/>
      <c r="G107" s="363"/>
      <c r="H107" s="364"/>
      <c r="I107" s="1638"/>
      <c r="J107" s="258"/>
      <c r="K107" s="96"/>
      <c r="L107" s="96"/>
      <c r="M107" s="96"/>
      <c r="N107" s="96"/>
      <c r="O107" s="96"/>
      <c r="P107" s="47"/>
      <c r="Q107" s="96">
        <f>Y107</f>
        <v>0</v>
      </c>
      <c r="R107" s="96"/>
      <c r="S107" s="96"/>
      <c r="T107" s="96"/>
      <c r="U107" s="96"/>
      <c r="V107" s="96"/>
      <c r="W107" s="96"/>
      <c r="X107" s="96">
        <v>0</v>
      </c>
      <c r="Y107" s="96">
        <v>0</v>
      </c>
      <c r="Z107" s="96"/>
      <c r="AA107" s="96">
        <v>0</v>
      </c>
      <c r="AB107" s="96">
        <v>0</v>
      </c>
      <c r="AC107" s="96"/>
      <c r="AD107" s="96"/>
      <c r="AE107" s="96"/>
      <c r="AF107" s="96">
        <f>SUM(AG107:AG107)</f>
        <v>0</v>
      </c>
      <c r="AG107" s="96"/>
      <c r="AH107" s="96"/>
      <c r="AI107" s="96"/>
      <c r="AJ107" s="96"/>
      <c r="AK107" s="96"/>
      <c r="AL107" s="96"/>
      <c r="AM107" s="96"/>
      <c r="AN107" s="96"/>
      <c r="AO107" s="96"/>
      <c r="AP107" s="405"/>
      <c r="AQ107" s="96"/>
    </row>
    <row r="108" spans="1:43" ht="16.5" hidden="1" customHeight="1" x14ac:dyDescent="0.25">
      <c r="A108" s="1383"/>
      <c r="B108" s="42" t="s">
        <v>32</v>
      </c>
      <c r="C108" s="313"/>
      <c r="D108" s="313"/>
      <c r="E108" s="313"/>
      <c r="F108" s="313"/>
      <c r="G108" s="313"/>
      <c r="H108" s="1252"/>
      <c r="I108" s="1639"/>
      <c r="J108" s="1246"/>
      <c r="K108" s="47"/>
      <c r="L108" s="47">
        <v>4919.54</v>
      </c>
      <c r="M108" s="47">
        <v>0</v>
      </c>
      <c r="N108" s="47">
        <v>1639.84</v>
      </c>
      <c r="O108" s="47">
        <v>0</v>
      </c>
      <c r="P108" s="47">
        <v>0</v>
      </c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96"/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7">
        <v>0</v>
      </c>
      <c r="AK108" s="47">
        <v>0</v>
      </c>
      <c r="AL108" s="47">
        <v>0</v>
      </c>
      <c r="AM108" s="47">
        <v>0</v>
      </c>
      <c r="AN108" s="47">
        <v>0</v>
      </c>
      <c r="AO108" s="47">
        <v>0</v>
      </c>
      <c r="AP108" s="397">
        <v>1639.8466699999999</v>
      </c>
      <c r="AQ108" s="96"/>
    </row>
    <row r="109" spans="1:43" s="327" customFormat="1" ht="40.5" customHeight="1" x14ac:dyDescent="0.25">
      <c r="A109" s="1372" t="s">
        <v>162</v>
      </c>
      <c r="B109" s="772" t="s">
        <v>166</v>
      </c>
      <c r="C109" s="312"/>
      <c r="D109" s="312"/>
      <c r="E109" s="312"/>
      <c r="F109" s="312"/>
      <c r="G109" s="312"/>
      <c r="H109" s="1231"/>
      <c r="I109" s="1326" t="s">
        <v>20</v>
      </c>
      <c r="J109" s="1238"/>
      <c r="K109" s="3"/>
      <c r="L109" s="3">
        <f>L110+L113</f>
        <v>94875.549999999988</v>
      </c>
      <c r="M109" s="3">
        <f t="shared" ref="M109:AO109" si="76">M110+M113</f>
        <v>2761.44</v>
      </c>
      <c r="N109" s="3">
        <f t="shared" si="76"/>
        <v>9629.67</v>
      </c>
      <c r="O109" s="3">
        <f t="shared" si="76"/>
        <v>22469.279999999999</v>
      </c>
      <c r="P109" s="3">
        <f>P110+P112</f>
        <v>18622.57</v>
      </c>
      <c r="Q109" s="3">
        <f t="shared" si="76"/>
        <v>0</v>
      </c>
      <c r="R109" s="3">
        <f t="shared" si="76"/>
        <v>646.03</v>
      </c>
      <c r="S109" s="3">
        <f t="shared" si="76"/>
        <v>646.02599999999995</v>
      </c>
      <c r="T109" s="3">
        <f t="shared" si="76"/>
        <v>872.63599999999997</v>
      </c>
      <c r="U109" s="3">
        <f t="shared" si="76"/>
        <v>872.63599999999997</v>
      </c>
      <c r="V109" s="3">
        <f t="shared" si="76"/>
        <v>0</v>
      </c>
      <c r="W109" s="3">
        <f t="shared" si="76"/>
        <v>0</v>
      </c>
      <c r="X109" s="3">
        <f t="shared" si="76"/>
        <v>0</v>
      </c>
      <c r="Y109" s="3">
        <f t="shared" si="76"/>
        <v>0</v>
      </c>
      <c r="Z109" s="95">
        <v>0</v>
      </c>
      <c r="AA109" s="3">
        <f t="shared" si="76"/>
        <v>0</v>
      </c>
      <c r="AB109" s="3">
        <f t="shared" si="76"/>
        <v>0</v>
      </c>
      <c r="AC109" s="3">
        <f t="shared" si="76"/>
        <v>0</v>
      </c>
      <c r="AD109" s="3">
        <f t="shared" si="76"/>
        <v>0</v>
      </c>
      <c r="AE109" s="3">
        <f t="shared" si="76"/>
        <v>0</v>
      </c>
      <c r="AF109" s="3">
        <f t="shared" si="76"/>
        <v>0</v>
      </c>
      <c r="AG109" s="3">
        <f t="shared" si="76"/>
        <v>0</v>
      </c>
      <c r="AH109" s="3">
        <f t="shared" si="76"/>
        <v>0</v>
      </c>
      <c r="AI109" s="3">
        <f t="shared" si="76"/>
        <v>0</v>
      </c>
      <c r="AJ109" s="3">
        <f t="shared" si="76"/>
        <v>0</v>
      </c>
      <c r="AK109" s="3">
        <f>P109-Q109</f>
        <v>18622.57</v>
      </c>
      <c r="AL109" s="3">
        <f t="shared" si="76"/>
        <v>0</v>
      </c>
      <c r="AM109" s="318">
        <f>ROUND((Q109*100%/P109*100),2)</f>
        <v>0</v>
      </c>
      <c r="AN109" s="3">
        <f t="shared" si="76"/>
        <v>0</v>
      </c>
      <c r="AO109" s="3">
        <f t="shared" si="76"/>
        <v>0</v>
      </c>
      <c r="AP109" s="633" t="s">
        <v>256</v>
      </c>
      <c r="AQ109" s="95">
        <v>0</v>
      </c>
    </row>
    <row r="110" spans="1:43" ht="16.5" customHeight="1" x14ac:dyDescent="0.25">
      <c r="A110" s="1382"/>
      <c r="B110" s="42" t="s">
        <v>15</v>
      </c>
      <c r="C110" s="313"/>
      <c r="D110" s="313"/>
      <c r="E110" s="313"/>
      <c r="F110" s="313"/>
      <c r="G110" s="313"/>
      <c r="H110" s="1252"/>
      <c r="I110" s="1638"/>
      <c r="J110" s="1246"/>
      <c r="K110" s="47"/>
      <c r="L110" s="47">
        <v>5734.87</v>
      </c>
      <c r="M110" s="47">
        <v>2761.44</v>
      </c>
      <c r="N110" s="47">
        <v>105.99</v>
      </c>
      <c r="O110" s="47">
        <v>0</v>
      </c>
      <c r="P110" s="47">
        <v>0</v>
      </c>
      <c r="Q110" s="47">
        <v>0</v>
      </c>
      <c r="R110" s="47">
        <v>646.03</v>
      </c>
      <c r="S110" s="47">
        <f t="shared" ref="S110:AJ110" si="77">SUM(S111:S112)</f>
        <v>646.02599999999995</v>
      </c>
      <c r="T110" s="47">
        <f t="shared" si="77"/>
        <v>872.63599999999997</v>
      </c>
      <c r="U110" s="47">
        <f t="shared" si="77"/>
        <v>872.63599999999997</v>
      </c>
      <c r="V110" s="47">
        <f t="shared" si="77"/>
        <v>0</v>
      </c>
      <c r="W110" s="47">
        <f t="shared" si="77"/>
        <v>0</v>
      </c>
      <c r="X110" s="47">
        <v>0</v>
      </c>
      <c r="Y110" s="47">
        <f t="shared" si="77"/>
        <v>0</v>
      </c>
      <c r="Z110" s="96"/>
      <c r="AA110" s="47">
        <f t="shared" si="77"/>
        <v>0</v>
      </c>
      <c r="AB110" s="47">
        <f t="shared" si="77"/>
        <v>0</v>
      </c>
      <c r="AC110" s="47">
        <f t="shared" si="77"/>
        <v>0</v>
      </c>
      <c r="AD110" s="47">
        <f t="shared" si="77"/>
        <v>0</v>
      </c>
      <c r="AE110" s="47">
        <f t="shared" si="77"/>
        <v>0</v>
      </c>
      <c r="AF110" s="47">
        <f t="shared" si="77"/>
        <v>0</v>
      </c>
      <c r="AG110" s="47">
        <f t="shared" si="77"/>
        <v>0</v>
      </c>
      <c r="AH110" s="47">
        <f t="shared" si="77"/>
        <v>0</v>
      </c>
      <c r="AI110" s="47">
        <f t="shared" si="77"/>
        <v>0</v>
      </c>
      <c r="AJ110" s="47">
        <f t="shared" si="77"/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397"/>
      <c r="AQ110" s="96"/>
    </row>
    <row r="111" spans="1:43" s="266" customFormat="1" ht="16.5" hidden="1" customHeight="1" x14ac:dyDescent="0.25">
      <c r="A111" s="1382"/>
      <c r="B111" s="252" t="s">
        <v>268</v>
      </c>
      <c r="C111" s="363"/>
      <c r="D111" s="363"/>
      <c r="E111" s="363"/>
      <c r="F111" s="363"/>
      <c r="G111" s="363"/>
      <c r="H111" s="364"/>
      <c r="I111" s="1638"/>
      <c r="J111" s="258"/>
      <c r="K111" s="96"/>
      <c r="L111" s="47">
        <f>SUM(M111:O111)</f>
        <v>0</v>
      </c>
      <c r="M111" s="96"/>
      <c r="N111" s="96"/>
      <c r="O111" s="96"/>
      <c r="P111" s="47"/>
      <c r="Q111" s="96">
        <f>S111+U111</f>
        <v>1518.6619999999998</v>
      </c>
      <c r="R111" s="96">
        <v>0</v>
      </c>
      <c r="S111" s="96">
        <v>646.02599999999995</v>
      </c>
      <c r="T111" s="96">
        <f>U111</f>
        <v>872.63599999999997</v>
      </c>
      <c r="U111" s="96">
        <v>872.63599999999997</v>
      </c>
      <c r="V111" s="96"/>
      <c r="W111" s="96"/>
      <c r="X111" s="96">
        <v>0</v>
      </c>
      <c r="Y111" s="96">
        <v>0</v>
      </c>
      <c r="Z111" s="96"/>
      <c r="AA111" s="96">
        <v>0</v>
      </c>
      <c r="AB111" s="96">
        <v>0</v>
      </c>
      <c r="AC111" s="96"/>
      <c r="AD111" s="96"/>
      <c r="AE111" s="96">
        <v>0</v>
      </c>
      <c r="AF111" s="96">
        <f>SUM(AG111:AG111)</f>
        <v>0</v>
      </c>
      <c r="AG111" s="96"/>
      <c r="AH111" s="96"/>
      <c r="AI111" s="96"/>
      <c r="AJ111" s="96"/>
      <c r="AK111" s="96">
        <v>0</v>
      </c>
      <c r="AL111" s="96">
        <v>0</v>
      </c>
      <c r="AM111" s="96">
        <v>0</v>
      </c>
      <c r="AN111" s="96">
        <v>0</v>
      </c>
      <c r="AO111" s="96">
        <v>0</v>
      </c>
      <c r="AP111" s="405"/>
      <c r="AQ111" s="96"/>
    </row>
    <row r="112" spans="1:43" ht="16.5" customHeight="1" x14ac:dyDescent="0.25">
      <c r="A112" s="1382"/>
      <c r="B112" s="42" t="s">
        <v>32</v>
      </c>
      <c r="C112" s="313"/>
      <c r="D112" s="313"/>
      <c r="E112" s="313"/>
      <c r="F112" s="313"/>
      <c r="G112" s="313"/>
      <c r="H112" s="1252"/>
      <c r="I112" s="1638"/>
      <c r="J112" s="1246"/>
      <c r="K112" s="47"/>
      <c r="L112" s="47">
        <f>SUM(M112:O112)</f>
        <v>0</v>
      </c>
      <c r="M112" s="47"/>
      <c r="N112" s="47"/>
      <c r="O112" s="47"/>
      <c r="P112" s="47">
        <v>18622.57</v>
      </c>
      <c r="Q112" s="47">
        <v>0</v>
      </c>
      <c r="R112" s="47"/>
      <c r="S112" s="47"/>
      <c r="T112" s="47">
        <f>U112</f>
        <v>0</v>
      </c>
      <c r="U112" s="47">
        <v>0</v>
      </c>
      <c r="V112" s="47"/>
      <c r="W112" s="47"/>
      <c r="X112" s="47"/>
      <c r="Y112" s="47"/>
      <c r="Z112" s="47"/>
      <c r="AA112" s="47">
        <f>SUM(AB112:AD112)</f>
        <v>0</v>
      </c>
      <c r="AB112" s="47"/>
      <c r="AC112" s="47">
        <v>0</v>
      </c>
      <c r="AD112" s="47">
        <v>0</v>
      </c>
      <c r="AE112" s="47"/>
      <c r="AF112" s="47">
        <f>SUM(AG112:AG112)</f>
        <v>0</v>
      </c>
      <c r="AG112" s="47"/>
      <c r="AH112" s="47"/>
      <c r="AI112" s="47"/>
      <c r="AJ112" s="47"/>
      <c r="AK112" s="47"/>
      <c r="AL112" s="47"/>
      <c r="AM112" s="47"/>
      <c r="AN112" s="47"/>
      <c r="AO112" s="47"/>
      <c r="AP112" s="397"/>
      <c r="AQ112" s="47"/>
    </row>
    <row r="113" spans="1:45" ht="0.75" customHeight="1" x14ac:dyDescent="0.25">
      <c r="A113" s="1383"/>
      <c r="B113" s="42" t="s">
        <v>32</v>
      </c>
      <c r="C113" s="313"/>
      <c r="D113" s="313"/>
      <c r="E113" s="313"/>
      <c r="F113" s="313"/>
      <c r="G113" s="313"/>
      <c r="H113" s="1252"/>
      <c r="I113" s="1639"/>
      <c r="J113" s="1246"/>
      <c r="K113" s="47"/>
      <c r="L113" s="47">
        <v>89140.68</v>
      </c>
      <c r="M113" s="47">
        <v>0</v>
      </c>
      <c r="N113" s="47">
        <v>9523.68</v>
      </c>
      <c r="O113" s="47">
        <v>22469.279999999999</v>
      </c>
      <c r="P113" s="47">
        <v>2605.9899999999998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96"/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J113" s="47">
        <v>0</v>
      </c>
      <c r="AK113" s="47">
        <v>0</v>
      </c>
      <c r="AL113" s="47">
        <v>0</v>
      </c>
      <c r="AM113" s="47">
        <v>0</v>
      </c>
      <c r="AN113" s="47">
        <v>0</v>
      </c>
      <c r="AO113" s="47">
        <v>0</v>
      </c>
      <c r="AP113" s="397"/>
      <c r="AQ113" s="96"/>
    </row>
    <row r="114" spans="1:45" s="327" customFormat="1" ht="52.5" customHeight="1" x14ac:dyDescent="0.25">
      <c r="A114" s="1372" t="s">
        <v>165</v>
      </c>
      <c r="B114" s="780" t="s">
        <v>280</v>
      </c>
      <c r="C114" s="312"/>
      <c r="D114" s="312"/>
      <c r="E114" s="312"/>
      <c r="F114" s="312"/>
      <c r="G114" s="312"/>
      <c r="H114" s="1231"/>
      <c r="I114" s="1326" t="s">
        <v>20</v>
      </c>
      <c r="J114" s="1238"/>
      <c r="K114" s="3"/>
      <c r="L114" s="3">
        <f>L115</f>
        <v>10177.64</v>
      </c>
      <c r="M114" s="3">
        <f>M115</f>
        <v>0</v>
      </c>
      <c r="N114" s="3">
        <f t="shared" ref="N114:AO118" si="78">N115</f>
        <v>0</v>
      </c>
      <c r="O114" s="3">
        <f t="shared" si="78"/>
        <v>0</v>
      </c>
      <c r="P114" s="3">
        <v>7317.14</v>
      </c>
      <c r="Q114" s="3">
        <v>0</v>
      </c>
      <c r="R114" s="3">
        <f t="shared" si="78"/>
        <v>40.5</v>
      </c>
      <c r="S114" s="3">
        <f t="shared" si="78"/>
        <v>40.5</v>
      </c>
      <c r="T114" s="3">
        <f t="shared" si="78"/>
        <v>0</v>
      </c>
      <c r="U114" s="3">
        <f t="shared" si="78"/>
        <v>0</v>
      </c>
      <c r="V114" s="3">
        <f t="shared" si="78"/>
        <v>0</v>
      </c>
      <c r="W114" s="3">
        <f t="shared" si="78"/>
        <v>0</v>
      </c>
      <c r="X114" s="3">
        <f t="shared" si="78"/>
        <v>0</v>
      </c>
      <c r="Y114" s="3">
        <f t="shared" si="78"/>
        <v>0</v>
      </c>
      <c r="Z114" s="95">
        <v>0</v>
      </c>
      <c r="AA114" s="3">
        <v>0</v>
      </c>
      <c r="AB114" s="3">
        <f t="shared" si="78"/>
        <v>40.5</v>
      </c>
      <c r="AC114" s="3">
        <f t="shared" si="78"/>
        <v>0</v>
      </c>
      <c r="AD114" s="3">
        <f t="shared" si="78"/>
        <v>0</v>
      </c>
      <c r="AE114" s="3">
        <f t="shared" si="78"/>
        <v>0</v>
      </c>
      <c r="AF114" s="3">
        <f t="shared" si="78"/>
        <v>0</v>
      </c>
      <c r="AG114" s="3">
        <f t="shared" si="78"/>
        <v>0</v>
      </c>
      <c r="AH114" s="3">
        <f t="shared" si="78"/>
        <v>0</v>
      </c>
      <c r="AI114" s="3">
        <f t="shared" si="78"/>
        <v>0</v>
      </c>
      <c r="AJ114" s="3">
        <f t="shared" si="78"/>
        <v>0</v>
      </c>
      <c r="AK114" s="3">
        <f>P114-Q114</f>
        <v>7317.14</v>
      </c>
      <c r="AL114" s="3">
        <f t="shared" si="78"/>
        <v>0</v>
      </c>
      <c r="AM114" s="3">
        <f t="shared" si="78"/>
        <v>0</v>
      </c>
      <c r="AN114" s="3">
        <f t="shared" si="78"/>
        <v>0</v>
      </c>
      <c r="AO114" s="3">
        <f t="shared" si="78"/>
        <v>0</v>
      </c>
      <c r="AP114" s="633"/>
      <c r="AQ114" s="95">
        <v>0</v>
      </c>
    </row>
    <row r="115" spans="1:45" ht="17.25" hidden="1" customHeight="1" x14ac:dyDescent="0.25">
      <c r="A115" s="1639"/>
      <c r="B115" s="42" t="s">
        <v>203</v>
      </c>
      <c r="C115" s="313"/>
      <c r="D115" s="313"/>
      <c r="E115" s="313"/>
      <c r="F115" s="313"/>
      <c r="G115" s="313"/>
      <c r="H115" s="1252"/>
      <c r="I115" s="1639"/>
      <c r="J115" s="1246"/>
      <c r="K115" s="47"/>
      <c r="L115" s="47">
        <v>10177.64</v>
      </c>
      <c r="M115" s="47">
        <v>0</v>
      </c>
      <c r="N115" s="47">
        <v>0</v>
      </c>
      <c r="O115" s="47">
        <v>0</v>
      </c>
      <c r="P115" s="47">
        <v>2591.96</v>
      </c>
      <c r="Q115" s="47">
        <f>Q116</f>
        <v>40.5</v>
      </c>
      <c r="R115" s="47">
        <f t="shared" si="78"/>
        <v>40.5</v>
      </c>
      <c r="S115" s="47">
        <f t="shared" si="78"/>
        <v>40.5</v>
      </c>
      <c r="T115" s="47">
        <f t="shared" si="78"/>
        <v>0</v>
      </c>
      <c r="U115" s="47">
        <f t="shared" si="78"/>
        <v>0</v>
      </c>
      <c r="V115" s="47">
        <f t="shared" si="78"/>
        <v>0</v>
      </c>
      <c r="W115" s="47">
        <f t="shared" si="78"/>
        <v>0</v>
      </c>
      <c r="X115" s="47">
        <f t="shared" si="78"/>
        <v>0</v>
      </c>
      <c r="Y115" s="47">
        <f t="shared" si="78"/>
        <v>0</v>
      </c>
      <c r="Z115" s="96"/>
      <c r="AA115" s="47">
        <f t="shared" si="78"/>
        <v>40.5</v>
      </c>
      <c r="AB115" s="47">
        <f t="shared" si="78"/>
        <v>40.5</v>
      </c>
      <c r="AC115" s="47">
        <f t="shared" si="78"/>
        <v>0</v>
      </c>
      <c r="AD115" s="47">
        <f t="shared" si="78"/>
        <v>0</v>
      </c>
      <c r="AE115" s="47">
        <f t="shared" si="78"/>
        <v>0</v>
      </c>
      <c r="AF115" s="47">
        <f t="shared" si="78"/>
        <v>0</v>
      </c>
      <c r="AG115" s="47">
        <f t="shared" si="78"/>
        <v>0</v>
      </c>
      <c r="AH115" s="47">
        <f t="shared" si="78"/>
        <v>0</v>
      </c>
      <c r="AI115" s="47">
        <f t="shared" si="78"/>
        <v>0</v>
      </c>
      <c r="AJ115" s="47">
        <f t="shared" si="78"/>
        <v>0</v>
      </c>
      <c r="AK115" s="47">
        <v>0</v>
      </c>
      <c r="AL115" s="47">
        <v>0</v>
      </c>
      <c r="AM115" s="47">
        <v>0</v>
      </c>
      <c r="AN115" s="47">
        <v>0</v>
      </c>
      <c r="AO115" s="47">
        <v>0</v>
      </c>
      <c r="AP115" s="397"/>
      <c r="AQ115" s="96"/>
    </row>
    <row r="116" spans="1:45" s="266" customFormat="1" ht="17.25" hidden="1" customHeight="1" x14ac:dyDescent="0.25">
      <c r="A116" s="539"/>
      <c r="B116" s="252" t="s">
        <v>298</v>
      </c>
      <c r="C116" s="363"/>
      <c r="D116" s="363"/>
      <c r="E116" s="363"/>
      <c r="F116" s="363"/>
      <c r="G116" s="363"/>
      <c r="H116" s="364"/>
      <c r="I116" s="539"/>
      <c r="J116" s="258"/>
      <c r="K116" s="96"/>
      <c r="L116" s="96"/>
      <c r="M116" s="96"/>
      <c r="N116" s="96"/>
      <c r="O116" s="96"/>
      <c r="P116" s="96"/>
      <c r="Q116" s="96">
        <f>S116</f>
        <v>40.5</v>
      </c>
      <c r="R116" s="96">
        <f>S116</f>
        <v>40.5</v>
      </c>
      <c r="S116" s="96">
        <v>40.5</v>
      </c>
      <c r="T116" s="96"/>
      <c r="U116" s="96"/>
      <c r="V116" s="96"/>
      <c r="W116" s="96"/>
      <c r="X116" s="96"/>
      <c r="Y116" s="96"/>
      <c r="Z116" s="96"/>
      <c r="AA116" s="96">
        <f>AB116</f>
        <v>40.5</v>
      </c>
      <c r="AB116" s="96">
        <v>40.5</v>
      </c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268"/>
      <c r="AN116" s="96"/>
      <c r="AO116" s="96"/>
      <c r="AP116" s="405"/>
      <c r="AQ116" s="96"/>
    </row>
    <row r="117" spans="1:45" s="327" customFormat="1" ht="27.75" customHeight="1" x14ac:dyDescent="0.25">
      <c r="A117" s="1372" t="s">
        <v>281</v>
      </c>
      <c r="B117" s="772" t="s">
        <v>284</v>
      </c>
      <c r="C117" s="312"/>
      <c r="D117" s="312"/>
      <c r="E117" s="312"/>
      <c r="F117" s="312"/>
      <c r="G117" s="312"/>
      <c r="H117" s="1231"/>
      <c r="I117" s="1326" t="s">
        <v>20</v>
      </c>
      <c r="J117" s="1238"/>
      <c r="K117" s="3"/>
      <c r="L117" s="3">
        <f>SUM(L118:L120)</f>
        <v>12294.88</v>
      </c>
      <c r="M117" s="3">
        <f>SUM(M118:M120)</f>
        <v>0</v>
      </c>
      <c r="N117" s="3">
        <f>SUM(N118:N120)</f>
        <v>0</v>
      </c>
      <c r="O117" s="3">
        <f>SUM(O118:O120)</f>
        <v>0</v>
      </c>
      <c r="P117" s="3">
        <f>SUM(P118:P120)</f>
        <v>11314.88</v>
      </c>
      <c r="Q117" s="3">
        <f t="shared" si="78"/>
        <v>0</v>
      </c>
      <c r="R117" s="3">
        <f t="shared" si="78"/>
        <v>686</v>
      </c>
      <c r="S117" s="3">
        <f t="shared" si="78"/>
        <v>686</v>
      </c>
      <c r="T117" s="3">
        <f t="shared" si="78"/>
        <v>294</v>
      </c>
      <c r="U117" s="3">
        <f t="shared" si="78"/>
        <v>294</v>
      </c>
      <c r="V117" s="3">
        <f t="shared" si="78"/>
        <v>0</v>
      </c>
      <c r="W117" s="3">
        <f t="shared" si="78"/>
        <v>0</v>
      </c>
      <c r="X117" s="3">
        <f t="shared" si="78"/>
        <v>0</v>
      </c>
      <c r="Y117" s="3">
        <f t="shared" si="78"/>
        <v>0</v>
      </c>
      <c r="Z117" s="95">
        <v>0</v>
      </c>
      <c r="AA117" s="3">
        <f t="shared" si="78"/>
        <v>0</v>
      </c>
      <c r="AB117" s="3">
        <f t="shared" si="78"/>
        <v>0</v>
      </c>
      <c r="AC117" s="3">
        <f t="shared" si="78"/>
        <v>0</v>
      </c>
      <c r="AD117" s="3">
        <f t="shared" si="78"/>
        <v>0</v>
      </c>
      <c r="AE117" s="3">
        <f t="shared" si="78"/>
        <v>0</v>
      </c>
      <c r="AF117" s="3">
        <f t="shared" si="78"/>
        <v>0</v>
      </c>
      <c r="AG117" s="3">
        <f t="shared" si="78"/>
        <v>0</v>
      </c>
      <c r="AH117" s="3">
        <f t="shared" si="78"/>
        <v>0</v>
      </c>
      <c r="AI117" s="3">
        <f t="shared" si="78"/>
        <v>0</v>
      </c>
      <c r="AJ117" s="3">
        <f t="shared" si="78"/>
        <v>0</v>
      </c>
      <c r="AK117" s="3">
        <f>P117-Q117</f>
        <v>11314.88</v>
      </c>
      <c r="AL117" s="3">
        <f>AL120</f>
        <v>0</v>
      </c>
      <c r="AM117" s="318">
        <v>0</v>
      </c>
      <c r="AN117" s="3">
        <f>AN120</f>
        <v>0</v>
      </c>
      <c r="AO117" s="3">
        <f>AO120</f>
        <v>0</v>
      </c>
      <c r="AP117" s="633" t="s">
        <v>256</v>
      </c>
      <c r="AQ117" s="95">
        <v>0</v>
      </c>
    </row>
    <row r="118" spans="1:45" ht="20.25" customHeight="1" x14ac:dyDescent="0.25">
      <c r="A118" s="1382"/>
      <c r="B118" s="42" t="s">
        <v>285</v>
      </c>
      <c r="C118" s="313"/>
      <c r="D118" s="313"/>
      <c r="E118" s="313"/>
      <c r="F118" s="313"/>
      <c r="G118" s="313"/>
      <c r="H118" s="1252"/>
      <c r="I118" s="1327"/>
      <c r="J118" s="1246"/>
      <c r="K118" s="47"/>
      <c r="L118" s="47">
        <v>980</v>
      </c>
      <c r="M118" s="47"/>
      <c r="N118" s="47">
        <v>0</v>
      </c>
      <c r="O118" s="47"/>
      <c r="P118" s="47">
        <v>0</v>
      </c>
      <c r="Q118" s="47">
        <v>0</v>
      </c>
      <c r="R118" s="47">
        <f t="shared" si="78"/>
        <v>686</v>
      </c>
      <c r="S118" s="47">
        <f t="shared" si="78"/>
        <v>686</v>
      </c>
      <c r="T118" s="47">
        <f t="shared" si="78"/>
        <v>294</v>
      </c>
      <c r="U118" s="47">
        <f t="shared" si="78"/>
        <v>294</v>
      </c>
      <c r="V118" s="47">
        <f t="shared" si="78"/>
        <v>0</v>
      </c>
      <c r="W118" s="47">
        <f t="shared" si="78"/>
        <v>0</v>
      </c>
      <c r="X118" s="47">
        <f t="shared" si="78"/>
        <v>0</v>
      </c>
      <c r="Y118" s="47">
        <f t="shared" si="78"/>
        <v>0</v>
      </c>
      <c r="Z118" s="96"/>
      <c r="AA118" s="47">
        <f t="shared" si="78"/>
        <v>0</v>
      </c>
      <c r="AB118" s="47">
        <f t="shared" si="78"/>
        <v>0</v>
      </c>
      <c r="AC118" s="47">
        <f t="shared" si="78"/>
        <v>0</v>
      </c>
      <c r="AD118" s="47">
        <f t="shared" si="78"/>
        <v>0</v>
      </c>
      <c r="AE118" s="47">
        <f t="shared" si="78"/>
        <v>0</v>
      </c>
      <c r="AF118" s="47">
        <f t="shared" si="78"/>
        <v>0</v>
      </c>
      <c r="AG118" s="47">
        <f t="shared" si="78"/>
        <v>0</v>
      </c>
      <c r="AH118" s="47">
        <f t="shared" si="78"/>
        <v>0</v>
      </c>
      <c r="AI118" s="47">
        <f t="shared" si="78"/>
        <v>0</v>
      </c>
      <c r="AJ118" s="47">
        <f t="shared" si="78"/>
        <v>0</v>
      </c>
      <c r="AK118" s="47">
        <v>0</v>
      </c>
      <c r="AL118" s="47"/>
      <c r="AM118" s="47"/>
      <c r="AN118" s="47"/>
      <c r="AO118" s="47"/>
      <c r="AP118" s="397"/>
      <c r="AQ118" s="96"/>
    </row>
    <row r="119" spans="1:45" s="266" customFormat="1" ht="20.25" hidden="1" customHeight="1" x14ac:dyDescent="0.25">
      <c r="A119" s="1382"/>
      <c r="B119" s="252" t="s">
        <v>299</v>
      </c>
      <c r="C119" s="363"/>
      <c r="D119" s="363"/>
      <c r="E119" s="363"/>
      <c r="F119" s="363"/>
      <c r="G119" s="363"/>
      <c r="H119" s="364"/>
      <c r="I119" s="1327"/>
      <c r="J119" s="258"/>
      <c r="K119" s="96"/>
      <c r="L119" s="96"/>
      <c r="M119" s="96"/>
      <c r="N119" s="96"/>
      <c r="O119" s="96"/>
      <c r="P119" s="96"/>
      <c r="Q119" s="96">
        <f>S119+U119</f>
        <v>980</v>
      </c>
      <c r="R119" s="96">
        <f>S119</f>
        <v>686</v>
      </c>
      <c r="S119" s="96">
        <v>686</v>
      </c>
      <c r="T119" s="96">
        <v>294</v>
      </c>
      <c r="U119" s="96">
        <v>294</v>
      </c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405"/>
      <c r="AQ119" s="96"/>
    </row>
    <row r="120" spans="1:45" ht="17.25" customHeight="1" x14ac:dyDescent="0.25">
      <c r="A120" s="1639"/>
      <c r="B120" s="42" t="s">
        <v>287</v>
      </c>
      <c r="C120" s="313"/>
      <c r="D120" s="313"/>
      <c r="E120" s="313"/>
      <c r="F120" s="313"/>
      <c r="G120" s="313"/>
      <c r="H120" s="1252"/>
      <c r="I120" s="1639"/>
      <c r="J120" s="1246"/>
      <c r="K120" s="47"/>
      <c r="L120" s="47">
        <v>11314.88</v>
      </c>
      <c r="M120" s="47">
        <v>0</v>
      </c>
      <c r="N120" s="47">
        <v>0</v>
      </c>
      <c r="O120" s="47">
        <v>0</v>
      </c>
      <c r="P120" s="47">
        <v>11314.88</v>
      </c>
      <c r="Q120" s="47">
        <v>0</v>
      </c>
      <c r="R120" s="47">
        <v>0</v>
      </c>
      <c r="S120" s="47">
        <v>0</v>
      </c>
      <c r="T120" s="47">
        <f t="shared" ref="T120:Y120" si="79">T130</f>
        <v>980</v>
      </c>
      <c r="U120" s="47">
        <v>0</v>
      </c>
      <c r="V120" s="47">
        <f t="shared" si="79"/>
        <v>0</v>
      </c>
      <c r="W120" s="47">
        <f t="shared" si="79"/>
        <v>0</v>
      </c>
      <c r="X120" s="47">
        <f t="shared" si="79"/>
        <v>0</v>
      </c>
      <c r="Y120" s="47">
        <f t="shared" si="79"/>
        <v>0</v>
      </c>
      <c r="Z120" s="96"/>
      <c r="AA120" s="47">
        <v>0</v>
      </c>
      <c r="AB120" s="47">
        <v>0</v>
      </c>
      <c r="AC120" s="47">
        <f t="shared" ref="AC120:AJ120" si="80">AC130</f>
        <v>0</v>
      </c>
      <c r="AD120" s="47">
        <f t="shared" si="80"/>
        <v>0</v>
      </c>
      <c r="AE120" s="47">
        <f t="shared" si="80"/>
        <v>0</v>
      </c>
      <c r="AF120" s="47">
        <f t="shared" si="80"/>
        <v>0</v>
      </c>
      <c r="AG120" s="47">
        <f t="shared" si="80"/>
        <v>0</v>
      </c>
      <c r="AH120" s="47">
        <f t="shared" si="80"/>
        <v>0</v>
      </c>
      <c r="AI120" s="47">
        <f t="shared" si="80"/>
        <v>0</v>
      </c>
      <c r="AJ120" s="47">
        <f t="shared" si="80"/>
        <v>0</v>
      </c>
      <c r="AK120" s="47">
        <v>0</v>
      </c>
      <c r="AL120" s="47">
        <v>0</v>
      </c>
      <c r="AM120" s="47">
        <v>0</v>
      </c>
      <c r="AN120" s="47">
        <v>0</v>
      </c>
      <c r="AO120" s="47">
        <v>0</v>
      </c>
      <c r="AP120" s="397"/>
      <c r="AQ120" s="96"/>
    </row>
    <row r="121" spans="1:45" s="327" customFormat="1" ht="24.75" customHeight="1" x14ac:dyDescent="0.25">
      <c r="A121" s="1372" t="s">
        <v>282</v>
      </c>
      <c r="B121" s="772" t="s">
        <v>286</v>
      </c>
      <c r="C121" s="312"/>
      <c r="D121" s="312"/>
      <c r="E121" s="312"/>
      <c r="F121" s="312"/>
      <c r="G121" s="312"/>
      <c r="H121" s="1231"/>
      <c r="I121" s="1326" t="s">
        <v>20</v>
      </c>
      <c r="J121" s="1238"/>
      <c r="K121" s="3"/>
      <c r="L121" s="3">
        <f>SUM(L122:L125)</f>
        <v>2085.84</v>
      </c>
      <c r="M121" s="3">
        <f>SUM(M122:M125)</f>
        <v>0</v>
      </c>
      <c r="N121" s="3">
        <f>SUM(N122:N125)</f>
        <v>0</v>
      </c>
      <c r="O121" s="3">
        <f>SUM(O122:O125)</f>
        <v>0</v>
      </c>
      <c r="P121" s="3">
        <f>SUM(P122:P125)</f>
        <v>86.18</v>
      </c>
      <c r="Q121" s="3">
        <f>Q122+Q125</f>
        <v>0</v>
      </c>
      <c r="R121" s="3">
        <f t="shared" ref="R121:AD121" si="81">R122+R125</f>
        <v>0</v>
      </c>
      <c r="S121" s="3">
        <f t="shared" si="81"/>
        <v>0</v>
      </c>
      <c r="T121" s="3">
        <f t="shared" si="81"/>
        <v>1066.18</v>
      </c>
      <c r="U121" s="3">
        <f t="shared" si="81"/>
        <v>86.18</v>
      </c>
      <c r="V121" s="3">
        <f t="shared" si="81"/>
        <v>1597.7769999999998</v>
      </c>
      <c r="W121" s="3">
        <f t="shared" si="81"/>
        <v>1597.7769999999998</v>
      </c>
      <c r="X121" s="3">
        <f t="shared" si="81"/>
        <v>0</v>
      </c>
      <c r="Y121" s="3">
        <f t="shared" si="81"/>
        <v>0</v>
      </c>
      <c r="Z121" s="95">
        <v>0</v>
      </c>
      <c r="AA121" s="3">
        <v>0</v>
      </c>
      <c r="AB121" s="3">
        <f t="shared" si="81"/>
        <v>0</v>
      </c>
      <c r="AC121" s="3">
        <f t="shared" si="81"/>
        <v>0</v>
      </c>
      <c r="AD121" s="3">
        <f t="shared" si="81"/>
        <v>1550</v>
      </c>
      <c r="AE121" s="3">
        <f t="shared" ref="AE121:AJ121" si="82">AE125</f>
        <v>0</v>
      </c>
      <c r="AF121" s="3">
        <f t="shared" si="82"/>
        <v>0</v>
      </c>
      <c r="AG121" s="3">
        <f t="shared" si="82"/>
        <v>0</v>
      </c>
      <c r="AH121" s="3">
        <f t="shared" si="82"/>
        <v>0</v>
      </c>
      <c r="AI121" s="3">
        <f t="shared" si="82"/>
        <v>0</v>
      </c>
      <c r="AJ121" s="3">
        <f t="shared" si="82"/>
        <v>0</v>
      </c>
      <c r="AK121" s="3">
        <f>P121-Q121</f>
        <v>86.18</v>
      </c>
      <c r="AL121" s="3">
        <f>AL125</f>
        <v>0</v>
      </c>
      <c r="AM121" s="3">
        <f>AM125</f>
        <v>0</v>
      </c>
      <c r="AN121" s="3">
        <f>AN125</f>
        <v>0</v>
      </c>
      <c r="AO121" s="3">
        <f>AO125</f>
        <v>0</v>
      </c>
      <c r="AP121" s="633" t="s">
        <v>244</v>
      </c>
      <c r="AQ121" s="95">
        <v>0</v>
      </c>
      <c r="AS121" s="3"/>
    </row>
    <row r="122" spans="1:45" ht="20.25" customHeight="1" x14ac:dyDescent="0.25">
      <c r="A122" s="1382"/>
      <c r="B122" s="42" t="s">
        <v>285</v>
      </c>
      <c r="C122" s="313"/>
      <c r="D122" s="313"/>
      <c r="E122" s="313"/>
      <c r="F122" s="313"/>
      <c r="G122" s="313"/>
      <c r="H122" s="1252"/>
      <c r="I122" s="1327"/>
      <c r="J122" s="1246"/>
      <c r="K122" s="47"/>
      <c r="L122" s="47">
        <v>2085.84</v>
      </c>
      <c r="M122" s="47"/>
      <c r="N122" s="47">
        <v>0</v>
      </c>
      <c r="O122" s="47"/>
      <c r="P122" s="47">
        <v>86.18</v>
      </c>
      <c r="Q122" s="47">
        <v>0</v>
      </c>
      <c r="R122" s="47">
        <f t="shared" ref="R122:AD122" si="83">R124+R123</f>
        <v>0</v>
      </c>
      <c r="S122" s="47">
        <f t="shared" si="83"/>
        <v>0</v>
      </c>
      <c r="T122" s="47">
        <f t="shared" si="83"/>
        <v>86.18</v>
      </c>
      <c r="U122" s="47">
        <f t="shared" si="83"/>
        <v>86.18</v>
      </c>
      <c r="V122" s="47">
        <f t="shared" si="83"/>
        <v>1597.7769999999998</v>
      </c>
      <c r="W122" s="47">
        <f t="shared" si="83"/>
        <v>1597.7769999999998</v>
      </c>
      <c r="X122" s="47">
        <f t="shared" si="83"/>
        <v>0</v>
      </c>
      <c r="Y122" s="47">
        <f t="shared" si="83"/>
        <v>0</v>
      </c>
      <c r="Z122" s="96"/>
      <c r="AA122" s="47">
        <v>0</v>
      </c>
      <c r="AB122" s="47">
        <f t="shared" si="83"/>
        <v>0</v>
      </c>
      <c r="AC122" s="47">
        <f t="shared" si="83"/>
        <v>0</v>
      </c>
      <c r="AD122" s="47">
        <f t="shared" si="83"/>
        <v>1550</v>
      </c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397"/>
      <c r="AQ122" s="96"/>
    </row>
    <row r="123" spans="1:45" s="266" customFormat="1" ht="38.25" hidden="1" customHeight="1" x14ac:dyDescent="0.25">
      <c r="A123" s="1382"/>
      <c r="B123" s="252" t="s">
        <v>321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W123</f>
        <v>1511.6</v>
      </c>
      <c r="R123" s="96"/>
      <c r="S123" s="96"/>
      <c r="T123" s="96"/>
      <c r="U123" s="96"/>
      <c r="V123" s="96">
        <f>W123</f>
        <v>1511.6</v>
      </c>
      <c r="W123" s="96">
        <v>1511.6</v>
      </c>
      <c r="X123" s="96"/>
      <c r="Y123" s="96"/>
      <c r="Z123" s="96"/>
      <c r="AA123" s="96">
        <f>AD123</f>
        <v>1550</v>
      </c>
      <c r="AB123" s="96"/>
      <c r="AC123" s="96"/>
      <c r="AD123" s="96">
        <v>1550</v>
      </c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s="266" customFormat="1" ht="27" hidden="1" customHeight="1" x14ac:dyDescent="0.25">
      <c r="A124" s="1382"/>
      <c r="B124" s="252" t="s">
        <v>313</v>
      </c>
      <c r="C124" s="363"/>
      <c r="D124" s="363"/>
      <c r="E124" s="363"/>
      <c r="F124" s="363"/>
      <c r="G124" s="363"/>
      <c r="H124" s="364"/>
      <c r="I124" s="1327"/>
      <c r="J124" s="258"/>
      <c r="K124" s="96"/>
      <c r="L124" s="96"/>
      <c r="M124" s="96"/>
      <c r="N124" s="96"/>
      <c r="O124" s="96"/>
      <c r="P124" s="96"/>
      <c r="Q124" s="96">
        <f>S124+U124</f>
        <v>86.18</v>
      </c>
      <c r="R124" s="96"/>
      <c r="S124" s="96"/>
      <c r="T124" s="96">
        <f>U124</f>
        <v>86.18</v>
      </c>
      <c r="U124" s="96">
        <f>ROUND((103.412/1.2),2)</f>
        <v>86.18</v>
      </c>
      <c r="V124" s="96">
        <f>W124</f>
        <v>86.177000000000007</v>
      </c>
      <c r="W124" s="96">
        <v>86.177000000000007</v>
      </c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405"/>
      <c r="AQ124" s="96"/>
    </row>
    <row r="125" spans="1:45" ht="17.25" customHeight="1" x14ac:dyDescent="0.25">
      <c r="A125" s="1639"/>
      <c r="B125" s="42" t="s">
        <v>287</v>
      </c>
      <c r="C125" s="313"/>
      <c r="D125" s="313"/>
      <c r="E125" s="313"/>
      <c r="F125" s="313"/>
      <c r="G125" s="313"/>
      <c r="H125" s="1252"/>
      <c r="I125" s="1639"/>
      <c r="J125" s="1246"/>
      <c r="K125" s="47"/>
      <c r="L125" s="47">
        <v>0</v>
      </c>
      <c r="M125" s="47">
        <v>0</v>
      </c>
      <c r="N125" s="47">
        <v>0</v>
      </c>
      <c r="O125" s="47">
        <v>0</v>
      </c>
      <c r="P125" s="47">
        <f>N125</f>
        <v>0</v>
      </c>
      <c r="Q125" s="47">
        <v>0</v>
      </c>
      <c r="R125" s="47">
        <v>0</v>
      </c>
      <c r="S125" s="47">
        <v>0</v>
      </c>
      <c r="T125" s="47">
        <f t="shared" ref="T125:Y125" si="84">T141</f>
        <v>980</v>
      </c>
      <c r="U125" s="47">
        <v>0</v>
      </c>
      <c r="V125" s="47">
        <f t="shared" si="84"/>
        <v>0</v>
      </c>
      <c r="W125" s="47">
        <f t="shared" si="84"/>
        <v>0</v>
      </c>
      <c r="X125" s="47">
        <f t="shared" si="84"/>
        <v>0</v>
      </c>
      <c r="Y125" s="47">
        <f t="shared" si="84"/>
        <v>0</v>
      </c>
      <c r="Z125" s="96"/>
      <c r="AA125" s="47">
        <v>0</v>
      </c>
      <c r="AB125" s="47">
        <v>0</v>
      </c>
      <c r="AC125" s="47">
        <f t="shared" ref="AC125:AJ125" si="85">AC141</f>
        <v>0</v>
      </c>
      <c r="AD125" s="47">
        <f t="shared" si="85"/>
        <v>0</v>
      </c>
      <c r="AE125" s="47">
        <f t="shared" si="85"/>
        <v>0</v>
      </c>
      <c r="AF125" s="47">
        <f t="shared" si="85"/>
        <v>0</v>
      </c>
      <c r="AG125" s="47">
        <f t="shared" si="85"/>
        <v>0</v>
      </c>
      <c r="AH125" s="47">
        <f t="shared" si="85"/>
        <v>0</v>
      </c>
      <c r="AI125" s="47">
        <f t="shared" si="85"/>
        <v>0</v>
      </c>
      <c r="AJ125" s="47">
        <f t="shared" si="85"/>
        <v>0</v>
      </c>
      <c r="AK125" s="47">
        <v>0</v>
      </c>
      <c r="AL125" s="47">
        <v>0</v>
      </c>
      <c r="AM125" s="47">
        <v>0</v>
      </c>
      <c r="AN125" s="47">
        <v>0</v>
      </c>
      <c r="AO125" s="47">
        <v>0</v>
      </c>
      <c r="AP125" s="397"/>
      <c r="AQ125" s="96"/>
    </row>
    <row r="126" spans="1:45" s="327" customFormat="1" ht="31.5" customHeight="1" x14ac:dyDescent="0.25">
      <c r="A126" s="1372" t="s">
        <v>283</v>
      </c>
      <c r="B126" s="772" t="s">
        <v>288</v>
      </c>
      <c r="C126" s="312"/>
      <c r="D126" s="312"/>
      <c r="E126" s="312"/>
      <c r="F126" s="312"/>
      <c r="G126" s="312"/>
      <c r="H126" s="1231"/>
      <c r="I126" s="1326" t="s">
        <v>20</v>
      </c>
      <c r="J126" s="1238"/>
      <c r="K126" s="3"/>
      <c r="L126" s="3">
        <f t="shared" ref="L126:AJ127" si="86">L127</f>
        <v>28990</v>
      </c>
      <c r="M126" s="3">
        <f t="shared" si="86"/>
        <v>0</v>
      </c>
      <c r="N126" s="3">
        <f t="shared" si="86"/>
        <v>10150</v>
      </c>
      <c r="O126" s="3">
        <f t="shared" si="86"/>
        <v>0</v>
      </c>
      <c r="P126" s="3">
        <v>0</v>
      </c>
      <c r="Q126" s="3">
        <v>0</v>
      </c>
      <c r="R126" s="3">
        <f t="shared" si="86"/>
        <v>10000</v>
      </c>
      <c r="S126" s="3">
        <f t="shared" si="86"/>
        <v>10000</v>
      </c>
      <c r="T126" s="3">
        <f t="shared" si="86"/>
        <v>14158.333000000001</v>
      </c>
      <c r="U126" s="3">
        <f t="shared" si="86"/>
        <v>14158.333000000001</v>
      </c>
      <c r="V126" s="3">
        <f t="shared" si="86"/>
        <v>0</v>
      </c>
      <c r="W126" s="3">
        <f t="shared" si="86"/>
        <v>0</v>
      </c>
      <c r="X126" s="3">
        <f t="shared" si="86"/>
        <v>0</v>
      </c>
      <c r="Y126" s="3">
        <f t="shared" si="86"/>
        <v>0</v>
      </c>
      <c r="Z126" s="95">
        <v>0</v>
      </c>
      <c r="AA126" s="3">
        <f t="shared" si="86"/>
        <v>0</v>
      </c>
      <c r="AB126" s="3">
        <f t="shared" si="86"/>
        <v>0</v>
      </c>
      <c r="AC126" s="3">
        <f t="shared" si="86"/>
        <v>0</v>
      </c>
      <c r="AD126" s="3">
        <f t="shared" si="86"/>
        <v>0</v>
      </c>
      <c r="AE126" s="3">
        <f t="shared" si="86"/>
        <v>0</v>
      </c>
      <c r="AF126" s="3">
        <f t="shared" si="86"/>
        <v>0</v>
      </c>
      <c r="AG126" s="3">
        <f t="shared" si="86"/>
        <v>0</v>
      </c>
      <c r="AH126" s="3">
        <f t="shared" si="86"/>
        <v>0</v>
      </c>
      <c r="AI126" s="3">
        <f t="shared" si="86"/>
        <v>0</v>
      </c>
      <c r="AJ126" s="3">
        <f t="shared" si="86"/>
        <v>0</v>
      </c>
      <c r="AK126" s="3">
        <f>P126-Q126</f>
        <v>0</v>
      </c>
      <c r="AL126" s="3">
        <f>AL127</f>
        <v>0</v>
      </c>
      <c r="AM126" s="318" t="e">
        <f>ROUND((Q126*100%/P126*100),2)</f>
        <v>#DIV/0!</v>
      </c>
      <c r="AN126" s="3">
        <f>AN127</f>
        <v>0</v>
      </c>
      <c r="AO126" s="3">
        <f>AO127</f>
        <v>0</v>
      </c>
      <c r="AP126" s="633" t="s">
        <v>295</v>
      </c>
      <c r="AQ126" s="95">
        <v>0</v>
      </c>
    </row>
    <row r="127" spans="1:45" ht="17.25" hidden="1" customHeight="1" x14ac:dyDescent="0.25">
      <c r="A127" s="1639"/>
      <c r="B127" s="42" t="s">
        <v>201</v>
      </c>
      <c r="C127" s="313"/>
      <c r="D127" s="313"/>
      <c r="E127" s="313"/>
      <c r="F127" s="313"/>
      <c r="G127" s="313"/>
      <c r="H127" s="1252"/>
      <c r="I127" s="1639"/>
      <c r="J127" s="1246"/>
      <c r="K127" s="47"/>
      <c r="L127" s="47">
        <v>28990</v>
      </c>
      <c r="M127" s="47">
        <v>0</v>
      </c>
      <c r="N127" s="47">
        <v>10150</v>
      </c>
      <c r="O127" s="47">
        <v>0</v>
      </c>
      <c r="P127" s="47">
        <v>18840</v>
      </c>
      <c r="Q127" s="47">
        <f>Q128</f>
        <v>24158.332999999999</v>
      </c>
      <c r="R127" s="47">
        <f t="shared" si="86"/>
        <v>10000</v>
      </c>
      <c r="S127" s="47">
        <f t="shared" si="86"/>
        <v>10000</v>
      </c>
      <c r="T127" s="47">
        <f t="shared" si="86"/>
        <v>14158.333000000001</v>
      </c>
      <c r="U127" s="47">
        <f t="shared" si="86"/>
        <v>14158.333000000001</v>
      </c>
      <c r="V127" s="47">
        <f t="shared" si="86"/>
        <v>0</v>
      </c>
      <c r="W127" s="47">
        <f t="shared" si="86"/>
        <v>0</v>
      </c>
      <c r="X127" s="47">
        <f t="shared" si="86"/>
        <v>0</v>
      </c>
      <c r="Y127" s="47">
        <f t="shared" si="86"/>
        <v>0</v>
      </c>
      <c r="Z127" s="96"/>
      <c r="AA127" s="47">
        <f t="shared" si="86"/>
        <v>0</v>
      </c>
      <c r="AB127" s="47">
        <f t="shared" si="86"/>
        <v>0</v>
      </c>
      <c r="AC127" s="47">
        <f t="shared" si="86"/>
        <v>0</v>
      </c>
      <c r="AD127" s="47">
        <f t="shared" si="86"/>
        <v>0</v>
      </c>
      <c r="AE127" s="47">
        <f>AE128</f>
        <v>0</v>
      </c>
      <c r="AF127" s="47">
        <f>AF144+AJ127</f>
        <v>0</v>
      </c>
      <c r="AG127" s="47">
        <f>AG144</f>
        <v>0</v>
      </c>
      <c r="AH127" s="47">
        <f>AH144</f>
        <v>0</v>
      </c>
      <c r="AI127" s="47">
        <f>AI144</f>
        <v>0</v>
      </c>
      <c r="AJ127" s="47">
        <v>0</v>
      </c>
      <c r="AK127" s="47">
        <v>0</v>
      </c>
      <c r="AL127" s="47">
        <v>0</v>
      </c>
      <c r="AM127" s="47">
        <v>0</v>
      </c>
      <c r="AN127" s="47">
        <v>0</v>
      </c>
      <c r="AO127" s="47">
        <v>0</v>
      </c>
      <c r="AP127" s="397"/>
      <c r="AQ127" s="96"/>
    </row>
    <row r="128" spans="1:45" s="266" customFormat="1" ht="24.75" hidden="1" customHeight="1" x14ac:dyDescent="0.25">
      <c r="A128" s="539"/>
      <c r="B128" s="252" t="s">
        <v>290</v>
      </c>
      <c r="C128" s="363"/>
      <c r="D128" s="363"/>
      <c r="E128" s="363"/>
      <c r="F128" s="363"/>
      <c r="G128" s="363"/>
      <c r="H128" s="364"/>
      <c r="I128" s="614"/>
      <c r="J128" s="258"/>
      <c r="K128" s="96"/>
      <c r="L128" s="96"/>
      <c r="M128" s="96"/>
      <c r="N128" s="96"/>
      <c r="O128" s="96"/>
      <c r="P128" s="96"/>
      <c r="Q128" s="96">
        <f>S128+U128</f>
        <v>24158.332999999999</v>
      </c>
      <c r="R128" s="96">
        <f>S128</f>
        <v>10000</v>
      </c>
      <c r="S128" s="96">
        <v>10000</v>
      </c>
      <c r="T128" s="96">
        <f>U128</f>
        <v>14158.333000000001</v>
      </c>
      <c r="U128" s="96">
        <v>14158.333000000001</v>
      </c>
      <c r="V128" s="96"/>
      <c r="W128" s="96"/>
      <c r="X128" s="96"/>
      <c r="Y128" s="96"/>
      <c r="Z128" s="96"/>
      <c r="AA128" s="96">
        <f>SUM(AB128:AE128)</f>
        <v>0</v>
      </c>
      <c r="AB128" s="96"/>
      <c r="AC128" s="96"/>
      <c r="AD128" s="96"/>
      <c r="AE128" s="96">
        <v>0</v>
      </c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405"/>
      <c r="AQ128" s="96"/>
    </row>
    <row r="129" spans="1:43" ht="54" hidden="1" customHeight="1" x14ac:dyDescent="0.25">
      <c r="A129" s="1332" t="s">
        <v>60</v>
      </c>
      <c r="B129" s="1613" t="s">
        <v>45</v>
      </c>
      <c r="C129" s="1614"/>
      <c r="D129" s="1614"/>
      <c r="E129" s="1614"/>
      <c r="F129" s="1614"/>
      <c r="G129" s="1614"/>
      <c r="H129" s="1615"/>
      <c r="I129" s="23" t="s">
        <v>19</v>
      </c>
      <c r="J129" s="47">
        <v>0</v>
      </c>
      <c r="K129" s="47">
        <f>K132</f>
        <v>0</v>
      </c>
      <c r="L129" s="47">
        <f>M129+N129+O129</f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96"/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397"/>
      <c r="AQ129" s="96"/>
    </row>
    <row r="130" spans="1:43" ht="42.75" hidden="1" customHeight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20</v>
      </c>
      <c r="J130" s="47">
        <f>J141</f>
        <v>4106.3500000000004</v>
      </c>
      <c r="K130" s="47">
        <v>0</v>
      </c>
      <c r="L130" s="47">
        <f>L141</f>
        <v>6022.96</v>
      </c>
      <c r="M130" s="47">
        <f>M141</f>
        <v>0</v>
      </c>
      <c r="N130" s="47">
        <f t="shared" ref="N130:AO130" si="87">N141</f>
        <v>980</v>
      </c>
      <c r="O130" s="47">
        <f t="shared" si="87"/>
        <v>0</v>
      </c>
      <c r="P130" s="47">
        <f t="shared" si="87"/>
        <v>420.48</v>
      </c>
      <c r="Q130" s="47">
        <f t="shared" si="87"/>
        <v>0</v>
      </c>
      <c r="R130" s="47">
        <f t="shared" si="87"/>
        <v>0</v>
      </c>
      <c r="S130" s="47">
        <f t="shared" si="87"/>
        <v>0</v>
      </c>
      <c r="T130" s="47">
        <f t="shared" si="87"/>
        <v>980</v>
      </c>
      <c r="U130" s="47">
        <f t="shared" si="87"/>
        <v>980</v>
      </c>
      <c r="V130" s="47">
        <f t="shared" si="87"/>
        <v>0</v>
      </c>
      <c r="W130" s="47">
        <f t="shared" si="87"/>
        <v>0</v>
      </c>
      <c r="X130" s="47">
        <f t="shared" si="87"/>
        <v>0</v>
      </c>
      <c r="Y130" s="47">
        <f t="shared" si="87"/>
        <v>0</v>
      </c>
      <c r="Z130" s="96"/>
      <c r="AA130" s="47">
        <f t="shared" si="87"/>
        <v>0</v>
      </c>
      <c r="AB130" s="47">
        <f t="shared" si="87"/>
        <v>0</v>
      </c>
      <c r="AC130" s="47">
        <f t="shared" si="87"/>
        <v>0</v>
      </c>
      <c r="AD130" s="47">
        <f t="shared" si="87"/>
        <v>0</v>
      </c>
      <c r="AE130" s="47">
        <f t="shared" si="87"/>
        <v>0</v>
      </c>
      <c r="AF130" s="47">
        <f t="shared" si="87"/>
        <v>0</v>
      </c>
      <c r="AG130" s="47">
        <f t="shared" si="87"/>
        <v>0</v>
      </c>
      <c r="AH130" s="47">
        <f t="shared" si="87"/>
        <v>0</v>
      </c>
      <c r="AI130" s="47">
        <f t="shared" si="87"/>
        <v>0</v>
      </c>
      <c r="AJ130" s="47">
        <f t="shared" si="87"/>
        <v>0</v>
      </c>
      <c r="AK130" s="47">
        <f t="shared" si="87"/>
        <v>420.48</v>
      </c>
      <c r="AL130" s="47">
        <f t="shared" si="87"/>
        <v>420.48</v>
      </c>
      <c r="AM130" s="47">
        <f t="shared" si="87"/>
        <v>0</v>
      </c>
      <c r="AN130" s="47">
        <f t="shared" si="87"/>
        <v>0</v>
      </c>
      <c r="AO130" s="47">
        <f t="shared" si="87"/>
        <v>0</v>
      </c>
      <c r="AP130" s="397"/>
      <c r="AQ130" s="96"/>
    </row>
    <row r="131" spans="1:43" ht="25.5" hidden="1" x14ac:dyDescent="0.25">
      <c r="A131" s="1333"/>
      <c r="B131" s="1616"/>
      <c r="C131" s="1617"/>
      <c r="D131" s="1617"/>
      <c r="E131" s="1617"/>
      <c r="F131" s="1617"/>
      <c r="G131" s="1617"/>
      <c r="H131" s="1618"/>
      <c r="I131" s="23" t="s">
        <v>10</v>
      </c>
      <c r="J131" s="47">
        <v>0</v>
      </c>
      <c r="K131" s="47">
        <v>0</v>
      </c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ht="129" hidden="1" customHeight="1" x14ac:dyDescent="0.25">
      <c r="A132" s="1334"/>
      <c r="B132" s="1619"/>
      <c r="C132" s="1620"/>
      <c r="D132" s="1620"/>
      <c r="E132" s="1620"/>
      <c r="F132" s="1620"/>
      <c r="G132" s="1620"/>
      <c r="H132" s="1621"/>
      <c r="I132" s="23" t="s">
        <v>9</v>
      </c>
      <c r="J132" s="47">
        <v>0</v>
      </c>
      <c r="K132" s="47"/>
      <c r="L132" s="47">
        <f>M132+N132+O132</f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96"/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397"/>
      <c r="AQ132" s="96"/>
    </row>
    <row r="133" spans="1:43" s="327" customFormat="1" ht="31.5" customHeight="1" x14ac:dyDescent="0.25">
      <c r="A133" s="789"/>
      <c r="B133" s="772" t="s">
        <v>405</v>
      </c>
      <c r="C133" s="312"/>
      <c r="D133" s="312"/>
      <c r="E133" s="312"/>
      <c r="F133" s="312"/>
      <c r="G133" s="312"/>
      <c r="H133" s="1231"/>
      <c r="I133" s="1257"/>
      <c r="J133" s="1238"/>
      <c r="K133" s="3"/>
      <c r="L133" s="3"/>
      <c r="M133" s="3"/>
      <c r="N133" s="3"/>
      <c r="O133" s="3"/>
      <c r="P133" s="3">
        <f>SUM(P134:P135)</f>
        <v>2820.43</v>
      </c>
      <c r="Q133" s="3">
        <f t="shared" ref="Q133:AA133" si="88">SUM(Q134:Q135)</f>
        <v>1722.2351199999998</v>
      </c>
      <c r="R133" s="3">
        <f t="shared" si="88"/>
        <v>0</v>
      </c>
      <c r="S133" s="3">
        <f t="shared" si="88"/>
        <v>0</v>
      </c>
      <c r="T133" s="3">
        <f t="shared" si="88"/>
        <v>0</v>
      </c>
      <c r="U133" s="3">
        <f t="shared" si="88"/>
        <v>0</v>
      </c>
      <c r="V133" s="3">
        <f t="shared" si="88"/>
        <v>0</v>
      </c>
      <c r="W133" s="3">
        <f t="shared" si="88"/>
        <v>0</v>
      </c>
      <c r="X133" s="3">
        <f t="shared" si="88"/>
        <v>0</v>
      </c>
      <c r="Y133" s="3">
        <f t="shared" si="88"/>
        <v>0</v>
      </c>
      <c r="Z133" s="3">
        <f t="shared" si="88"/>
        <v>0</v>
      </c>
      <c r="AA133" s="3">
        <f t="shared" si="88"/>
        <v>1722.2351200000001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18"/>
      <c r="AN133" s="3"/>
      <c r="AO133" s="3"/>
      <c r="AP133" s="633"/>
      <c r="AQ133" s="95"/>
    </row>
    <row r="134" spans="1:43" ht="15.75" x14ac:dyDescent="0.25">
      <c r="A134" s="1216"/>
      <c r="B134" s="42" t="s">
        <v>285</v>
      </c>
      <c r="C134" s="1250"/>
      <c r="D134" s="1250"/>
      <c r="E134" s="1250"/>
      <c r="F134" s="1250"/>
      <c r="G134" s="1250"/>
      <c r="H134" s="1251"/>
      <c r="I134" s="1217"/>
      <c r="J134" s="4"/>
      <c r="K134" s="47"/>
      <c r="L134" s="47"/>
      <c r="M134" s="47"/>
      <c r="N134" s="47"/>
      <c r="O134" s="47"/>
      <c r="P134" s="47">
        <v>508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"/>
      <c r="AN134" s="47"/>
      <c r="AO134" s="47"/>
      <c r="AP134" s="397"/>
      <c r="AQ134" s="96"/>
    </row>
    <row r="135" spans="1:43" ht="17.25" customHeight="1" x14ac:dyDescent="0.25">
      <c r="A135" s="1216"/>
      <c r="B135" s="42" t="s">
        <v>213</v>
      </c>
      <c r="C135" s="313"/>
      <c r="D135" s="313"/>
      <c r="E135" s="313"/>
      <c r="F135" s="313"/>
      <c r="G135" s="313"/>
      <c r="H135" s="1252"/>
      <c r="I135" s="1217"/>
      <c r="J135" s="1246"/>
      <c r="K135" s="47"/>
      <c r="L135" s="47"/>
      <c r="M135" s="47"/>
      <c r="N135" s="47"/>
      <c r="O135" s="47"/>
      <c r="P135" s="47">
        <v>2312.4299999999998</v>
      </c>
      <c r="Q135" s="47">
        <f>Q136</f>
        <v>1722.2351199999998</v>
      </c>
      <c r="R135" s="47"/>
      <c r="S135" s="47"/>
      <c r="T135" s="47"/>
      <c r="U135" s="47"/>
      <c r="V135" s="47"/>
      <c r="W135" s="47"/>
      <c r="X135" s="47"/>
      <c r="Y135" s="47"/>
      <c r="Z135" s="96"/>
      <c r="AA135" s="47">
        <f>AA136</f>
        <v>1722.2351200000001</v>
      </c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397"/>
      <c r="AQ135" s="96"/>
    </row>
    <row r="136" spans="1:43" s="266" customFormat="1" ht="17.25" customHeight="1" x14ac:dyDescent="0.25">
      <c r="A136" s="1211"/>
      <c r="B136" s="252" t="s">
        <v>479</v>
      </c>
      <c r="C136" s="363"/>
      <c r="D136" s="363"/>
      <c r="E136" s="363"/>
      <c r="F136" s="363"/>
      <c r="G136" s="363"/>
      <c r="H136" s="364"/>
      <c r="I136" s="1212"/>
      <c r="J136" s="258"/>
      <c r="K136" s="96"/>
      <c r="L136" s="96"/>
      <c r="M136" s="96"/>
      <c r="N136" s="96"/>
      <c r="O136" s="96"/>
      <c r="P136" s="96"/>
      <c r="Q136" s="96">
        <f>441.88433+600+380.35079+300</f>
        <v>1722.2351199999998</v>
      </c>
      <c r="R136" s="96"/>
      <c r="S136" s="96"/>
      <c r="T136" s="96"/>
      <c r="U136" s="96"/>
      <c r="V136" s="96"/>
      <c r="W136" s="96"/>
      <c r="X136" s="96"/>
      <c r="Y136" s="96"/>
      <c r="Z136" s="96"/>
      <c r="AA136" s="96">
        <f>1041.88433+680.35079</f>
        <v>1722.2351200000001</v>
      </c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268"/>
      <c r="AN136" s="96"/>
      <c r="AO136" s="96"/>
      <c r="AP136" s="405"/>
      <c r="AQ136" s="96"/>
    </row>
    <row r="137" spans="1:43" s="327" customFormat="1" ht="31.5" customHeight="1" x14ac:dyDescent="0.25">
      <c r="A137" s="789"/>
      <c r="B137" s="772" t="s">
        <v>406</v>
      </c>
      <c r="C137" s="312"/>
      <c r="D137" s="312"/>
      <c r="E137" s="312"/>
      <c r="F137" s="312"/>
      <c r="G137" s="312"/>
      <c r="H137" s="1231"/>
      <c r="I137" s="1257"/>
      <c r="J137" s="1238"/>
      <c r="K137" s="3"/>
      <c r="L137" s="3"/>
      <c r="M137" s="3"/>
      <c r="N137" s="3"/>
      <c r="O137" s="3"/>
      <c r="P137" s="3">
        <f>SUM(P138:P139)</f>
        <v>2801.43</v>
      </c>
      <c r="Q137" s="3">
        <f t="shared" ref="Q137:AA137" si="89">SUM(Q138:Q139)</f>
        <v>552.02575000000002</v>
      </c>
      <c r="R137" s="3">
        <f t="shared" si="89"/>
        <v>0</v>
      </c>
      <c r="S137" s="3">
        <f t="shared" si="89"/>
        <v>0</v>
      </c>
      <c r="T137" s="3">
        <f t="shared" si="89"/>
        <v>0</v>
      </c>
      <c r="U137" s="3">
        <f t="shared" si="89"/>
        <v>0</v>
      </c>
      <c r="V137" s="3">
        <f t="shared" si="89"/>
        <v>0</v>
      </c>
      <c r="W137" s="3">
        <f t="shared" si="89"/>
        <v>0</v>
      </c>
      <c r="X137" s="3">
        <f t="shared" si="89"/>
        <v>0</v>
      </c>
      <c r="Y137" s="3">
        <f t="shared" si="89"/>
        <v>0</v>
      </c>
      <c r="Z137" s="3">
        <f t="shared" si="89"/>
        <v>0</v>
      </c>
      <c r="AA137" s="3">
        <f t="shared" si="89"/>
        <v>552.02575000000002</v>
      </c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18"/>
      <c r="AN137" s="3"/>
      <c r="AO137" s="3"/>
      <c r="AP137" s="633"/>
      <c r="AQ137" s="95"/>
    </row>
    <row r="138" spans="1:43" ht="15.75" x14ac:dyDescent="0.25">
      <c r="A138" s="1216"/>
      <c r="B138" s="42" t="s">
        <v>285</v>
      </c>
      <c r="C138" s="1250"/>
      <c r="D138" s="1250"/>
      <c r="E138" s="1250"/>
      <c r="F138" s="1250"/>
      <c r="G138" s="1250"/>
      <c r="H138" s="1251"/>
      <c r="I138" s="1217"/>
      <c r="J138" s="4"/>
      <c r="K138" s="47"/>
      <c r="L138" s="47"/>
      <c r="M138" s="47"/>
      <c r="N138" s="47"/>
      <c r="O138" s="47"/>
      <c r="P138" s="47">
        <v>489</v>
      </c>
      <c r="Q138" s="47">
        <v>0</v>
      </c>
      <c r="R138" s="47"/>
      <c r="S138" s="47"/>
      <c r="T138" s="47"/>
      <c r="U138" s="47"/>
      <c r="V138" s="47"/>
      <c r="W138" s="47"/>
      <c r="X138" s="47"/>
      <c r="Y138" s="47"/>
      <c r="Z138" s="96"/>
      <c r="AA138" s="47">
        <v>0</v>
      </c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"/>
      <c r="AN138" s="47"/>
      <c r="AO138" s="47"/>
      <c r="AP138" s="397"/>
      <c r="AQ138" s="96"/>
    </row>
    <row r="139" spans="1:43" ht="17.25" customHeight="1" x14ac:dyDescent="0.25">
      <c r="A139" s="1216"/>
      <c r="B139" s="42" t="s">
        <v>213</v>
      </c>
      <c r="C139" s="313"/>
      <c r="D139" s="313"/>
      <c r="E139" s="313"/>
      <c r="F139" s="313"/>
      <c r="G139" s="313"/>
      <c r="H139" s="1252"/>
      <c r="I139" s="1217"/>
      <c r="J139" s="1246"/>
      <c r="K139" s="47"/>
      <c r="L139" s="47"/>
      <c r="M139" s="47"/>
      <c r="N139" s="47"/>
      <c r="O139" s="47"/>
      <c r="P139" s="47">
        <v>2312.4299999999998</v>
      </c>
      <c r="Q139" s="47">
        <f>Q140</f>
        <v>552.02575000000002</v>
      </c>
      <c r="R139" s="47"/>
      <c r="S139" s="47"/>
      <c r="T139" s="47"/>
      <c r="U139" s="47"/>
      <c r="V139" s="47"/>
      <c r="W139" s="47"/>
      <c r="X139" s="47"/>
      <c r="Y139" s="47"/>
      <c r="Z139" s="96"/>
      <c r="AA139" s="47">
        <f>AA140</f>
        <v>552.02575000000002</v>
      </c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397"/>
      <c r="AQ139" s="96"/>
    </row>
    <row r="140" spans="1:43" s="266" customFormat="1" ht="17.25" customHeight="1" x14ac:dyDescent="0.25">
      <c r="A140" s="1211"/>
      <c r="B140" s="252" t="s">
        <v>473</v>
      </c>
      <c r="C140" s="363"/>
      <c r="D140" s="363"/>
      <c r="E140" s="363"/>
      <c r="F140" s="363"/>
      <c r="G140" s="363"/>
      <c r="H140" s="364"/>
      <c r="I140" s="1212"/>
      <c r="J140" s="258"/>
      <c r="K140" s="96"/>
      <c r="L140" s="96"/>
      <c r="M140" s="96"/>
      <c r="N140" s="96"/>
      <c r="O140" s="96"/>
      <c r="P140" s="96"/>
      <c r="Q140" s="96">
        <v>552.02575000000002</v>
      </c>
      <c r="R140" s="96"/>
      <c r="S140" s="96"/>
      <c r="T140" s="96"/>
      <c r="U140" s="96"/>
      <c r="V140" s="96"/>
      <c r="W140" s="96"/>
      <c r="X140" s="96"/>
      <c r="Y140" s="96"/>
      <c r="Z140" s="96"/>
      <c r="AA140" s="96">
        <v>552.02575000000002</v>
      </c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268"/>
      <c r="AN140" s="96"/>
      <c r="AO140" s="96"/>
      <c r="AP140" s="405"/>
      <c r="AQ140" s="96"/>
    </row>
    <row r="141" spans="1:43" s="327" customFormat="1" ht="30" customHeight="1" x14ac:dyDescent="0.25">
      <c r="A141" s="1372" t="s">
        <v>61</v>
      </c>
      <c r="B141" s="609" t="s">
        <v>88</v>
      </c>
      <c r="C141" s="790"/>
      <c r="D141" s="790"/>
      <c r="E141" s="790"/>
      <c r="F141" s="790"/>
      <c r="G141" s="790"/>
      <c r="H141" s="790"/>
      <c r="I141" s="1463" t="s">
        <v>20</v>
      </c>
      <c r="J141" s="1622">
        <v>4106.3500000000004</v>
      </c>
      <c r="K141" s="3">
        <v>0</v>
      </c>
      <c r="L141" s="3">
        <f>L142+L145</f>
        <v>6022.96</v>
      </c>
      <c r="M141" s="3">
        <f>M142+M145</f>
        <v>0</v>
      </c>
      <c r="N141" s="3">
        <f>N142+N145</f>
        <v>980</v>
      </c>
      <c r="O141" s="3">
        <f>O142+O145</f>
        <v>0</v>
      </c>
      <c r="P141" s="3">
        <f>P142+P145</f>
        <v>420.48</v>
      </c>
      <c r="Q141" s="3">
        <f t="shared" ref="Q141:AO141" si="90">Q142+Q145</f>
        <v>0</v>
      </c>
      <c r="R141" s="3">
        <f t="shared" si="90"/>
        <v>0</v>
      </c>
      <c r="S141" s="3">
        <f t="shared" si="90"/>
        <v>0</v>
      </c>
      <c r="T141" s="3">
        <f t="shared" si="90"/>
        <v>980</v>
      </c>
      <c r="U141" s="3">
        <f t="shared" si="90"/>
        <v>980</v>
      </c>
      <c r="V141" s="3">
        <f t="shared" si="90"/>
        <v>0</v>
      </c>
      <c r="W141" s="3">
        <f t="shared" si="90"/>
        <v>0</v>
      </c>
      <c r="X141" s="3">
        <f t="shared" si="90"/>
        <v>0</v>
      </c>
      <c r="Y141" s="3">
        <f t="shared" si="90"/>
        <v>0</v>
      </c>
      <c r="Z141" s="95">
        <v>0</v>
      </c>
      <c r="AA141" s="3">
        <f t="shared" si="90"/>
        <v>0</v>
      </c>
      <c r="AB141" s="3">
        <f>AB142+AB145</f>
        <v>0</v>
      </c>
      <c r="AC141" s="3">
        <f>AC142+AC145</f>
        <v>0</v>
      </c>
      <c r="AD141" s="3">
        <f>AD142+AD145</f>
        <v>0</v>
      </c>
      <c r="AE141" s="3">
        <f>AE142+AE145</f>
        <v>0</v>
      </c>
      <c r="AF141" s="3">
        <f t="shared" si="90"/>
        <v>0</v>
      </c>
      <c r="AG141" s="3">
        <f t="shared" si="90"/>
        <v>0</v>
      </c>
      <c r="AH141" s="3">
        <f t="shared" si="90"/>
        <v>0</v>
      </c>
      <c r="AI141" s="3">
        <f t="shared" si="90"/>
        <v>0</v>
      </c>
      <c r="AJ141" s="3">
        <f t="shared" si="90"/>
        <v>0</v>
      </c>
      <c r="AK141" s="3">
        <f>P141-Q141</f>
        <v>420.48</v>
      </c>
      <c r="AL141" s="3">
        <f>AK141</f>
        <v>420.48</v>
      </c>
      <c r="AM141" s="318">
        <f>ROUND((Q141*100%/P141*100),2)</f>
        <v>0</v>
      </c>
      <c r="AN141" s="3">
        <f t="shared" si="90"/>
        <v>0</v>
      </c>
      <c r="AO141" s="3">
        <f t="shared" si="90"/>
        <v>0</v>
      </c>
      <c r="AP141" s="633" t="s">
        <v>256</v>
      </c>
      <c r="AQ141" s="95">
        <v>0</v>
      </c>
    </row>
    <row r="142" spans="1:43" x14ac:dyDescent="0.25">
      <c r="A142" s="1382"/>
      <c r="B142" s="23" t="s">
        <v>15</v>
      </c>
      <c r="C142" s="46"/>
      <c r="D142" s="46"/>
      <c r="E142" s="46"/>
      <c r="F142" s="46"/>
      <c r="G142" s="1219">
        <v>2019</v>
      </c>
      <c r="H142" s="1219">
        <v>2019</v>
      </c>
      <c r="I142" s="1464"/>
      <c r="J142" s="1623"/>
      <c r="K142" s="47"/>
      <c r="L142" s="47">
        <v>1000</v>
      </c>
      <c r="M142" s="47">
        <v>0</v>
      </c>
      <c r="N142" s="47">
        <v>980</v>
      </c>
      <c r="O142" s="47">
        <v>0</v>
      </c>
      <c r="P142" s="47">
        <v>0</v>
      </c>
      <c r="Q142" s="47">
        <v>0</v>
      </c>
      <c r="R142" s="47">
        <f t="shared" ref="R142:AA142" si="91">R143+R144</f>
        <v>0</v>
      </c>
      <c r="S142" s="47">
        <f t="shared" si="91"/>
        <v>0</v>
      </c>
      <c r="T142" s="47">
        <f t="shared" si="91"/>
        <v>980</v>
      </c>
      <c r="U142" s="47">
        <f t="shared" si="91"/>
        <v>980</v>
      </c>
      <c r="V142" s="47">
        <f t="shared" si="91"/>
        <v>0</v>
      </c>
      <c r="W142" s="47">
        <f t="shared" si="91"/>
        <v>0</v>
      </c>
      <c r="X142" s="47">
        <f t="shared" si="91"/>
        <v>0</v>
      </c>
      <c r="Y142" s="47">
        <f t="shared" si="91"/>
        <v>0</v>
      </c>
      <c r="Z142" s="96"/>
      <c r="AA142" s="47">
        <f t="shared" si="91"/>
        <v>0</v>
      </c>
      <c r="AB142" s="47">
        <f>AB143+AB144</f>
        <v>0</v>
      </c>
      <c r="AC142" s="47">
        <f>AC143+AC144</f>
        <v>0</v>
      </c>
      <c r="AD142" s="47">
        <f>AD143+AD144</f>
        <v>0</v>
      </c>
      <c r="AE142" s="47">
        <f>AE143+AE144</f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266" customFormat="1" hidden="1" x14ac:dyDescent="0.25">
      <c r="A143" s="1382"/>
      <c r="B143" s="443" t="s">
        <v>251</v>
      </c>
      <c r="C143" s="444"/>
      <c r="D143" s="444"/>
      <c r="E143" s="444"/>
      <c r="F143" s="444"/>
      <c r="G143" s="262"/>
      <c r="H143" s="262"/>
      <c r="I143" s="1464"/>
      <c r="J143" s="1623"/>
      <c r="K143" s="96"/>
      <c r="L143" s="96"/>
      <c r="M143" s="96"/>
      <c r="N143" s="96"/>
      <c r="O143" s="96"/>
      <c r="P143" s="96">
        <v>0</v>
      </c>
      <c r="Q143" s="96">
        <f>S143+U143</f>
        <v>980</v>
      </c>
      <c r="R143" s="96">
        <v>0</v>
      </c>
      <c r="S143" s="96">
        <v>0</v>
      </c>
      <c r="T143" s="96">
        <f>U143</f>
        <v>980</v>
      </c>
      <c r="U143" s="96">
        <v>980</v>
      </c>
      <c r="V143" s="96"/>
      <c r="W143" s="96"/>
      <c r="X143" s="96"/>
      <c r="Y143" s="96"/>
      <c r="Z143" s="96"/>
      <c r="AA143" s="96">
        <f>AB143</f>
        <v>0</v>
      </c>
      <c r="AB143" s="96">
        <v>0</v>
      </c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405"/>
      <c r="AQ143" s="96"/>
    </row>
    <row r="144" spans="1:43" s="266" customFormat="1" hidden="1" x14ac:dyDescent="0.25">
      <c r="A144" s="1382"/>
      <c r="B144" s="443" t="s">
        <v>252</v>
      </c>
      <c r="C144" s="444"/>
      <c r="D144" s="444"/>
      <c r="E144" s="444"/>
      <c r="F144" s="444"/>
      <c r="G144" s="262"/>
      <c r="H144" s="262"/>
      <c r="I144" s="1464"/>
      <c r="J144" s="1623"/>
      <c r="K144" s="96"/>
      <c r="L144" s="96"/>
      <c r="M144" s="96"/>
      <c r="N144" s="96"/>
      <c r="O144" s="96"/>
      <c r="P144" s="96"/>
      <c r="Q144" s="96">
        <f>S144</f>
        <v>0</v>
      </c>
      <c r="R144" s="96">
        <f>S144</f>
        <v>0</v>
      </c>
      <c r="S144" s="96">
        <v>0</v>
      </c>
      <c r="T144" s="96"/>
      <c r="U144" s="96"/>
      <c r="V144" s="96"/>
      <c r="W144" s="96"/>
      <c r="X144" s="96"/>
      <c r="Y144" s="96"/>
      <c r="Z144" s="96"/>
      <c r="AA144" s="96">
        <f>AB144</f>
        <v>0</v>
      </c>
      <c r="AB144" s="96">
        <v>0</v>
      </c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405"/>
      <c r="AQ144" s="96"/>
    </row>
    <row r="145" spans="1:43" x14ac:dyDescent="0.25">
      <c r="A145" s="1383"/>
      <c r="B145" s="23" t="s">
        <v>16</v>
      </c>
      <c r="C145" s="46"/>
      <c r="D145" s="46"/>
      <c r="E145" s="46"/>
      <c r="F145" s="46"/>
      <c r="G145" s="1219">
        <v>2020</v>
      </c>
      <c r="H145" s="1219">
        <v>2021</v>
      </c>
      <c r="I145" s="1465"/>
      <c r="J145" s="1624"/>
      <c r="K145" s="47"/>
      <c r="L145" s="47">
        <v>5022.96</v>
      </c>
      <c r="M145" s="47">
        <v>0</v>
      </c>
      <c r="N145" s="47">
        <v>0</v>
      </c>
      <c r="O145" s="47">
        <v>0</v>
      </c>
      <c r="P145" s="47">
        <v>420.48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96">
        <v>0</v>
      </c>
      <c r="Y145" s="96">
        <v>0</v>
      </c>
      <c r="Z145" s="96"/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0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397"/>
      <c r="AQ145" s="96"/>
    </row>
    <row r="146" spans="1:43" s="327" customFormat="1" ht="30" customHeight="1" x14ac:dyDescent="0.25">
      <c r="A146" s="1372" t="s">
        <v>61</v>
      </c>
      <c r="B146" s="609" t="s">
        <v>407</v>
      </c>
      <c r="C146" s="790"/>
      <c r="D146" s="790"/>
      <c r="E146" s="790"/>
      <c r="F146" s="790"/>
      <c r="G146" s="790"/>
      <c r="H146" s="790"/>
      <c r="I146" s="1463" t="s">
        <v>20</v>
      </c>
      <c r="J146" s="1622">
        <v>4106.3500000000004</v>
      </c>
      <c r="K146" s="3">
        <v>0</v>
      </c>
      <c r="L146" s="3">
        <f>L147+L150</f>
        <v>6022.96</v>
      </c>
      <c r="M146" s="3">
        <f>M147+M150</f>
        <v>0</v>
      </c>
      <c r="N146" s="3">
        <f>N147+N150</f>
        <v>980</v>
      </c>
      <c r="O146" s="3">
        <f>O147+O150</f>
        <v>0</v>
      </c>
      <c r="P146" s="3">
        <f>P147+P150</f>
        <v>1281.25</v>
      </c>
      <c r="Q146" s="3">
        <f t="shared" ref="Q146:Y146" si="92">Q147+Q150</f>
        <v>0</v>
      </c>
      <c r="R146" s="3">
        <f t="shared" si="92"/>
        <v>0</v>
      </c>
      <c r="S146" s="3">
        <f t="shared" si="92"/>
        <v>0</v>
      </c>
      <c r="T146" s="3">
        <f t="shared" si="92"/>
        <v>980</v>
      </c>
      <c r="U146" s="3">
        <f t="shared" si="92"/>
        <v>980</v>
      </c>
      <c r="V146" s="3">
        <f t="shared" si="92"/>
        <v>0</v>
      </c>
      <c r="W146" s="3">
        <f t="shared" si="92"/>
        <v>0</v>
      </c>
      <c r="X146" s="3">
        <f t="shared" si="92"/>
        <v>0</v>
      </c>
      <c r="Y146" s="3">
        <f t="shared" si="92"/>
        <v>0</v>
      </c>
      <c r="Z146" s="95">
        <v>0</v>
      </c>
      <c r="AA146" s="3">
        <f t="shared" ref="AA146" si="93">AA147+AA150</f>
        <v>0</v>
      </c>
      <c r="AB146" s="3">
        <f>AB147+AB150</f>
        <v>0</v>
      </c>
      <c r="AC146" s="3">
        <f>AC147+AC150</f>
        <v>0</v>
      </c>
      <c r="AD146" s="3">
        <f>AD147+AD150</f>
        <v>0</v>
      </c>
      <c r="AE146" s="3">
        <f>AE147+AE150</f>
        <v>0</v>
      </c>
      <c r="AF146" s="3">
        <f t="shared" ref="AF146:AJ146" si="94">AF147+AF150</f>
        <v>0</v>
      </c>
      <c r="AG146" s="3">
        <f t="shared" si="94"/>
        <v>0</v>
      </c>
      <c r="AH146" s="3">
        <f t="shared" si="94"/>
        <v>0</v>
      </c>
      <c r="AI146" s="3">
        <f t="shared" si="94"/>
        <v>0</v>
      </c>
      <c r="AJ146" s="3">
        <f t="shared" si="94"/>
        <v>0</v>
      </c>
      <c r="AK146" s="3">
        <f>P146-Q146</f>
        <v>1281.25</v>
      </c>
      <c r="AL146" s="3">
        <f>AK146</f>
        <v>1281.25</v>
      </c>
      <c r="AM146" s="318">
        <f>ROUND((Q146*100%/P146*100),2)</f>
        <v>0</v>
      </c>
      <c r="AN146" s="3">
        <f t="shared" ref="AN146:AO146" si="95">AN147+AN150</f>
        <v>0</v>
      </c>
      <c r="AO146" s="3">
        <f t="shared" si="95"/>
        <v>0</v>
      </c>
      <c r="AP146" s="633" t="s">
        <v>256</v>
      </c>
      <c r="AQ146" s="95">
        <v>0</v>
      </c>
    </row>
    <row r="147" spans="1:43" x14ac:dyDescent="0.25">
      <c r="A147" s="1382"/>
      <c r="B147" s="23" t="s">
        <v>15</v>
      </c>
      <c r="C147" s="46"/>
      <c r="D147" s="46"/>
      <c r="E147" s="46"/>
      <c r="F147" s="46"/>
      <c r="G147" s="1219">
        <v>2019</v>
      </c>
      <c r="H147" s="1219">
        <v>2019</v>
      </c>
      <c r="I147" s="1464"/>
      <c r="J147" s="1623"/>
      <c r="K147" s="47"/>
      <c r="L147" s="47">
        <v>1000</v>
      </c>
      <c r="M147" s="47">
        <v>0</v>
      </c>
      <c r="N147" s="47">
        <v>980</v>
      </c>
      <c r="O147" s="47">
        <v>0</v>
      </c>
      <c r="P147" s="47">
        <v>377.91</v>
      </c>
      <c r="Q147" s="47">
        <v>0</v>
      </c>
      <c r="R147" s="47">
        <f t="shared" ref="R147:Y147" si="96">R148+R149</f>
        <v>0</v>
      </c>
      <c r="S147" s="47">
        <f t="shared" si="96"/>
        <v>0</v>
      </c>
      <c r="T147" s="47">
        <f t="shared" si="96"/>
        <v>980</v>
      </c>
      <c r="U147" s="47">
        <f t="shared" si="96"/>
        <v>980</v>
      </c>
      <c r="V147" s="47">
        <f t="shared" si="96"/>
        <v>0</v>
      </c>
      <c r="W147" s="47">
        <f t="shared" si="96"/>
        <v>0</v>
      </c>
      <c r="X147" s="47">
        <f t="shared" si="96"/>
        <v>0</v>
      </c>
      <c r="Y147" s="47">
        <f t="shared" si="96"/>
        <v>0</v>
      </c>
      <c r="Z147" s="96"/>
      <c r="AA147" s="47">
        <f t="shared" ref="AA147" si="97">AA148+AA149</f>
        <v>0</v>
      </c>
      <c r="AB147" s="47">
        <f>AB148+AB149</f>
        <v>0</v>
      </c>
      <c r="AC147" s="47">
        <f>AC148+AC149</f>
        <v>0</v>
      </c>
      <c r="AD147" s="47">
        <f>AD148+AD149</f>
        <v>0</v>
      </c>
      <c r="AE147" s="47">
        <f>AE148+AE149</f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266" customFormat="1" hidden="1" x14ac:dyDescent="0.25">
      <c r="A148" s="1382"/>
      <c r="B148" s="443" t="s">
        <v>251</v>
      </c>
      <c r="C148" s="444"/>
      <c r="D148" s="444"/>
      <c r="E148" s="444"/>
      <c r="F148" s="444"/>
      <c r="G148" s="262"/>
      <c r="H148" s="262"/>
      <c r="I148" s="1464"/>
      <c r="J148" s="1623"/>
      <c r="K148" s="96"/>
      <c r="L148" s="96"/>
      <c r="M148" s="96"/>
      <c r="N148" s="96"/>
      <c r="O148" s="96"/>
      <c r="P148" s="96">
        <v>0</v>
      </c>
      <c r="Q148" s="96">
        <f>S148+U148</f>
        <v>980</v>
      </c>
      <c r="R148" s="96">
        <v>0</v>
      </c>
      <c r="S148" s="96">
        <v>0</v>
      </c>
      <c r="T148" s="96">
        <f>U148</f>
        <v>980</v>
      </c>
      <c r="U148" s="96">
        <v>980</v>
      </c>
      <c r="V148" s="96"/>
      <c r="W148" s="96"/>
      <c r="X148" s="96"/>
      <c r="Y148" s="96"/>
      <c r="Z148" s="96"/>
      <c r="AA148" s="96">
        <f>AB148</f>
        <v>0</v>
      </c>
      <c r="AB148" s="96">
        <v>0</v>
      </c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405"/>
      <c r="AQ148" s="96"/>
    </row>
    <row r="149" spans="1:43" s="266" customFormat="1" hidden="1" x14ac:dyDescent="0.25">
      <c r="A149" s="1382"/>
      <c r="B149" s="443" t="s">
        <v>252</v>
      </c>
      <c r="C149" s="444"/>
      <c r="D149" s="444"/>
      <c r="E149" s="444"/>
      <c r="F149" s="444"/>
      <c r="G149" s="262"/>
      <c r="H149" s="262"/>
      <c r="I149" s="1464"/>
      <c r="J149" s="1623"/>
      <c r="K149" s="96"/>
      <c r="L149" s="96"/>
      <c r="M149" s="96"/>
      <c r="N149" s="96"/>
      <c r="O149" s="96"/>
      <c r="P149" s="96"/>
      <c r="Q149" s="96">
        <f>S149</f>
        <v>0</v>
      </c>
      <c r="R149" s="96">
        <f>S149</f>
        <v>0</v>
      </c>
      <c r="S149" s="96">
        <v>0</v>
      </c>
      <c r="T149" s="96"/>
      <c r="U149" s="96"/>
      <c r="V149" s="96"/>
      <c r="W149" s="96"/>
      <c r="X149" s="96"/>
      <c r="Y149" s="96"/>
      <c r="Z149" s="96"/>
      <c r="AA149" s="96">
        <f>AB149</f>
        <v>0</v>
      </c>
      <c r="AB149" s="96">
        <v>0</v>
      </c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405"/>
      <c r="AQ149" s="96"/>
    </row>
    <row r="150" spans="1:43" x14ac:dyDescent="0.25">
      <c r="A150" s="1383"/>
      <c r="B150" s="23" t="s">
        <v>16</v>
      </c>
      <c r="C150" s="46"/>
      <c r="D150" s="46"/>
      <c r="E150" s="46"/>
      <c r="F150" s="46"/>
      <c r="G150" s="1219">
        <v>2020</v>
      </c>
      <c r="H150" s="1219">
        <v>2021</v>
      </c>
      <c r="I150" s="1465"/>
      <c r="J150" s="1624"/>
      <c r="K150" s="47"/>
      <c r="L150" s="47">
        <v>5022.96</v>
      </c>
      <c r="M150" s="47">
        <v>0</v>
      </c>
      <c r="N150" s="47">
        <v>0</v>
      </c>
      <c r="O150" s="47">
        <v>0</v>
      </c>
      <c r="P150" s="47">
        <v>903.34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96">
        <v>0</v>
      </c>
      <c r="Y150" s="96">
        <v>0</v>
      </c>
      <c r="Z150" s="96"/>
      <c r="AA150" s="47">
        <v>0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0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  <c r="AM150" s="47">
        <v>0</v>
      </c>
      <c r="AN150" s="47">
        <v>0</v>
      </c>
      <c r="AO150" s="47">
        <v>0</v>
      </c>
      <c r="AP150" s="397"/>
      <c r="AQ150" s="96"/>
    </row>
    <row r="151" spans="1:43" s="327" customFormat="1" ht="30" customHeight="1" x14ac:dyDescent="0.25">
      <c r="A151" s="1372" t="s">
        <v>61</v>
      </c>
      <c r="B151" s="609" t="s">
        <v>408</v>
      </c>
      <c r="C151" s="790"/>
      <c r="D151" s="790"/>
      <c r="E151" s="790"/>
      <c r="F151" s="790"/>
      <c r="G151" s="790"/>
      <c r="H151" s="790"/>
      <c r="I151" s="1463" t="s">
        <v>20</v>
      </c>
      <c r="J151" s="1622">
        <v>4106.3500000000004</v>
      </c>
      <c r="K151" s="3">
        <v>0</v>
      </c>
      <c r="L151" s="3">
        <f>L152+L155</f>
        <v>6022.96</v>
      </c>
      <c r="M151" s="3">
        <f>M152+M155</f>
        <v>0</v>
      </c>
      <c r="N151" s="3">
        <f>N152+N155</f>
        <v>980</v>
      </c>
      <c r="O151" s="3">
        <f>O152+O155</f>
        <v>0</v>
      </c>
      <c r="P151" s="3">
        <f>P152+P155</f>
        <v>1281.2539999999999</v>
      </c>
      <c r="Q151" s="3">
        <f t="shared" ref="Q151:Y151" si="98">Q152+Q155</f>
        <v>0</v>
      </c>
      <c r="R151" s="3">
        <f t="shared" si="98"/>
        <v>0</v>
      </c>
      <c r="S151" s="3">
        <f t="shared" si="98"/>
        <v>0</v>
      </c>
      <c r="T151" s="3">
        <f t="shared" si="98"/>
        <v>980</v>
      </c>
      <c r="U151" s="3">
        <f t="shared" si="98"/>
        <v>980</v>
      </c>
      <c r="V151" s="3">
        <f t="shared" si="98"/>
        <v>0</v>
      </c>
      <c r="W151" s="3">
        <f t="shared" si="98"/>
        <v>0</v>
      </c>
      <c r="X151" s="3">
        <f t="shared" si="98"/>
        <v>0</v>
      </c>
      <c r="Y151" s="3">
        <f t="shared" si="98"/>
        <v>0</v>
      </c>
      <c r="Z151" s="95">
        <v>0</v>
      </c>
      <c r="AA151" s="3">
        <f t="shared" ref="AA151" si="99">AA152+AA155</f>
        <v>0</v>
      </c>
      <c r="AB151" s="3">
        <f>AB152+AB155</f>
        <v>0</v>
      </c>
      <c r="AC151" s="3">
        <f>AC152+AC155</f>
        <v>0</v>
      </c>
      <c r="AD151" s="3">
        <f>AD152+AD155</f>
        <v>0</v>
      </c>
      <c r="AE151" s="3">
        <f>AE152+AE155</f>
        <v>0</v>
      </c>
      <c r="AF151" s="3">
        <f t="shared" ref="AF151:AJ151" si="100">AF152+AF155</f>
        <v>0</v>
      </c>
      <c r="AG151" s="3">
        <f t="shared" si="100"/>
        <v>0</v>
      </c>
      <c r="AH151" s="3">
        <f t="shared" si="100"/>
        <v>0</v>
      </c>
      <c r="AI151" s="3">
        <f t="shared" si="100"/>
        <v>0</v>
      </c>
      <c r="AJ151" s="3">
        <f t="shared" si="100"/>
        <v>0</v>
      </c>
      <c r="AK151" s="3">
        <f>P151-Q151</f>
        <v>1281.2539999999999</v>
      </c>
      <c r="AL151" s="3">
        <f>AK151</f>
        <v>1281.2539999999999</v>
      </c>
      <c r="AM151" s="318">
        <f>ROUND((Q151*100%/P151*100),2)</f>
        <v>0</v>
      </c>
      <c r="AN151" s="3">
        <f t="shared" ref="AN151:AO151" si="101">AN152+AN155</f>
        <v>0</v>
      </c>
      <c r="AO151" s="3">
        <f t="shared" si="101"/>
        <v>0</v>
      </c>
      <c r="AP151" s="633" t="s">
        <v>256</v>
      </c>
      <c r="AQ151" s="95">
        <v>0</v>
      </c>
    </row>
    <row r="152" spans="1:43" x14ac:dyDescent="0.25">
      <c r="A152" s="1382"/>
      <c r="B152" s="23" t="s">
        <v>15</v>
      </c>
      <c r="C152" s="46"/>
      <c r="D152" s="46"/>
      <c r="E152" s="46"/>
      <c r="F152" s="46"/>
      <c r="G152" s="1219">
        <v>2019</v>
      </c>
      <c r="H152" s="1219">
        <v>2019</v>
      </c>
      <c r="I152" s="1464"/>
      <c r="J152" s="1623"/>
      <c r="K152" s="47"/>
      <c r="L152" s="47">
        <v>1000</v>
      </c>
      <c r="M152" s="47">
        <v>0</v>
      </c>
      <c r="N152" s="47">
        <v>980</v>
      </c>
      <c r="O152" s="47">
        <v>0</v>
      </c>
      <c r="P152" s="47">
        <v>377.91399999999999</v>
      </c>
      <c r="Q152" s="47">
        <v>0</v>
      </c>
      <c r="R152" s="47">
        <f t="shared" ref="R152:Y152" si="102">R153+R154</f>
        <v>0</v>
      </c>
      <c r="S152" s="47">
        <f t="shared" si="102"/>
        <v>0</v>
      </c>
      <c r="T152" s="47">
        <f t="shared" si="102"/>
        <v>980</v>
      </c>
      <c r="U152" s="47">
        <f t="shared" si="102"/>
        <v>980</v>
      </c>
      <c r="V152" s="47">
        <f t="shared" si="102"/>
        <v>0</v>
      </c>
      <c r="W152" s="47">
        <f t="shared" si="102"/>
        <v>0</v>
      </c>
      <c r="X152" s="47">
        <f t="shared" si="102"/>
        <v>0</v>
      </c>
      <c r="Y152" s="47">
        <f t="shared" si="102"/>
        <v>0</v>
      </c>
      <c r="Z152" s="96"/>
      <c r="AA152" s="47">
        <f t="shared" ref="AA152" si="103">AA153+AA154</f>
        <v>0</v>
      </c>
      <c r="AB152" s="47">
        <f>AB153+AB154</f>
        <v>0</v>
      </c>
      <c r="AC152" s="47">
        <f>AC153+AC154</f>
        <v>0</v>
      </c>
      <c r="AD152" s="47">
        <f>AD153+AD154</f>
        <v>0</v>
      </c>
      <c r="AE152" s="47">
        <f>AE153+AE154</f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s="266" customFormat="1" hidden="1" x14ac:dyDescent="0.25">
      <c r="A153" s="1382"/>
      <c r="B153" s="443" t="s">
        <v>251</v>
      </c>
      <c r="C153" s="444"/>
      <c r="D153" s="444"/>
      <c r="E153" s="444"/>
      <c r="F153" s="444"/>
      <c r="G153" s="262"/>
      <c r="H153" s="262"/>
      <c r="I153" s="1464"/>
      <c r="J153" s="1623"/>
      <c r="K153" s="96"/>
      <c r="L153" s="96"/>
      <c r="M153" s="96"/>
      <c r="N153" s="96"/>
      <c r="O153" s="96"/>
      <c r="P153" s="96">
        <v>0</v>
      </c>
      <c r="Q153" s="96">
        <f>S153+U153</f>
        <v>980</v>
      </c>
      <c r="R153" s="96">
        <v>0</v>
      </c>
      <c r="S153" s="96">
        <v>0</v>
      </c>
      <c r="T153" s="96">
        <f>U153</f>
        <v>980</v>
      </c>
      <c r="U153" s="96">
        <v>980</v>
      </c>
      <c r="V153" s="96"/>
      <c r="W153" s="96"/>
      <c r="X153" s="96"/>
      <c r="Y153" s="96"/>
      <c r="Z153" s="96"/>
      <c r="AA153" s="96">
        <f>AB153</f>
        <v>0</v>
      </c>
      <c r="AB153" s="96">
        <v>0</v>
      </c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405"/>
      <c r="AQ153" s="96"/>
    </row>
    <row r="154" spans="1:43" s="266" customFormat="1" hidden="1" x14ac:dyDescent="0.25">
      <c r="A154" s="1382"/>
      <c r="B154" s="443" t="s">
        <v>252</v>
      </c>
      <c r="C154" s="444"/>
      <c r="D154" s="444"/>
      <c r="E154" s="444"/>
      <c r="F154" s="444"/>
      <c r="G154" s="262"/>
      <c r="H154" s="262"/>
      <c r="I154" s="1464"/>
      <c r="J154" s="1623"/>
      <c r="K154" s="96"/>
      <c r="L154" s="96"/>
      <c r="M154" s="96"/>
      <c r="N154" s="96"/>
      <c r="O154" s="96"/>
      <c r="P154" s="96"/>
      <c r="Q154" s="96">
        <f>S154</f>
        <v>0</v>
      </c>
      <c r="R154" s="96">
        <f>S154</f>
        <v>0</v>
      </c>
      <c r="S154" s="96">
        <v>0</v>
      </c>
      <c r="T154" s="96"/>
      <c r="U154" s="96"/>
      <c r="V154" s="96"/>
      <c r="W154" s="96"/>
      <c r="X154" s="96"/>
      <c r="Y154" s="96"/>
      <c r="Z154" s="96"/>
      <c r="AA154" s="96">
        <f>AB154</f>
        <v>0</v>
      </c>
      <c r="AB154" s="96">
        <v>0</v>
      </c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405"/>
      <c r="AQ154" s="96"/>
    </row>
    <row r="155" spans="1:43" x14ac:dyDescent="0.25">
      <c r="A155" s="1383"/>
      <c r="B155" s="23" t="s">
        <v>16</v>
      </c>
      <c r="C155" s="46"/>
      <c r="D155" s="46"/>
      <c r="E155" s="46"/>
      <c r="F155" s="46"/>
      <c r="G155" s="1219">
        <v>2020</v>
      </c>
      <c r="H155" s="1219">
        <v>2021</v>
      </c>
      <c r="I155" s="1465"/>
      <c r="J155" s="1624"/>
      <c r="K155" s="47"/>
      <c r="L155" s="47">
        <v>5022.96</v>
      </c>
      <c r="M155" s="47">
        <v>0</v>
      </c>
      <c r="N155" s="47">
        <v>0</v>
      </c>
      <c r="O155" s="47">
        <v>0</v>
      </c>
      <c r="P155" s="47">
        <v>903.34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96">
        <v>0</v>
      </c>
      <c r="Y155" s="96">
        <v>0</v>
      </c>
      <c r="Z155" s="96"/>
      <c r="AA155" s="47">
        <v>0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0</v>
      </c>
      <c r="AH155" s="47">
        <v>0</v>
      </c>
      <c r="AI155" s="47">
        <v>0</v>
      </c>
      <c r="AJ155" s="47">
        <v>0</v>
      </c>
      <c r="AK155" s="47">
        <v>0</v>
      </c>
      <c r="AL155" s="47">
        <v>0</v>
      </c>
      <c r="AM155" s="47">
        <v>0</v>
      </c>
      <c r="AN155" s="47">
        <v>0</v>
      </c>
      <c r="AO155" s="47">
        <v>0</v>
      </c>
      <c r="AP155" s="397"/>
      <c r="AQ155" s="96"/>
    </row>
    <row r="156" spans="1:43" ht="15.75" x14ac:dyDescent="0.25">
      <c r="A156" s="1223"/>
      <c r="B156" s="791"/>
      <c r="C156" s="792"/>
      <c r="D156" s="792"/>
      <c r="E156" s="792"/>
      <c r="F156" s="792"/>
      <c r="G156" s="313"/>
      <c r="H156" s="313"/>
      <c r="I156" s="793"/>
      <c r="J156" s="794"/>
      <c r="K156" s="795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7"/>
      <c r="Y156" s="797"/>
      <c r="Z156" s="797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8"/>
      <c r="AQ156" s="797"/>
    </row>
    <row r="157" spans="1:43" s="925" customFormat="1" ht="15.75" x14ac:dyDescent="0.25">
      <c r="A157" s="929" t="s">
        <v>13</v>
      </c>
      <c r="B157" s="926"/>
      <c r="C157" s="927"/>
      <c r="D157" s="927"/>
      <c r="E157" s="927"/>
      <c r="F157" s="927"/>
      <c r="G157" s="927"/>
      <c r="H157" s="927"/>
      <c r="I157" s="927"/>
      <c r="J157" s="927"/>
      <c r="K157" s="927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  <c r="Z157" s="928"/>
      <c r="AA157" s="928"/>
      <c r="AB157" s="928"/>
      <c r="AC157" s="928"/>
      <c r="AD157" s="928"/>
      <c r="AE157" s="928"/>
      <c r="AF157" s="928"/>
      <c r="AG157" s="928"/>
      <c r="AH157" s="928"/>
      <c r="AI157" s="928"/>
      <c r="AJ157" s="928"/>
      <c r="AK157" s="928"/>
      <c r="AL157" s="928"/>
      <c r="AM157" s="928"/>
      <c r="AN157" s="928"/>
      <c r="AO157" s="928"/>
      <c r="AP157" s="930"/>
      <c r="AQ157" s="928"/>
    </row>
    <row r="158" spans="1:43" s="934" customFormat="1" ht="18" customHeight="1" x14ac:dyDescent="0.2">
      <c r="A158" s="1604" t="s">
        <v>443</v>
      </c>
      <c r="B158" s="1605"/>
      <c r="C158" s="1605"/>
      <c r="D158" s="1605"/>
      <c r="E158" s="1605"/>
      <c r="F158" s="1605"/>
      <c r="G158" s="1605"/>
      <c r="H158" s="1606"/>
      <c r="I158" s="931" t="s">
        <v>21</v>
      </c>
      <c r="J158" s="932">
        <f t="shared" ref="J158:AO158" si="104">J159+J160+J161+J162</f>
        <v>165965.11999999997</v>
      </c>
      <c r="K158" s="932">
        <f t="shared" si="104"/>
        <v>25354.1</v>
      </c>
      <c r="L158" s="932">
        <f t="shared" si="104"/>
        <v>1042119.19</v>
      </c>
      <c r="M158" s="932">
        <f t="shared" si="104"/>
        <v>571026.48</v>
      </c>
      <c r="N158" s="932">
        <f t="shared" si="104"/>
        <v>616839.18000000005</v>
      </c>
      <c r="O158" s="932">
        <f t="shared" si="104"/>
        <v>381271.67000000004</v>
      </c>
      <c r="P158" s="932">
        <f>P167+P170+P174+P183+P187+P190+P211+P216+P222+P228+P230+P241+P252+P255+P260+P263+P270+P272+P276+P281+P288+P291+P198+P201+P204+P232+P238+P245+P301+P311+P314</f>
        <v>292742.20000000007</v>
      </c>
      <c r="Q158" s="932">
        <f>Q167+Q170+Q174+Q183+Q187+Q190+Q211+Q216+Q222+Q228+Q230+Q241+Q252+Q255+Q260+Q263+Q270+Q272+Q276+Q281+Q288+Q291+Q198+Q201+Q204+Q232+Q238+Q245+Q301+Q311+Q314</f>
        <v>102497.79347</v>
      </c>
      <c r="R158" s="932">
        <f t="shared" ref="R158:Z158" si="105">R167+R170+R174+R183+R187+R190+R211+R216+R222+R228+R230+R241+R252+R255+R260+R263+R270+R272+R276+R281+R288+R291+R198+R201+R204+R232+R238+R245+R301+R311+R314</f>
        <v>23233.600000000002</v>
      </c>
      <c r="S158" s="932">
        <f t="shared" si="105"/>
        <v>26233.599999999999</v>
      </c>
      <c r="T158" s="932">
        <f t="shared" si="105"/>
        <v>25740.546000000002</v>
      </c>
      <c r="U158" s="932">
        <f t="shared" si="105"/>
        <v>27949.284000000003</v>
      </c>
      <c r="V158" s="932">
        <f t="shared" si="105"/>
        <v>54714.664999999994</v>
      </c>
      <c r="W158" s="932">
        <f t="shared" si="105"/>
        <v>55653.578999999998</v>
      </c>
      <c r="X158" s="932">
        <f t="shared" si="105"/>
        <v>21705.95</v>
      </c>
      <c r="Y158" s="932">
        <f t="shared" si="105"/>
        <v>21705.95</v>
      </c>
      <c r="Z158" s="932">
        <f t="shared" si="105"/>
        <v>21705.95</v>
      </c>
      <c r="AA158" s="932">
        <f>AA167+AA170+AA174+AA183+AA187+AA190+AA211+AA216+AA222+AA228+AA230+AA241+AA252+AA255+AA260+AA263+AA270+AA272+AA276+AA281+AA288+AA291+AA198+AA201+AA204+AA232+AA238+AA245+AA301+AA311+AA314</f>
        <v>117152.28928</v>
      </c>
      <c r="AB158" s="932">
        <f t="shared" si="104"/>
        <v>20471.075000000001</v>
      </c>
      <c r="AC158" s="932">
        <f t="shared" si="104"/>
        <v>35341.406000000003</v>
      </c>
      <c r="AD158" s="932">
        <f t="shared" si="104"/>
        <v>69790.480890000006</v>
      </c>
      <c r="AE158" s="932">
        <f t="shared" si="104"/>
        <v>0</v>
      </c>
      <c r="AF158" s="932">
        <f t="shared" si="104"/>
        <v>0</v>
      </c>
      <c r="AG158" s="932">
        <f t="shared" si="104"/>
        <v>0</v>
      </c>
      <c r="AH158" s="932">
        <f t="shared" si="104"/>
        <v>0</v>
      </c>
      <c r="AI158" s="932">
        <f t="shared" si="104"/>
        <v>0</v>
      </c>
      <c r="AJ158" s="932">
        <f t="shared" si="104"/>
        <v>0</v>
      </c>
      <c r="AK158" s="932">
        <f t="shared" si="104"/>
        <v>147083.31194000001</v>
      </c>
      <c r="AL158" s="932">
        <f t="shared" si="104"/>
        <v>147083.31194000001</v>
      </c>
      <c r="AM158" s="932" t="e">
        <f t="shared" si="104"/>
        <v>#DIV/0!</v>
      </c>
      <c r="AN158" s="932">
        <f t="shared" si="104"/>
        <v>0</v>
      </c>
      <c r="AO158" s="932">
        <f t="shared" si="104"/>
        <v>0</v>
      </c>
      <c r="AP158" s="933"/>
      <c r="AQ158" s="932">
        <f>AQ167+AQ170+AQ174+AQ183+AQ187+AQ190+AQ211+AQ216+AQ222+AQ228+AQ230+AQ241+AQ252+AQ255+AQ260+AQ263+AQ270+AQ272+AQ276+AQ281+AQ288+AQ291</f>
        <v>4894.7240000000002</v>
      </c>
    </row>
    <row r="159" spans="1:43" s="615" customFormat="1" ht="58.5" hidden="1" customHeight="1" x14ac:dyDescent="0.2">
      <c r="A159" s="1607"/>
      <c r="B159" s="1608"/>
      <c r="C159" s="1608"/>
      <c r="D159" s="1608"/>
      <c r="E159" s="1608"/>
      <c r="F159" s="1608"/>
      <c r="G159" s="1608"/>
      <c r="H159" s="1609"/>
      <c r="I159" s="23" t="s">
        <v>19</v>
      </c>
      <c r="J159" s="71">
        <f t="shared" ref="J159:AO162" si="106">J163+J207+J234</f>
        <v>152888.53999999998</v>
      </c>
      <c r="K159" s="71">
        <f t="shared" si="106"/>
        <v>25354.1</v>
      </c>
      <c r="L159" s="47">
        <f t="shared" si="106"/>
        <v>193023.18</v>
      </c>
      <c r="M159" s="47">
        <f t="shared" si="106"/>
        <v>42443.12</v>
      </c>
      <c r="N159" s="47">
        <f t="shared" si="106"/>
        <v>35331.160000000003</v>
      </c>
      <c r="O159" s="47">
        <f t="shared" si="106"/>
        <v>29531.94</v>
      </c>
      <c r="P159" s="47">
        <f t="shared" si="106"/>
        <v>100162.01</v>
      </c>
      <c r="Q159" s="47">
        <f t="shared" si="106"/>
        <v>0</v>
      </c>
      <c r="R159" s="47">
        <f t="shared" si="106"/>
        <v>743.47199999999998</v>
      </c>
      <c r="S159" s="47">
        <f t="shared" si="106"/>
        <v>3743.4719999999998</v>
      </c>
      <c r="T159" s="47">
        <f t="shared" si="106"/>
        <v>31.5</v>
      </c>
      <c r="U159" s="47">
        <f t="shared" si="106"/>
        <v>2236.8380000000002</v>
      </c>
      <c r="V159" s="47">
        <f t="shared" si="106"/>
        <v>0</v>
      </c>
      <c r="W159" s="47">
        <f t="shared" si="106"/>
        <v>0</v>
      </c>
      <c r="X159" s="47">
        <f t="shared" si="106"/>
        <v>0</v>
      </c>
      <c r="Y159" s="47">
        <f t="shared" si="106"/>
        <v>0</v>
      </c>
      <c r="Z159" s="96"/>
      <c r="AA159" s="47">
        <f t="shared" si="106"/>
        <v>0</v>
      </c>
      <c r="AB159" s="47">
        <f t="shared" si="106"/>
        <v>2948.8069999999998</v>
      </c>
      <c r="AC159" s="47">
        <f t="shared" si="106"/>
        <v>0</v>
      </c>
      <c r="AD159" s="47">
        <f t="shared" si="106"/>
        <v>31.5</v>
      </c>
      <c r="AE159" s="47">
        <f t="shared" si="106"/>
        <v>0</v>
      </c>
      <c r="AF159" s="47">
        <f t="shared" si="106"/>
        <v>0</v>
      </c>
      <c r="AG159" s="47">
        <f t="shared" si="106"/>
        <v>0</v>
      </c>
      <c r="AH159" s="47">
        <f t="shared" si="106"/>
        <v>0</v>
      </c>
      <c r="AI159" s="47">
        <f t="shared" si="106"/>
        <v>0</v>
      </c>
      <c r="AJ159" s="47">
        <f t="shared" si="106"/>
        <v>0</v>
      </c>
      <c r="AK159" s="47">
        <f t="shared" si="106"/>
        <v>28946.75</v>
      </c>
      <c r="AL159" s="47">
        <f t="shared" si="106"/>
        <v>28946.75</v>
      </c>
      <c r="AM159" s="47" t="e">
        <f t="shared" si="106"/>
        <v>#DIV/0!</v>
      </c>
      <c r="AN159" s="47">
        <f t="shared" si="106"/>
        <v>0</v>
      </c>
      <c r="AO159" s="47">
        <f t="shared" si="106"/>
        <v>0</v>
      </c>
      <c r="AP159" s="397"/>
      <c r="AQ159" s="96"/>
    </row>
    <row r="160" spans="1:43" s="615" customFormat="1" ht="45.75" hidden="1" customHeight="1" x14ac:dyDescent="0.2">
      <c r="A160" s="1607"/>
      <c r="B160" s="1608"/>
      <c r="C160" s="1608"/>
      <c r="D160" s="1608"/>
      <c r="E160" s="1608"/>
      <c r="F160" s="1608"/>
      <c r="G160" s="1608"/>
      <c r="H160" s="1609"/>
      <c r="I160" s="23" t="s">
        <v>20</v>
      </c>
      <c r="J160" s="71">
        <f t="shared" si="106"/>
        <v>13076.579999999998</v>
      </c>
      <c r="K160" s="71">
        <f t="shared" si="106"/>
        <v>0</v>
      </c>
      <c r="L160" s="47">
        <f t="shared" ref="L160:Y161" si="107">L164+L208+L235+L249</f>
        <v>353562.91999999993</v>
      </c>
      <c r="M160" s="47">
        <f t="shared" si="107"/>
        <v>36205.620000000003</v>
      </c>
      <c r="N160" s="47">
        <f t="shared" si="107"/>
        <v>88280.380000000019</v>
      </c>
      <c r="O160" s="47">
        <f t="shared" si="107"/>
        <v>53996.09</v>
      </c>
      <c r="P160" s="47">
        <f t="shared" si="107"/>
        <v>132010.46000000002</v>
      </c>
      <c r="Q160" s="47">
        <f t="shared" si="107"/>
        <v>2591.3799199999999</v>
      </c>
      <c r="R160" s="47">
        <f t="shared" si="107"/>
        <v>784.17799999999988</v>
      </c>
      <c r="S160" s="47">
        <f t="shared" si="107"/>
        <v>784.17799999999988</v>
      </c>
      <c r="T160" s="47">
        <f t="shared" si="107"/>
        <v>4003.096</v>
      </c>
      <c r="U160" s="47">
        <f t="shared" si="107"/>
        <v>4006.4960000000001</v>
      </c>
      <c r="V160" s="47">
        <f t="shared" si="107"/>
        <v>4331.41</v>
      </c>
      <c r="W160" s="47">
        <f t="shared" si="107"/>
        <v>5270.3239999999996</v>
      </c>
      <c r="X160" s="47">
        <f t="shared" si="107"/>
        <v>0</v>
      </c>
      <c r="Y160" s="47">
        <f t="shared" si="107"/>
        <v>0</v>
      </c>
      <c r="Z160" s="96"/>
      <c r="AA160" s="47">
        <f>AA164+AA208+AA235+AA249</f>
        <v>2473.1920300000002</v>
      </c>
      <c r="AB160" s="47">
        <f>AB164+AB208+AB235+AB249</f>
        <v>0</v>
      </c>
      <c r="AC160" s="47">
        <f>AC164+AC208+AC235+AC249</f>
        <v>3241.61</v>
      </c>
      <c r="AD160" s="47">
        <f>AD164+AD208+AD235+AD249</f>
        <v>69758.980890000006</v>
      </c>
      <c r="AE160" s="47">
        <f>AE164+AE208+AE235+AE249</f>
        <v>0</v>
      </c>
      <c r="AF160" s="47">
        <f t="shared" si="106"/>
        <v>0</v>
      </c>
      <c r="AG160" s="47">
        <f t="shared" si="106"/>
        <v>0</v>
      </c>
      <c r="AH160" s="47">
        <f t="shared" si="106"/>
        <v>0</v>
      </c>
      <c r="AI160" s="47">
        <f t="shared" si="106"/>
        <v>0</v>
      </c>
      <c r="AJ160" s="47">
        <f t="shared" si="106"/>
        <v>0</v>
      </c>
      <c r="AK160" s="47">
        <f t="shared" si="106"/>
        <v>118136.56194000001</v>
      </c>
      <c r="AL160" s="47">
        <f t="shared" si="106"/>
        <v>118136.56194000001</v>
      </c>
      <c r="AM160" s="47" t="e">
        <f t="shared" si="106"/>
        <v>#DIV/0!</v>
      </c>
      <c r="AN160" s="47">
        <f t="shared" si="106"/>
        <v>0</v>
      </c>
      <c r="AO160" s="47">
        <f t="shared" si="106"/>
        <v>0</v>
      </c>
      <c r="AP160" s="397"/>
      <c r="AQ160" s="96"/>
    </row>
    <row r="161" spans="1:43" s="615" customFormat="1" ht="28.5" hidden="1" customHeight="1" x14ac:dyDescent="0.2">
      <c r="A161" s="1607"/>
      <c r="B161" s="1608"/>
      <c r="C161" s="1608"/>
      <c r="D161" s="1608"/>
      <c r="E161" s="1608"/>
      <c r="F161" s="1608"/>
      <c r="G161" s="1608"/>
      <c r="H161" s="1609"/>
      <c r="I161" s="23" t="s">
        <v>10</v>
      </c>
      <c r="J161" s="71">
        <f t="shared" si="106"/>
        <v>0</v>
      </c>
      <c r="K161" s="71">
        <f t="shared" si="106"/>
        <v>0</v>
      </c>
      <c r="L161" s="47">
        <f t="shared" si="107"/>
        <v>495533.09</v>
      </c>
      <c r="M161" s="47">
        <f t="shared" si="107"/>
        <v>492377.74</v>
      </c>
      <c r="N161" s="47">
        <f t="shared" si="107"/>
        <v>493227.64</v>
      </c>
      <c r="O161" s="47">
        <f t="shared" si="107"/>
        <v>297742.64</v>
      </c>
      <c r="P161" s="47">
        <f t="shared" si="107"/>
        <v>0</v>
      </c>
      <c r="Q161" s="47">
        <f t="shared" si="107"/>
        <v>99508.413549999997</v>
      </c>
      <c r="R161" s="47">
        <f t="shared" si="107"/>
        <v>21705.95</v>
      </c>
      <c r="S161" s="47">
        <f t="shared" si="107"/>
        <v>21705.95</v>
      </c>
      <c r="T161" s="47">
        <f t="shared" si="107"/>
        <v>21705.95</v>
      </c>
      <c r="U161" s="47">
        <f t="shared" si="107"/>
        <v>21705.95</v>
      </c>
      <c r="V161" s="47">
        <f t="shared" si="107"/>
        <v>50383.255000000005</v>
      </c>
      <c r="W161" s="47">
        <f t="shared" si="107"/>
        <v>50383.255000000005</v>
      </c>
      <c r="X161" s="47">
        <f t="shared" si="107"/>
        <v>21705.95</v>
      </c>
      <c r="Y161" s="47">
        <f t="shared" si="107"/>
        <v>21705.95</v>
      </c>
      <c r="Z161" s="96"/>
      <c r="AA161" s="47">
        <f>AA165+AA209+AA236+AA250</f>
        <v>114281.09724999999</v>
      </c>
      <c r="AB161" s="47">
        <f>AB165+AB209+AB236+AB250</f>
        <v>17522.268</v>
      </c>
      <c r="AC161" s="47">
        <f>AC165+AC209+AC236+AC250</f>
        <v>32099.796000000002</v>
      </c>
      <c r="AD161" s="47">
        <f>AD165+AD209+AD236</f>
        <v>0</v>
      </c>
      <c r="AE161" s="47">
        <f>AE165+AE209+AE236</f>
        <v>0</v>
      </c>
      <c r="AF161" s="47">
        <f t="shared" si="106"/>
        <v>0</v>
      </c>
      <c r="AG161" s="47">
        <f t="shared" si="106"/>
        <v>0</v>
      </c>
      <c r="AH161" s="47">
        <f t="shared" si="106"/>
        <v>0</v>
      </c>
      <c r="AI161" s="47">
        <f t="shared" si="106"/>
        <v>0</v>
      </c>
      <c r="AJ161" s="47">
        <f t="shared" si="106"/>
        <v>0</v>
      </c>
      <c r="AK161" s="47">
        <f t="shared" si="106"/>
        <v>0</v>
      </c>
      <c r="AL161" s="47">
        <f t="shared" si="106"/>
        <v>0</v>
      </c>
      <c r="AM161" s="47">
        <f t="shared" si="106"/>
        <v>0</v>
      </c>
      <c r="AN161" s="47">
        <f t="shared" si="106"/>
        <v>0</v>
      </c>
      <c r="AO161" s="47">
        <f t="shared" si="106"/>
        <v>0</v>
      </c>
      <c r="AP161" s="397"/>
      <c r="AQ161" s="96"/>
    </row>
    <row r="162" spans="1:43" s="615" customFormat="1" ht="25.5" hidden="1" customHeight="1" x14ac:dyDescent="0.2">
      <c r="A162" s="1610"/>
      <c r="B162" s="1611"/>
      <c r="C162" s="1611"/>
      <c r="D162" s="1611"/>
      <c r="E162" s="1611"/>
      <c r="F162" s="1611"/>
      <c r="G162" s="1611"/>
      <c r="H162" s="1612"/>
      <c r="I162" s="23" t="s">
        <v>9</v>
      </c>
      <c r="J162" s="71">
        <f t="shared" si="106"/>
        <v>0</v>
      </c>
      <c r="K162" s="71">
        <f t="shared" si="106"/>
        <v>0</v>
      </c>
      <c r="L162" s="47">
        <v>0</v>
      </c>
      <c r="M162" s="47">
        <f>M166+M210+M237</f>
        <v>0</v>
      </c>
      <c r="N162" s="47">
        <f>N166+N210+N237</f>
        <v>0</v>
      </c>
      <c r="O162" s="47">
        <f>O166+O210+O237</f>
        <v>1</v>
      </c>
      <c r="P162" s="47">
        <f>P166+P210+P237</f>
        <v>0</v>
      </c>
      <c r="Q162" s="47">
        <f t="shared" ref="Q162:AO162" si="108">Q166+Q210+Q237</f>
        <v>0</v>
      </c>
      <c r="R162" s="47">
        <f t="shared" si="108"/>
        <v>0</v>
      </c>
      <c r="S162" s="47">
        <f t="shared" si="108"/>
        <v>0</v>
      </c>
      <c r="T162" s="47">
        <f t="shared" si="108"/>
        <v>0</v>
      </c>
      <c r="U162" s="47">
        <f t="shared" si="108"/>
        <v>0</v>
      </c>
      <c r="V162" s="47">
        <f t="shared" si="108"/>
        <v>0</v>
      </c>
      <c r="W162" s="47">
        <f t="shared" si="108"/>
        <v>0</v>
      </c>
      <c r="X162" s="47">
        <f t="shared" si="108"/>
        <v>0</v>
      </c>
      <c r="Y162" s="47">
        <f t="shared" si="108"/>
        <v>0</v>
      </c>
      <c r="Z162" s="96"/>
      <c r="AA162" s="47">
        <f t="shared" si="108"/>
        <v>0</v>
      </c>
      <c r="AB162" s="47">
        <f t="shared" si="108"/>
        <v>0</v>
      </c>
      <c r="AC162" s="47">
        <f t="shared" si="108"/>
        <v>0</v>
      </c>
      <c r="AD162" s="47">
        <f t="shared" si="108"/>
        <v>0</v>
      </c>
      <c r="AE162" s="47">
        <f t="shared" si="108"/>
        <v>0</v>
      </c>
      <c r="AF162" s="47">
        <f t="shared" si="108"/>
        <v>0</v>
      </c>
      <c r="AG162" s="47">
        <f>AG166+AG210+AG237</f>
        <v>0</v>
      </c>
      <c r="AH162" s="47">
        <f>AH166+AH210+AH237</f>
        <v>0</v>
      </c>
      <c r="AI162" s="47">
        <f>AI166+AI210+AI237</f>
        <v>0</v>
      </c>
      <c r="AJ162" s="47">
        <f>AJ166+AJ210+AJ237</f>
        <v>0</v>
      </c>
      <c r="AK162" s="47">
        <f t="shared" si="108"/>
        <v>0</v>
      </c>
      <c r="AL162" s="47">
        <f t="shared" si="108"/>
        <v>0</v>
      </c>
      <c r="AM162" s="47">
        <f t="shared" si="108"/>
        <v>0</v>
      </c>
      <c r="AN162" s="47">
        <f t="shared" si="108"/>
        <v>0</v>
      </c>
      <c r="AO162" s="47">
        <f t="shared" si="108"/>
        <v>0</v>
      </c>
      <c r="AP162" s="397"/>
      <c r="AQ162" s="96"/>
    </row>
    <row r="163" spans="1:43" ht="51.75" hidden="1" customHeight="1" x14ac:dyDescent="0.25">
      <c r="A163" s="1332" t="s">
        <v>27</v>
      </c>
      <c r="B163" s="1613" t="s">
        <v>214</v>
      </c>
      <c r="C163" s="1614"/>
      <c r="D163" s="1614"/>
      <c r="E163" s="1614"/>
      <c r="F163" s="1614"/>
      <c r="G163" s="1614"/>
      <c r="H163" s="1615"/>
      <c r="I163" s="23" t="s">
        <v>19</v>
      </c>
      <c r="J163" s="47">
        <f>J167+J170+J174</f>
        <v>152888.53999999998</v>
      </c>
      <c r="K163" s="47">
        <f>K167+K170+K174</f>
        <v>25354.1</v>
      </c>
      <c r="L163" s="47">
        <f>L167+L170+L174+L183+L187+L191</f>
        <v>193023.18</v>
      </c>
      <c r="M163" s="47">
        <f>M167+M170+M174+M183+M187+M191</f>
        <v>42443.12</v>
      </c>
      <c r="N163" s="47">
        <f>N167+N170+N174+N183+N187+N191</f>
        <v>35331.160000000003</v>
      </c>
      <c r="O163" s="47">
        <f>O167+O170+O174+O183+O187+O190</f>
        <v>29530.94</v>
      </c>
      <c r="P163" s="47">
        <f>P167+P170+P174+P183+P187+P191</f>
        <v>100162.01</v>
      </c>
      <c r="Q163" s="47">
        <f>Q167+Q170+Q174+Q183+Q187+Q190</f>
        <v>0</v>
      </c>
      <c r="R163" s="47">
        <f t="shared" ref="R163:AA163" si="109">R167+R170+R174+R183+R187+R190</f>
        <v>743.47199999999998</v>
      </c>
      <c r="S163" s="47">
        <f t="shared" si="109"/>
        <v>3743.4719999999998</v>
      </c>
      <c r="T163" s="47">
        <f t="shared" si="109"/>
        <v>31.5</v>
      </c>
      <c r="U163" s="47">
        <f t="shared" si="109"/>
        <v>2236.8380000000002</v>
      </c>
      <c r="V163" s="47">
        <f t="shared" si="109"/>
        <v>0</v>
      </c>
      <c r="W163" s="47">
        <f t="shared" si="109"/>
        <v>0</v>
      </c>
      <c r="X163" s="47">
        <f t="shared" si="109"/>
        <v>0</v>
      </c>
      <c r="Y163" s="47">
        <f t="shared" si="109"/>
        <v>0</v>
      </c>
      <c r="Z163" s="96"/>
      <c r="AA163" s="47">
        <f t="shared" si="109"/>
        <v>0</v>
      </c>
      <c r="AB163" s="47">
        <f>AB167+AB170+AB174+AB183+AB187+AB190</f>
        <v>2948.8069999999998</v>
      </c>
      <c r="AC163" s="47">
        <f>AC167+AC170+AC174+AC183+AC187+AC190</f>
        <v>0</v>
      </c>
      <c r="AD163" s="47">
        <f>AD167+AD170+AD174+AD183+AD187+AD190</f>
        <v>31.5</v>
      </c>
      <c r="AE163" s="47">
        <f>AE167+AE170+AE174+AE183+AE187+AE190</f>
        <v>0</v>
      </c>
      <c r="AF163" s="47">
        <f t="shared" ref="AF163:AO163" si="110">AF167+AF170+AF174</f>
        <v>0</v>
      </c>
      <c r="AG163" s="47">
        <f t="shared" si="110"/>
        <v>0</v>
      </c>
      <c r="AH163" s="47">
        <f t="shared" si="110"/>
        <v>0</v>
      </c>
      <c r="AI163" s="47">
        <f t="shared" si="110"/>
        <v>0</v>
      </c>
      <c r="AJ163" s="47">
        <f t="shared" si="110"/>
        <v>0</v>
      </c>
      <c r="AK163" s="47">
        <f t="shared" si="110"/>
        <v>28946.75</v>
      </c>
      <c r="AL163" s="47">
        <f t="shared" si="110"/>
        <v>28946.75</v>
      </c>
      <c r="AM163" s="47" t="e">
        <f t="shared" si="110"/>
        <v>#DIV/0!</v>
      </c>
      <c r="AN163" s="47">
        <f t="shared" si="110"/>
        <v>0</v>
      </c>
      <c r="AO163" s="47">
        <f t="shared" si="110"/>
        <v>0</v>
      </c>
      <c r="AP163" s="397"/>
      <c r="AQ163" s="96"/>
    </row>
    <row r="164" spans="1:43" ht="47.25" hidden="1" customHeight="1" x14ac:dyDescent="0.25">
      <c r="A164" s="1333"/>
      <c r="B164" s="1616"/>
      <c r="C164" s="1617"/>
      <c r="D164" s="1617"/>
      <c r="E164" s="1617"/>
      <c r="F164" s="1617"/>
      <c r="G164" s="1617"/>
      <c r="H164" s="1618"/>
      <c r="I164" s="23" t="s">
        <v>20</v>
      </c>
      <c r="J164" s="47">
        <v>0</v>
      </c>
      <c r="K164" s="47">
        <v>0</v>
      </c>
      <c r="L164" s="47">
        <f>M164+N164+O164</f>
        <v>0</v>
      </c>
      <c r="M164" s="47">
        <v>0</v>
      </c>
      <c r="N164" s="47">
        <v>0</v>
      </c>
      <c r="O164" s="47">
        <v>0</v>
      </c>
      <c r="P164" s="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0</v>
      </c>
      <c r="Z164" s="96"/>
      <c r="AA164" s="47">
        <v>0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0</v>
      </c>
      <c r="AM164" s="47">
        <v>0</v>
      </c>
      <c r="AN164" s="47">
        <v>0</v>
      </c>
      <c r="AO164" s="47">
        <v>0</v>
      </c>
      <c r="AP164" s="397"/>
      <c r="AQ164" s="96"/>
    </row>
    <row r="165" spans="1:43" ht="28.5" hidden="1" customHeight="1" x14ac:dyDescent="0.25">
      <c r="A165" s="1333"/>
      <c r="B165" s="1616"/>
      <c r="C165" s="1617"/>
      <c r="D165" s="1617"/>
      <c r="E165" s="1617"/>
      <c r="F165" s="1617"/>
      <c r="G165" s="1617"/>
      <c r="H165" s="1618"/>
      <c r="I165" s="23" t="s">
        <v>10</v>
      </c>
      <c r="J165" s="47">
        <v>0</v>
      </c>
      <c r="K165" s="47">
        <v>0</v>
      </c>
      <c r="L165" s="47">
        <f>L197</f>
        <v>195485</v>
      </c>
      <c r="M165" s="47">
        <f>M197</f>
        <v>195485</v>
      </c>
      <c r="N165" s="47">
        <f>N197</f>
        <v>195485</v>
      </c>
      <c r="O165" s="47">
        <v>0</v>
      </c>
      <c r="P165" s="47">
        <f>P197</f>
        <v>0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96"/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0</v>
      </c>
      <c r="AM165" s="47">
        <v>0</v>
      </c>
      <c r="AN165" s="47">
        <v>0</v>
      </c>
      <c r="AO165" s="47">
        <v>0</v>
      </c>
      <c r="AP165" s="397"/>
      <c r="AQ165" s="96"/>
    </row>
    <row r="166" spans="1:43" ht="25.5" hidden="1" customHeight="1" x14ac:dyDescent="0.25">
      <c r="A166" s="1334"/>
      <c r="B166" s="1619"/>
      <c r="C166" s="1620"/>
      <c r="D166" s="1620"/>
      <c r="E166" s="1620"/>
      <c r="F166" s="1620"/>
      <c r="G166" s="1620"/>
      <c r="H166" s="1621"/>
      <c r="I166" s="23" t="s">
        <v>9</v>
      </c>
      <c r="J166" s="47">
        <v>0</v>
      </c>
      <c r="K166" s="47">
        <v>0</v>
      </c>
      <c r="L166" s="47">
        <f>M166+N166+O166</f>
        <v>0</v>
      </c>
      <c r="M166" s="47">
        <v>0</v>
      </c>
      <c r="N166" s="47">
        <v>0</v>
      </c>
      <c r="O166" s="47">
        <v>0</v>
      </c>
      <c r="P166" s="47">
        <v>0</v>
      </c>
      <c r="Q166" s="47">
        <v>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0</v>
      </c>
      <c r="Y166" s="47">
        <v>0</v>
      </c>
      <c r="Z166" s="96"/>
      <c r="AA166" s="47">
        <v>0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0</v>
      </c>
      <c r="AM166" s="47">
        <v>0</v>
      </c>
      <c r="AN166" s="47">
        <v>0</v>
      </c>
      <c r="AO166" s="47">
        <v>0</v>
      </c>
      <c r="AP166" s="397"/>
      <c r="AQ166" s="96"/>
    </row>
    <row r="167" spans="1:43" s="327" customFormat="1" ht="27.75" customHeight="1" x14ac:dyDescent="0.25">
      <c r="A167" s="1473" t="s">
        <v>34</v>
      </c>
      <c r="B167" s="780" t="s">
        <v>441</v>
      </c>
      <c r="C167" s="1332"/>
      <c r="D167" s="1332"/>
      <c r="E167" s="1332"/>
      <c r="F167" s="1644">
        <v>220000</v>
      </c>
      <c r="G167" s="1473">
        <v>2018</v>
      </c>
      <c r="H167" s="1473">
        <v>2021</v>
      </c>
      <c r="I167" s="1463" t="s">
        <v>19</v>
      </c>
      <c r="J167" s="1627">
        <v>66036</v>
      </c>
      <c r="K167" s="1627">
        <v>16509</v>
      </c>
      <c r="L167" s="804">
        <f t="shared" ref="L167:O167" si="111">L168</f>
        <v>67541.3</v>
      </c>
      <c r="M167" s="804">
        <f t="shared" si="111"/>
        <v>16509</v>
      </c>
      <c r="N167" s="804">
        <f t="shared" si="111"/>
        <v>800</v>
      </c>
      <c r="O167" s="804">
        <f t="shared" si="111"/>
        <v>6409</v>
      </c>
      <c r="P167" s="804">
        <v>27314.3</v>
      </c>
      <c r="Q167" s="804">
        <v>0</v>
      </c>
      <c r="R167" s="804">
        <f t="shared" ref="R167:AO168" si="112">R168</f>
        <v>36</v>
      </c>
      <c r="S167" s="804">
        <f t="shared" si="112"/>
        <v>36</v>
      </c>
      <c r="T167" s="804">
        <f t="shared" si="112"/>
        <v>31.5</v>
      </c>
      <c r="U167" s="804">
        <f t="shared" si="112"/>
        <v>31.5</v>
      </c>
      <c r="V167" s="804">
        <f t="shared" si="112"/>
        <v>0</v>
      </c>
      <c r="W167" s="804">
        <f t="shared" si="112"/>
        <v>0</v>
      </c>
      <c r="X167" s="804">
        <f t="shared" si="112"/>
        <v>0</v>
      </c>
      <c r="Y167" s="804">
        <f t="shared" si="112"/>
        <v>0</v>
      </c>
      <c r="Z167" s="805">
        <v>0</v>
      </c>
      <c r="AA167" s="804">
        <v>0</v>
      </c>
      <c r="AB167" s="804">
        <f t="shared" si="112"/>
        <v>36</v>
      </c>
      <c r="AC167" s="804">
        <f t="shared" si="112"/>
        <v>0</v>
      </c>
      <c r="AD167" s="804">
        <f t="shared" si="112"/>
        <v>31.5</v>
      </c>
      <c r="AE167" s="804">
        <f t="shared" si="112"/>
        <v>0</v>
      </c>
      <c r="AF167" s="804">
        <f t="shared" si="112"/>
        <v>0</v>
      </c>
      <c r="AG167" s="804">
        <f t="shared" si="112"/>
        <v>0</v>
      </c>
      <c r="AH167" s="804">
        <f t="shared" si="112"/>
        <v>0</v>
      </c>
      <c r="AI167" s="804">
        <f t="shared" si="112"/>
        <v>0</v>
      </c>
      <c r="AJ167" s="804">
        <f t="shared" si="112"/>
        <v>0</v>
      </c>
      <c r="AK167" s="3">
        <f>P167-Q167</f>
        <v>27314.3</v>
      </c>
      <c r="AL167" s="3">
        <f>AK167</f>
        <v>27314.3</v>
      </c>
      <c r="AM167" s="318">
        <f>ROUND((Q167*100%/P167*100),2)</f>
        <v>0</v>
      </c>
      <c r="AN167" s="804">
        <f t="shared" si="112"/>
        <v>0</v>
      </c>
      <c r="AO167" s="804">
        <f t="shared" si="112"/>
        <v>0</v>
      </c>
      <c r="AP167" s="806"/>
      <c r="AQ167" s="805">
        <v>0</v>
      </c>
    </row>
    <row r="168" spans="1:43" ht="18" hidden="1" customHeight="1" x14ac:dyDescent="0.25">
      <c r="A168" s="1474"/>
      <c r="B168" s="1214" t="s">
        <v>39</v>
      </c>
      <c r="C168" s="1334"/>
      <c r="D168" s="1334"/>
      <c r="E168" s="1334"/>
      <c r="F168" s="1472"/>
      <c r="G168" s="1474"/>
      <c r="H168" s="1474"/>
      <c r="I168" s="1465"/>
      <c r="J168" s="1629"/>
      <c r="K168" s="1629"/>
      <c r="L168" s="1246">
        <v>67541.3</v>
      </c>
      <c r="M168" s="83">
        <v>16509</v>
      </c>
      <c r="N168" s="83">
        <v>800</v>
      </c>
      <c r="O168" s="83">
        <v>6409</v>
      </c>
      <c r="P168" s="83">
        <v>6409</v>
      </c>
      <c r="Q168" s="83">
        <f>Q169</f>
        <v>67.5</v>
      </c>
      <c r="R168" s="83">
        <f t="shared" si="112"/>
        <v>36</v>
      </c>
      <c r="S168" s="83">
        <f t="shared" si="112"/>
        <v>36</v>
      </c>
      <c r="T168" s="83">
        <f t="shared" si="112"/>
        <v>31.5</v>
      </c>
      <c r="U168" s="83">
        <f t="shared" si="112"/>
        <v>31.5</v>
      </c>
      <c r="V168" s="83">
        <f t="shared" si="112"/>
        <v>0</v>
      </c>
      <c r="W168" s="83">
        <f t="shared" si="112"/>
        <v>0</v>
      </c>
      <c r="X168" s="83">
        <f t="shared" si="112"/>
        <v>0</v>
      </c>
      <c r="Y168" s="83">
        <f t="shared" si="112"/>
        <v>0</v>
      </c>
      <c r="Z168" s="259"/>
      <c r="AA168" s="83">
        <f t="shared" si="112"/>
        <v>67.5</v>
      </c>
      <c r="AB168" s="83">
        <f t="shared" si="112"/>
        <v>36</v>
      </c>
      <c r="AC168" s="83">
        <f t="shared" si="112"/>
        <v>0</v>
      </c>
      <c r="AD168" s="83">
        <f t="shared" si="112"/>
        <v>31.5</v>
      </c>
      <c r="AE168" s="83">
        <f t="shared" si="112"/>
        <v>0</v>
      </c>
      <c r="AF168" s="83">
        <f t="shared" si="112"/>
        <v>0</v>
      </c>
      <c r="AG168" s="83">
        <f t="shared" si="112"/>
        <v>0</v>
      </c>
      <c r="AH168" s="83">
        <f t="shared" si="112"/>
        <v>0</v>
      </c>
      <c r="AI168" s="83">
        <f t="shared" si="112"/>
        <v>0</v>
      </c>
      <c r="AJ168" s="83">
        <f t="shared" si="112"/>
        <v>0</v>
      </c>
      <c r="AK168" s="83">
        <f t="shared" si="112"/>
        <v>0</v>
      </c>
      <c r="AL168" s="83">
        <v>0</v>
      </c>
      <c r="AM168" s="83">
        <v>0</v>
      </c>
      <c r="AN168" s="83">
        <v>0</v>
      </c>
      <c r="AO168" s="83">
        <v>0</v>
      </c>
      <c r="AP168" s="409"/>
      <c r="AQ168" s="259"/>
    </row>
    <row r="169" spans="1:43" s="266" customFormat="1" ht="26.25" hidden="1" customHeight="1" x14ac:dyDescent="0.25">
      <c r="A169" s="616"/>
      <c r="B169" s="537" t="s">
        <v>300</v>
      </c>
      <c r="C169" s="647"/>
      <c r="D169" s="647"/>
      <c r="E169" s="647"/>
      <c r="F169" s="539"/>
      <c r="G169" s="540"/>
      <c r="H169" s="540"/>
      <c r="I169" s="370"/>
      <c r="J169" s="648"/>
      <c r="K169" s="648"/>
      <c r="L169" s="258"/>
      <c r="M169" s="259"/>
      <c r="N169" s="259"/>
      <c r="O169" s="259"/>
      <c r="P169" s="259"/>
      <c r="Q169" s="259">
        <f>S169+U169</f>
        <v>67.5</v>
      </c>
      <c r="R169" s="259">
        <f>S169</f>
        <v>36</v>
      </c>
      <c r="S169" s="259">
        <v>36</v>
      </c>
      <c r="T169" s="259">
        <f>U169</f>
        <v>31.5</v>
      </c>
      <c r="U169" s="259">
        <v>31.5</v>
      </c>
      <c r="V169" s="259"/>
      <c r="W169" s="259"/>
      <c r="X169" s="259"/>
      <c r="Y169" s="259"/>
      <c r="Z169" s="259"/>
      <c r="AA169" s="259">
        <f>AB169+AD169</f>
        <v>67.5</v>
      </c>
      <c r="AB169" s="259">
        <v>36</v>
      </c>
      <c r="AC169" s="259"/>
      <c r="AD169" s="259">
        <v>31.5</v>
      </c>
      <c r="AE169" s="259"/>
      <c r="AF169" s="259"/>
      <c r="AG169" s="259"/>
      <c r="AH169" s="259"/>
      <c r="AI169" s="259"/>
      <c r="AJ169" s="259"/>
      <c r="AK169" s="259"/>
      <c r="AL169" s="259"/>
      <c r="AM169" s="543"/>
      <c r="AN169" s="259"/>
      <c r="AO169" s="259"/>
      <c r="AP169" s="411"/>
      <c r="AQ169" s="259"/>
    </row>
    <row r="170" spans="1:43" s="327" customFormat="1" ht="24" customHeight="1" x14ac:dyDescent="0.25">
      <c r="A170" s="1473" t="s">
        <v>42</v>
      </c>
      <c r="B170" s="780" t="s">
        <v>205</v>
      </c>
      <c r="C170" s="807"/>
      <c r="D170" s="807"/>
      <c r="E170" s="807"/>
      <c r="F170" s="1644">
        <v>2400</v>
      </c>
      <c r="G170" s="807"/>
      <c r="H170" s="807"/>
      <c r="I170" s="1463" t="s">
        <v>19</v>
      </c>
      <c r="J170" s="25">
        <v>12351.86</v>
      </c>
      <c r="K170" s="25">
        <f t="shared" ref="K170:P170" si="113">K171+K173</f>
        <v>8845.1</v>
      </c>
      <c r="L170" s="3">
        <f t="shared" si="113"/>
        <v>25182.28</v>
      </c>
      <c r="M170" s="3">
        <f t="shared" si="113"/>
        <v>1753.38</v>
      </c>
      <c r="N170" s="3">
        <f t="shared" si="113"/>
        <v>1168.92</v>
      </c>
      <c r="O170" s="3">
        <f t="shared" si="113"/>
        <v>997.45</v>
      </c>
      <c r="P170" s="3">
        <f t="shared" si="113"/>
        <v>1632.45</v>
      </c>
      <c r="Q170" s="3">
        <f t="shared" ref="Q170:AO170" si="114">Q173+Q171</f>
        <v>0</v>
      </c>
      <c r="R170" s="3">
        <f t="shared" si="114"/>
        <v>707.47199999999998</v>
      </c>
      <c r="S170" s="3">
        <f t="shared" si="114"/>
        <v>707.47199999999998</v>
      </c>
      <c r="T170" s="3">
        <f t="shared" si="114"/>
        <v>0</v>
      </c>
      <c r="U170" s="3">
        <f t="shared" si="114"/>
        <v>0</v>
      </c>
      <c r="V170" s="3">
        <f t="shared" si="114"/>
        <v>0</v>
      </c>
      <c r="W170" s="3">
        <f t="shared" si="114"/>
        <v>0</v>
      </c>
      <c r="X170" s="3">
        <f t="shared" si="114"/>
        <v>0</v>
      </c>
      <c r="Y170" s="3">
        <f t="shared" si="114"/>
        <v>0</v>
      </c>
      <c r="Z170" s="95">
        <v>0</v>
      </c>
      <c r="AA170" s="3">
        <f t="shared" si="114"/>
        <v>0</v>
      </c>
      <c r="AB170" s="3">
        <f t="shared" si="114"/>
        <v>707.47</v>
      </c>
      <c r="AC170" s="3">
        <f t="shared" si="114"/>
        <v>0</v>
      </c>
      <c r="AD170" s="3">
        <f t="shared" si="114"/>
        <v>0</v>
      </c>
      <c r="AE170" s="3">
        <f t="shared" si="114"/>
        <v>0</v>
      </c>
      <c r="AF170" s="3">
        <f t="shared" si="114"/>
        <v>0</v>
      </c>
      <c r="AG170" s="3">
        <f t="shared" si="114"/>
        <v>0</v>
      </c>
      <c r="AH170" s="3">
        <f t="shared" si="114"/>
        <v>0</v>
      </c>
      <c r="AI170" s="3">
        <f t="shared" si="114"/>
        <v>0</v>
      </c>
      <c r="AJ170" s="3">
        <f t="shared" si="114"/>
        <v>0</v>
      </c>
      <c r="AK170" s="3">
        <f>P170-Q170</f>
        <v>1632.45</v>
      </c>
      <c r="AL170" s="3">
        <f>AK170</f>
        <v>1632.45</v>
      </c>
      <c r="AM170" s="318">
        <f>ROUND((Q170*100%/P170*100),2)</f>
        <v>0</v>
      </c>
      <c r="AN170" s="3">
        <f t="shared" si="114"/>
        <v>0</v>
      </c>
      <c r="AO170" s="3">
        <f t="shared" si="114"/>
        <v>0</v>
      </c>
      <c r="AP170" s="808"/>
      <c r="AQ170" s="95">
        <v>0</v>
      </c>
    </row>
    <row r="171" spans="1:43" ht="16.5" customHeight="1" x14ac:dyDescent="0.25">
      <c r="A171" s="1643"/>
      <c r="B171" s="1" t="s">
        <v>15</v>
      </c>
      <c r="C171" s="48"/>
      <c r="D171" s="48"/>
      <c r="E171" s="48"/>
      <c r="F171" s="1645"/>
      <c r="G171" s="1236">
        <v>2018</v>
      </c>
      <c r="H171" s="1236">
        <v>2018</v>
      </c>
      <c r="I171" s="1464"/>
      <c r="J171" s="634">
        <v>1815.76</v>
      </c>
      <c r="K171" s="634">
        <v>1815.76</v>
      </c>
      <c r="L171" s="47">
        <v>2458.14</v>
      </c>
      <c r="M171" s="47">
        <v>0</v>
      </c>
      <c r="N171" s="47">
        <v>412.99</v>
      </c>
      <c r="O171" s="47">
        <v>0</v>
      </c>
      <c r="P171" s="47">
        <v>246.67</v>
      </c>
      <c r="Q171" s="83">
        <v>0</v>
      </c>
      <c r="R171" s="83">
        <f t="shared" ref="R171:AG171" si="115">R172</f>
        <v>707.47199999999998</v>
      </c>
      <c r="S171" s="83">
        <f t="shared" si="115"/>
        <v>707.47199999999998</v>
      </c>
      <c r="T171" s="83">
        <f t="shared" si="115"/>
        <v>0</v>
      </c>
      <c r="U171" s="83">
        <f t="shared" si="115"/>
        <v>0</v>
      </c>
      <c r="V171" s="83">
        <f t="shared" si="115"/>
        <v>0</v>
      </c>
      <c r="W171" s="83">
        <f t="shared" si="115"/>
        <v>0</v>
      </c>
      <c r="X171" s="83">
        <f t="shared" si="115"/>
        <v>0</v>
      </c>
      <c r="Y171" s="83">
        <f t="shared" si="115"/>
        <v>0</v>
      </c>
      <c r="Z171" s="259"/>
      <c r="AA171" s="83">
        <v>0</v>
      </c>
      <c r="AB171" s="83">
        <f t="shared" si="115"/>
        <v>707.47</v>
      </c>
      <c r="AC171" s="83">
        <f t="shared" si="115"/>
        <v>0</v>
      </c>
      <c r="AD171" s="83">
        <f t="shared" si="115"/>
        <v>0</v>
      </c>
      <c r="AE171" s="83">
        <f t="shared" si="115"/>
        <v>0</v>
      </c>
      <c r="AF171" s="83">
        <f t="shared" si="115"/>
        <v>0</v>
      </c>
      <c r="AG171" s="83">
        <f t="shared" si="115"/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617"/>
      <c r="AQ171" s="259"/>
    </row>
    <row r="172" spans="1:43" s="266" customFormat="1" ht="27" hidden="1" customHeight="1" x14ac:dyDescent="0.25">
      <c r="A172" s="1643"/>
      <c r="B172" s="537" t="s">
        <v>301</v>
      </c>
      <c r="C172" s="544"/>
      <c r="D172" s="544"/>
      <c r="E172" s="544"/>
      <c r="F172" s="1645"/>
      <c r="G172" s="104"/>
      <c r="H172" s="104"/>
      <c r="I172" s="1464"/>
      <c r="J172" s="636"/>
      <c r="K172" s="636"/>
      <c r="L172" s="96"/>
      <c r="M172" s="96"/>
      <c r="N172" s="96"/>
      <c r="O172" s="96"/>
      <c r="P172" s="96"/>
      <c r="Q172" s="259">
        <f>S172</f>
        <v>707.47199999999998</v>
      </c>
      <c r="R172" s="259">
        <f>S172</f>
        <v>707.47199999999998</v>
      </c>
      <c r="S172" s="259">
        <v>707.47199999999998</v>
      </c>
      <c r="T172" s="259"/>
      <c r="U172" s="259"/>
      <c r="V172" s="259"/>
      <c r="W172" s="259"/>
      <c r="X172" s="259"/>
      <c r="Y172" s="259"/>
      <c r="Z172" s="259"/>
      <c r="AA172" s="259">
        <f>AB172</f>
        <v>707.47</v>
      </c>
      <c r="AB172" s="259">
        <v>707.47</v>
      </c>
      <c r="AC172" s="259"/>
      <c r="AD172" s="259"/>
      <c r="AE172" s="259"/>
      <c r="AF172" s="259"/>
      <c r="AG172" s="259"/>
      <c r="AH172" s="96"/>
      <c r="AI172" s="96"/>
      <c r="AJ172" s="96"/>
      <c r="AK172" s="96"/>
      <c r="AL172" s="96"/>
      <c r="AM172" s="96"/>
      <c r="AN172" s="96"/>
      <c r="AO172" s="96"/>
      <c r="AP172" s="618"/>
      <c r="AQ172" s="259"/>
    </row>
    <row r="173" spans="1:43" ht="14.25" customHeight="1" x14ac:dyDescent="0.25">
      <c r="A173" s="1474"/>
      <c r="B173" s="1" t="s">
        <v>32</v>
      </c>
      <c r="C173" s="48"/>
      <c r="D173" s="48"/>
      <c r="E173" s="48"/>
      <c r="F173" s="1328"/>
      <c r="G173" s="1236">
        <v>2018</v>
      </c>
      <c r="H173" s="1236">
        <v>2021</v>
      </c>
      <c r="I173" s="1465"/>
      <c r="J173" s="634">
        <v>10536.1</v>
      </c>
      <c r="K173" s="634">
        <v>7029.34</v>
      </c>
      <c r="L173" s="47">
        <v>22724.14</v>
      </c>
      <c r="M173" s="47">
        <v>1753.38</v>
      </c>
      <c r="N173" s="47">
        <v>755.93</v>
      </c>
      <c r="O173" s="47">
        <v>997.45</v>
      </c>
      <c r="P173" s="47">
        <v>1385.78</v>
      </c>
      <c r="Q173" s="47">
        <v>0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0</v>
      </c>
      <c r="Y173" s="47">
        <v>0</v>
      </c>
      <c r="Z173" s="96"/>
      <c r="AA173" s="47">
        <v>0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0</v>
      </c>
      <c r="AH173" s="47">
        <v>0</v>
      </c>
      <c r="AI173" s="47">
        <v>0</v>
      </c>
      <c r="AJ173" s="47">
        <v>0</v>
      </c>
      <c r="AK173" s="47">
        <v>0</v>
      </c>
      <c r="AL173" s="47">
        <v>0</v>
      </c>
      <c r="AM173" s="47">
        <v>0</v>
      </c>
      <c r="AN173" s="47">
        <v>0</v>
      </c>
      <c r="AO173" s="47">
        <v>0</v>
      </c>
      <c r="AP173" s="397"/>
      <c r="AQ173" s="96"/>
    </row>
    <row r="174" spans="1:43" s="327" customFormat="1" ht="30.75" customHeight="1" x14ac:dyDescent="0.25">
      <c r="A174" s="1398" t="s">
        <v>63</v>
      </c>
      <c r="B174" s="780" t="s">
        <v>66</v>
      </c>
      <c r="C174" s="1471"/>
      <c r="D174" s="1471"/>
      <c r="E174" s="1471"/>
      <c r="F174" s="1466"/>
      <c r="G174" s="1489">
        <v>2019</v>
      </c>
      <c r="H174" s="1469">
        <v>2021</v>
      </c>
      <c r="I174" s="1466" t="s">
        <v>19</v>
      </c>
      <c r="J174" s="1648">
        <f>K174+L174</f>
        <v>74500.679999999993</v>
      </c>
      <c r="K174" s="1646">
        <v>0</v>
      </c>
      <c r="L174" s="70">
        <f t="shared" ref="L174:W174" si="116">L175</f>
        <v>74500.679999999993</v>
      </c>
      <c r="M174" s="70">
        <f t="shared" si="116"/>
        <v>24180.74</v>
      </c>
      <c r="N174" s="70">
        <f t="shared" si="116"/>
        <v>24180.74</v>
      </c>
      <c r="O174" s="70">
        <f t="shared" si="116"/>
        <v>13819.52</v>
      </c>
      <c r="P174" s="70">
        <v>0</v>
      </c>
      <c r="Q174" s="804">
        <f t="shared" si="116"/>
        <v>0</v>
      </c>
      <c r="R174" s="804">
        <f t="shared" si="116"/>
        <v>0</v>
      </c>
      <c r="S174" s="804">
        <f t="shared" si="116"/>
        <v>0</v>
      </c>
      <c r="T174" s="804">
        <f t="shared" si="116"/>
        <v>0</v>
      </c>
      <c r="U174" s="804">
        <f t="shared" si="116"/>
        <v>0</v>
      </c>
      <c r="V174" s="804">
        <f t="shared" si="116"/>
        <v>0</v>
      </c>
      <c r="W174" s="804">
        <f t="shared" si="116"/>
        <v>0</v>
      </c>
      <c r="X174" s="804">
        <f>X175</f>
        <v>0</v>
      </c>
      <c r="Y174" s="804">
        <f>Y175</f>
        <v>0</v>
      </c>
      <c r="Z174" s="805">
        <v>0</v>
      </c>
      <c r="AA174" s="804">
        <f>AA175</f>
        <v>0</v>
      </c>
      <c r="AB174" s="804">
        <f>AB175</f>
        <v>0</v>
      </c>
      <c r="AC174" s="804">
        <f>AC175</f>
        <v>0</v>
      </c>
      <c r="AD174" s="804">
        <f t="shared" ref="AD174:AO174" si="117">AD175</f>
        <v>0</v>
      </c>
      <c r="AE174" s="804">
        <f t="shared" si="117"/>
        <v>0</v>
      </c>
      <c r="AF174" s="804">
        <f t="shared" si="117"/>
        <v>0</v>
      </c>
      <c r="AG174" s="804">
        <f t="shared" si="117"/>
        <v>0</v>
      </c>
      <c r="AH174" s="804">
        <f t="shared" si="117"/>
        <v>0</v>
      </c>
      <c r="AI174" s="804">
        <f t="shared" si="117"/>
        <v>0</v>
      </c>
      <c r="AJ174" s="804">
        <f t="shared" si="117"/>
        <v>0</v>
      </c>
      <c r="AK174" s="3">
        <v>0</v>
      </c>
      <c r="AL174" s="3">
        <f>AK174</f>
        <v>0</v>
      </c>
      <c r="AM174" s="318" t="e">
        <f>ROUND((Q174*100%/P174*100),2)</f>
        <v>#DIV/0!</v>
      </c>
      <c r="AN174" s="804">
        <f t="shared" si="117"/>
        <v>0</v>
      </c>
      <c r="AO174" s="804">
        <f t="shared" si="117"/>
        <v>0</v>
      </c>
      <c r="AP174" s="806" t="s">
        <v>295</v>
      </c>
      <c r="AQ174" s="805">
        <v>0</v>
      </c>
    </row>
    <row r="175" spans="1:43" ht="18" hidden="1" customHeight="1" x14ac:dyDescent="0.25">
      <c r="A175" s="1488"/>
      <c r="B175" s="1" t="s">
        <v>16</v>
      </c>
      <c r="C175" s="1471"/>
      <c r="D175" s="1471"/>
      <c r="E175" s="1471"/>
      <c r="F175" s="1466"/>
      <c r="G175" s="1489"/>
      <c r="H175" s="1470"/>
      <c r="I175" s="1466"/>
      <c r="J175" s="1648"/>
      <c r="K175" s="1647"/>
      <c r="L175" s="1246">
        <v>74500.679999999993</v>
      </c>
      <c r="M175" s="83">
        <v>24180.74</v>
      </c>
      <c r="N175" s="83">
        <v>24180.74</v>
      </c>
      <c r="O175" s="83">
        <v>13819.52</v>
      </c>
      <c r="P175" s="83">
        <v>26139.200000000001</v>
      </c>
      <c r="Q175" s="83">
        <v>0</v>
      </c>
      <c r="R175" s="83">
        <f t="shared" ref="R175:W175" si="118">SUM(R176:R182)</f>
        <v>0</v>
      </c>
      <c r="S175" s="83">
        <f t="shared" si="118"/>
        <v>0</v>
      </c>
      <c r="T175" s="83">
        <f t="shared" si="118"/>
        <v>0</v>
      </c>
      <c r="U175" s="83">
        <f t="shared" si="118"/>
        <v>0</v>
      </c>
      <c r="V175" s="83">
        <f t="shared" si="118"/>
        <v>0</v>
      </c>
      <c r="W175" s="83">
        <f t="shared" si="118"/>
        <v>0</v>
      </c>
      <c r="X175" s="83">
        <v>0</v>
      </c>
      <c r="Y175" s="83">
        <f t="shared" ref="Y175:AE175" si="119">SUM(Y176:Y182)</f>
        <v>0</v>
      </c>
      <c r="Z175" s="259"/>
      <c r="AA175" s="83">
        <f t="shared" si="119"/>
        <v>0</v>
      </c>
      <c r="AB175" s="83">
        <f t="shared" si="119"/>
        <v>0</v>
      </c>
      <c r="AC175" s="83">
        <f t="shared" si="119"/>
        <v>0</v>
      </c>
      <c r="AD175" s="83">
        <f t="shared" si="119"/>
        <v>0</v>
      </c>
      <c r="AE175" s="83">
        <f t="shared" si="119"/>
        <v>0</v>
      </c>
      <c r="AF175" s="83">
        <f>SUM(AG175:AI175)</f>
        <v>0</v>
      </c>
      <c r="AG175" s="83">
        <f>SUM(AG176:AG182)</f>
        <v>0</v>
      </c>
      <c r="AH175" s="83">
        <f>SUM(AH176:AH182)</f>
        <v>0</v>
      </c>
      <c r="AI175" s="83">
        <v>0</v>
      </c>
      <c r="AJ175" s="83">
        <v>0</v>
      </c>
      <c r="AK175" s="83">
        <f>SUM(AK176:AK182)</f>
        <v>0</v>
      </c>
      <c r="AL175" s="83">
        <f>SUM(AL176:AL182)</f>
        <v>0</v>
      </c>
      <c r="AM175" s="83">
        <f>SUM(AM176:AM182)</f>
        <v>0</v>
      </c>
      <c r="AN175" s="83">
        <f>SUM(AN176:AN182)</f>
        <v>0</v>
      </c>
      <c r="AO175" s="83">
        <f>SUM(AO176:AO182)</f>
        <v>0</v>
      </c>
      <c r="AP175" s="409"/>
      <c r="AQ175" s="259"/>
    </row>
    <row r="176" spans="1:43" s="266" customFormat="1" ht="18" hidden="1" customHeight="1" x14ac:dyDescent="0.25">
      <c r="A176" s="324"/>
      <c r="B176" s="252" t="s">
        <v>152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/>
      <c r="X176" s="259"/>
      <c r="Y176" s="259"/>
      <c r="Z176" s="259"/>
      <c r="AA176" s="259">
        <v>0</v>
      </c>
      <c r="AB176" s="259"/>
      <c r="AC176" s="259"/>
      <c r="AD176" s="259"/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156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</f>
        <v>0</v>
      </c>
      <c r="R177" s="259"/>
      <c r="S177" s="259"/>
      <c r="T177" s="259"/>
      <c r="U177" s="259"/>
      <c r="V177" s="259">
        <v>0</v>
      </c>
      <c r="W177" s="259">
        <v>0</v>
      </c>
      <c r="X177" s="259"/>
      <c r="Y177" s="259"/>
      <c r="Z177" s="259"/>
      <c r="AA177" s="259"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26.25" hidden="1" customHeight="1" x14ac:dyDescent="0.25">
      <c r="A178" s="324"/>
      <c r="B178" s="252" t="s">
        <v>229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f>S178+U178+W178+Y178</f>
        <v>0</v>
      </c>
      <c r="R178" s="259"/>
      <c r="S178" s="259"/>
      <c r="T178" s="259"/>
      <c r="U178" s="259"/>
      <c r="V178" s="259"/>
      <c r="W178" s="259"/>
      <c r="X178" s="259">
        <v>0</v>
      </c>
      <c r="Y178" s="259">
        <v>0</v>
      </c>
      <c r="Z178" s="259"/>
      <c r="AA178" s="259">
        <v>0</v>
      </c>
      <c r="AB178" s="259">
        <v>0</v>
      </c>
      <c r="AC178" s="259"/>
      <c r="AD178" s="259"/>
      <c r="AE178" s="259"/>
      <c r="AF178" s="259">
        <f>SUM(AG178:AG178)</f>
        <v>0</v>
      </c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230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>
        <v>0</v>
      </c>
      <c r="X179" s="259">
        <v>0</v>
      </c>
      <c r="Y179" s="259">
        <v>0</v>
      </c>
      <c r="Z179" s="259"/>
      <c r="AA179" s="259">
        <f>AB179+AC179</f>
        <v>0</v>
      </c>
      <c r="AB179" s="259">
        <v>0</v>
      </c>
      <c r="AC179" s="259">
        <v>0</v>
      </c>
      <c r="AD179" s="259">
        <v>0</v>
      </c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266" customFormat="1" ht="18" hidden="1" customHeight="1" x14ac:dyDescent="0.25">
      <c r="A180" s="324"/>
      <c r="B180" s="252" t="s">
        <v>231</v>
      </c>
      <c r="C180" s="253"/>
      <c r="D180" s="253"/>
      <c r="E180" s="253"/>
      <c r="F180" s="363"/>
      <c r="G180" s="255"/>
      <c r="H180" s="256"/>
      <c r="I180" s="104"/>
      <c r="J180" s="533"/>
      <c r="K180" s="534"/>
      <c r="L180" s="258"/>
      <c r="M180" s="259"/>
      <c r="N180" s="259"/>
      <c r="O180" s="259"/>
      <c r="P180" s="83"/>
      <c r="Q180" s="259">
        <f>S180+U180+W180+Y180</f>
        <v>0</v>
      </c>
      <c r="R180" s="259"/>
      <c r="S180" s="259"/>
      <c r="T180" s="259">
        <v>0</v>
      </c>
      <c r="U180" s="259">
        <v>0</v>
      </c>
      <c r="V180" s="259"/>
      <c r="W180" s="259"/>
      <c r="X180" s="259">
        <v>0</v>
      </c>
      <c r="Y180" s="259">
        <v>0</v>
      </c>
      <c r="Z180" s="259"/>
      <c r="AA180" s="259">
        <f>AB180+AC180</f>
        <v>0</v>
      </c>
      <c r="AB180" s="259">
        <v>0</v>
      </c>
      <c r="AC180" s="259"/>
      <c r="AD180" s="259"/>
      <c r="AE180" s="259"/>
      <c r="AF180" s="259">
        <f>SUM(AG180:AG180)</f>
        <v>0</v>
      </c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411"/>
      <c r="AQ180" s="259"/>
    </row>
    <row r="181" spans="1:43" s="266" customFormat="1" ht="18" hidden="1" customHeight="1" x14ac:dyDescent="0.25">
      <c r="A181" s="324"/>
      <c r="B181" s="252" t="s">
        <v>259</v>
      </c>
      <c r="C181" s="253"/>
      <c r="D181" s="253"/>
      <c r="E181" s="253"/>
      <c r="F181" s="363"/>
      <c r="G181" s="255"/>
      <c r="H181" s="256"/>
      <c r="I181" s="104"/>
      <c r="J181" s="533"/>
      <c r="K181" s="534"/>
      <c r="L181" s="258"/>
      <c r="M181" s="259"/>
      <c r="N181" s="259"/>
      <c r="O181" s="259"/>
      <c r="P181" s="83"/>
      <c r="Q181" s="259">
        <v>0</v>
      </c>
      <c r="R181" s="259"/>
      <c r="S181" s="259"/>
      <c r="T181" s="259">
        <v>0</v>
      </c>
      <c r="U181" s="259">
        <v>0</v>
      </c>
      <c r="V181" s="259"/>
      <c r="W181" s="259"/>
      <c r="X181" s="259"/>
      <c r="Y181" s="259"/>
      <c r="Z181" s="259"/>
      <c r="AA181" s="259">
        <f>AB181+AC181</f>
        <v>0</v>
      </c>
      <c r="AB181" s="259"/>
      <c r="AC181" s="259">
        <v>0</v>
      </c>
      <c r="AD181" s="259"/>
      <c r="AE181" s="259"/>
      <c r="AF181" s="259"/>
      <c r="AG181" s="259"/>
      <c r="AH181" s="259"/>
      <c r="AI181" s="259"/>
      <c r="AJ181" s="259"/>
      <c r="AK181" s="259"/>
      <c r="AL181" s="259"/>
      <c r="AM181" s="259"/>
      <c r="AN181" s="259"/>
      <c r="AO181" s="259"/>
      <c r="AP181" s="411"/>
      <c r="AQ181" s="259"/>
    </row>
    <row r="182" spans="1:43" s="266" customFormat="1" ht="18" hidden="1" customHeight="1" x14ac:dyDescent="0.25">
      <c r="A182" s="324"/>
      <c r="B182" s="252" t="s">
        <v>153</v>
      </c>
      <c r="C182" s="253"/>
      <c r="D182" s="253"/>
      <c r="E182" s="253"/>
      <c r="F182" s="363"/>
      <c r="G182" s="255"/>
      <c r="H182" s="256"/>
      <c r="I182" s="104"/>
      <c r="J182" s="533"/>
      <c r="K182" s="534"/>
      <c r="L182" s="258"/>
      <c r="M182" s="259"/>
      <c r="N182" s="259"/>
      <c r="O182" s="259"/>
      <c r="P182" s="83"/>
      <c r="Q182" s="259">
        <f>S182+U182+W182+Y182</f>
        <v>0</v>
      </c>
      <c r="R182" s="259">
        <f>S182</f>
        <v>0</v>
      </c>
      <c r="S182" s="259">
        <v>0</v>
      </c>
      <c r="T182" s="259">
        <v>0</v>
      </c>
      <c r="U182" s="259">
        <v>0</v>
      </c>
      <c r="V182" s="259"/>
      <c r="W182" s="259"/>
      <c r="X182" s="259">
        <v>0</v>
      </c>
      <c r="Y182" s="259">
        <v>0</v>
      </c>
      <c r="Z182" s="259"/>
      <c r="AA182" s="259">
        <v>0</v>
      </c>
      <c r="AB182" s="259">
        <v>0</v>
      </c>
      <c r="AC182" s="259"/>
      <c r="AD182" s="259"/>
      <c r="AE182" s="259"/>
      <c r="AF182" s="259">
        <f>SUM(AG182:AG182)</f>
        <v>0</v>
      </c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s="327" customFormat="1" ht="42" customHeight="1" x14ac:dyDescent="0.25">
      <c r="A183" s="1398" t="s">
        <v>167</v>
      </c>
      <c r="B183" s="772" t="s">
        <v>168</v>
      </c>
      <c r="C183" s="809"/>
      <c r="D183" s="809"/>
      <c r="E183" s="809"/>
      <c r="F183" s="312"/>
      <c r="G183" s="775"/>
      <c r="H183" s="810"/>
      <c r="I183" s="1326" t="s">
        <v>19</v>
      </c>
      <c r="J183" s="283"/>
      <c r="K183" s="811"/>
      <c r="L183" s="1238">
        <f>L184</f>
        <v>7644.31</v>
      </c>
      <c r="M183" s="1238">
        <f>M184</f>
        <v>0</v>
      </c>
      <c r="N183" s="1238">
        <f t="shared" ref="N183:AO183" si="120">N184</f>
        <v>377.26</v>
      </c>
      <c r="O183" s="1238">
        <f t="shared" si="120"/>
        <v>0</v>
      </c>
      <c r="P183" s="1238">
        <f>P184+P186</f>
        <v>70000</v>
      </c>
      <c r="Q183" s="1238">
        <f>Q184+Q186</f>
        <v>0</v>
      </c>
      <c r="R183" s="1238">
        <f t="shared" ref="R183:AA183" si="121">R184+R186</f>
        <v>0</v>
      </c>
      <c r="S183" s="1238">
        <f t="shared" si="121"/>
        <v>0</v>
      </c>
      <c r="T183" s="1238">
        <f t="shared" si="121"/>
        <v>0</v>
      </c>
      <c r="U183" s="1238">
        <f t="shared" si="121"/>
        <v>0</v>
      </c>
      <c r="V183" s="1238">
        <f t="shared" si="121"/>
        <v>0</v>
      </c>
      <c r="W183" s="1238">
        <f t="shared" si="121"/>
        <v>0</v>
      </c>
      <c r="X183" s="1238">
        <f t="shared" si="121"/>
        <v>0</v>
      </c>
      <c r="Y183" s="1238">
        <f t="shared" si="121"/>
        <v>0</v>
      </c>
      <c r="Z183" s="1238">
        <f t="shared" si="121"/>
        <v>0</v>
      </c>
      <c r="AA183" s="1238">
        <f t="shared" si="121"/>
        <v>0</v>
      </c>
      <c r="AB183" s="1238">
        <f t="shared" si="120"/>
        <v>0</v>
      </c>
      <c r="AC183" s="1238">
        <f t="shared" si="120"/>
        <v>0</v>
      </c>
      <c r="AD183" s="1238">
        <f t="shared" si="120"/>
        <v>0</v>
      </c>
      <c r="AE183" s="1238">
        <f t="shared" si="120"/>
        <v>0</v>
      </c>
      <c r="AF183" s="1238">
        <f t="shared" si="120"/>
        <v>0</v>
      </c>
      <c r="AG183" s="1238">
        <f t="shared" si="120"/>
        <v>0</v>
      </c>
      <c r="AH183" s="1238">
        <f t="shared" si="120"/>
        <v>0</v>
      </c>
      <c r="AI183" s="1238">
        <f t="shared" si="120"/>
        <v>0</v>
      </c>
      <c r="AJ183" s="1238">
        <f t="shared" si="120"/>
        <v>0</v>
      </c>
      <c r="AK183" s="1238">
        <f t="shared" si="120"/>
        <v>0</v>
      </c>
      <c r="AL183" s="1238">
        <f t="shared" si="120"/>
        <v>0</v>
      </c>
      <c r="AM183" s="1238">
        <f t="shared" si="120"/>
        <v>0</v>
      </c>
      <c r="AN183" s="1238">
        <f t="shared" si="120"/>
        <v>0</v>
      </c>
      <c r="AO183" s="1238">
        <f t="shared" si="120"/>
        <v>0</v>
      </c>
      <c r="AP183" s="806" t="s">
        <v>244</v>
      </c>
      <c r="AQ183" s="812">
        <v>0</v>
      </c>
    </row>
    <row r="184" spans="1:43" ht="18" customHeight="1" x14ac:dyDescent="0.25">
      <c r="A184" s="1488"/>
      <c r="B184" s="42" t="s">
        <v>15</v>
      </c>
      <c r="C184" s="334"/>
      <c r="D184" s="334"/>
      <c r="E184" s="334"/>
      <c r="F184" s="313"/>
      <c r="G184" s="335"/>
      <c r="H184" s="336"/>
      <c r="I184" s="1328"/>
      <c r="J184" s="1260"/>
      <c r="K184" s="649"/>
      <c r="L184" s="1246">
        <v>7644.31</v>
      </c>
      <c r="M184" s="83">
        <v>0</v>
      </c>
      <c r="N184" s="83">
        <v>377.26</v>
      </c>
      <c r="O184" s="83">
        <v>0</v>
      </c>
      <c r="P184" s="83">
        <v>7000</v>
      </c>
      <c r="Q184" s="83">
        <v>0</v>
      </c>
      <c r="R184" s="83">
        <v>0</v>
      </c>
      <c r="S184" s="83">
        <v>0</v>
      </c>
      <c r="T184" s="83">
        <f>SUM(T185:T186)</f>
        <v>0</v>
      </c>
      <c r="U184" s="83">
        <f>SUM(U185:U186)</f>
        <v>0</v>
      </c>
      <c r="V184" s="83">
        <f t="shared" ref="V184:AE184" si="122">SUM(V185:V186)</f>
        <v>0</v>
      </c>
      <c r="W184" s="83">
        <f t="shared" si="122"/>
        <v>0</v>
      </c>
      <c r="X184" s="83">
        <f t="shared" si="122"/>
        <v>0</v>
      </c>
      <c r="Y184" s="83">
        <f t="shared" si="122"/>
        <v>0</v>
      </c>
      <c r="Z184" s="259"/>
      <c r="AA184" s="83">
        <f t="shared" si="122"/>
        <v>0</v>
      </c>
      <c r="AB184" s="83">
        <f t="shared" si="122"/>
        <v>0</v>
      </c>
      <c r="AC184" s="83">
        <f t="shared" si="122"/>
        <v>0</v>
      </c>
      <c r="AD184" s="83">
        <f t="shared" si="122"/>
        <v>0</v>
      </c>
      <c r="AE184" s="83">
        <f t="shared" si="122"/>
        <v>0</v>
      </c>
      <c r="AF184" s="83">
        <v>0</v>
      </c>
      <c r="AG184" s="83">
        <v>0</v>
      </c>
      <c r="AH184" s="83">
        <v>0</v>
      </c>
      <c r="AI184" s="83">
        <v>0</v>
      </c>
      <c r="AJ184" s="83">
        <v>0</v>
      </c>
      <c r="AK184" s="83">
        <v>0</v>
      </c>
      <c r="AL184" s="83">
        <v>0</v>
      </c>
      <c r="AM184" s="83">
        <v>0</v>
      </c>
      <c r="AN184" s="83">
        <v>0</v>
      </c>
      <c r="AO184" s="83">
        <v>0</v>
      </c>
      <c r="AP184" s="409"/>
      <c r="AQ184" s="259"/>
    </row>
    <row r="185" spans="1:43" s="266" customFormat="1" ht="18" hidden="1" customHeight="1" x14ac:dyDescent="0.25">
      <c r="A185" s="366"/>
      <c r="B185" s="252" t="s">
        <v>232</v>
      </c>
      <c r="C185" s="253"/>
      <c r="D185" s="253"/>
      <c r="E185" s="253"/>
      <c r="F185" s="363"/>
      <c r="G185" s="255"/>
      <c r="H185" s="256"/>
      <c r="I185" s="367"/>
      <c r="J185" s="533"/>
      <c r="K185" s="534"/>
      <c r="L185" s="258"/>
      <c r="M185" s="259"/>
      <c r="N185" s="259"/>
      <c r="O185" s="259"/>
      <c r="P185" s="83"/>
      <c r="Q185" s="259"/>
      <c r="R185" s="259"/>
      <c r="S185" s="259"/>
      <c r="T185" s="259"/>
      <c r="U185" s="259"/>
      <c r="V185" s="259"/>
      <c r="W185" s="259"/>
      <c r="X185" s="83"/>
      <c r="Y185" s="83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411"/>
      <c r="AQ185" s="259"/>
    </row>
    <row r="186" spans="1:43" ht="18" customHeight="1" x14ac:dyDescent="0.25">
      <c r="A186" s="1222"/>
      <c r="B186" s="42" t="s">
        <v>32</v>
      </c>
      <c r="C186" s="334"/>
      <c r="D186" s="334"/>
      <c r="E186" s="334"/>
      <c r="F186" s="313"/>
      <c r="G186" s="335"/>
      <c r="H186" s="336"/>
      <c r="I186" s="1221"/>
      <c r="J186" s="1260"/>
      <c r="K186" s="649"/>
      <c r="L186" s="1246"/>
      <c r="M186" s="83"/>
      <c r="N186" s="83"/>
      <c r="O186" s="83"/>
      <c r="P186" s="83">
        <v>63000</v>
      </c>
      <c r="Q186" s="83">
        <f>S186+U186</f>
        <v>0</v>
      </c>
      <c r="R186" s="83"/>
      <c r="S186" s="83"/>
      <c r="T186" s="83">
        <v>0</v>
      </c>
      <c r="U186" s="83">
        <v>0</v>
      </c>
      <c r="V186" s="83"/>
      <c r="W186" s="83"/>
      <c r="X186" s="83"/>
      <c r="Y186" s="83"/>
      <c r="Z186" s="83"/>
      <c r="AA186" s="83">
        <f>SUM(AB186:AC186)</f>
        <v>0</v>
      </c>
      <c r="AB186" s="83"/>
      <c r="AC186" s="83">
        <v>0</v>
      </c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409"/>
      <c r="AQ186" s="83"/>
    </row>
    <row r="187" spans="1:43" s="327" customFormat="1" ht="26.25" customHeight="1" x14ac:dyDescent="0.25">
      <c r="A187" s="1398" t="s">
        <v>169</v>
      </c>
      <c r="B187" s="772" t="s">
        <v>170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1238">
        <f>L188</f>
        <v>8790.08</v>
      </c>
      <c r="M187" s="1238">
        <f>M188</f>
        <v>0</v>
      </c>
      <c r="N187" s="1238">
        <f t="shared" ref="N187:AO188" si="123">N188</f>
        <v>612.4</v>
      </c>
      <c r="O187" s="1238">
        <f t="shared" si="123"/>
        <v>7188.28</v>
      </c>
      <c r="P187" s="1238">
        <v>1215.26</v>
      </c>
      <c r="Q187" s="1238">
        <v>0</v>
      </c>
      <c r="R187" s="1238">
        <f t="shared" si="123"/>
        <v>0</v>
      </c>
      <c r="S187" s="1238">
        <f t="shared" si="123"/>
        <v>0</v>
      </c>
      <c r="T187" s="1238">
        <f t="shared" si="123"/>
        <v>0</v>
      </c>
      <c r="U187" s="1238">
        <f t="shared" si="123"/>
        <v>2205.3380000000002</v>
      </c>
      <c r="V187" s="1238">
        <f t="shared" si="123"/>
        <v>0</v>
      </c>
      <c r="W187" s="1238">
        <f t="shared" si="123"/>
        <v>0</v>
      </c>
      <c r="X187" s="1238">
        <f t="shared" si="123"/>
        <v>0</v>
      </c>
      <c r="Y187" s="1238">
        <f t="shared" si="123"/>
        <v>0</v>
      </c>
      <c r="Z187" s="1238">
        <v>0</v>
      </c>
      <c r="AA187" s="1238">
        <v>0</v>
      </c>
      <c r="AB187" s="1238">
        <f>AB188</f>
        <v>2205.337</v>
      </c>
      <c r="AC187" s="1238">
        <f>AC188</f>
        <v>0</v>
      </c>
      <c r="AD187" s="1238">
        <f>AD188</f>
        <v>0</v>
      </c>
      <c r="AE187" s="1238">
        <f>AE188</f>
        <v>0</v>
      </c>
      <c r="AF187" s="1238">
        <f t="shared" si="123"/>
        <v>0</v>
      </c>
      <c r="AG187" s="1238">
        <f t="shared" si="123"/>
        <v>0</v>
      </c>
      <c r="AH187" s="1238">
        <f t="shared" si="123"/>
        <v>0</v>
      </c>
      <c r="AI187" s="1238">
        <f t="shared" si="123"/>
        <v>0</v>
      </c>
      <c r="AJ187" s="1238">
        <f t="shared" si="123"/>
        <v>0</v>
      </c>
      <c r="AK187" s="1238">
        <f t="shared" si="123"/>
        <v>0</v>
      </c>
      <c r="AL187" s="1238">
        <f t="shared" si="123"/>
        <v>0</v>
      </c>
      <c r="AM187" s="1238">
        <f t="shared" si="123"/>
        <v>0</v>
      </c>
      <c r="AN187" s="1238">
        <f t="shared" si="123"/>
        <v>0</v>
      </c>
      <c r="AO187" s="1238">
        <f t="shared" si="123"/>
        <v>0</v>
      </c>
      <c r="AP187" s="806"/>
      <c r="AQ187" s="1238">
        <v>0</v>
      </c>
    </row>
    <row r="188" spans="1:43" ht="24" hidden="1" customHeight="1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1260"/>
      <c r="K188" s="649"/>
      <c r="L188" s="1246">
        <v>8790.08</v>
      </c>
      <c r="M188" s="83">
        <v>0</v>
      </c>
      <c r="N188" s="83">
        <v>612.4</v>
      </c>
      <c r="O188" s="83">
        <v>7188.28</v>
      </c>
      <c r="P188" s="83">
        <v>8177.68</v>
      </c>
      <c r="Q188" s="83">
        <f>Q189</f>
        <v>2205.3380000000002</v>
      </c>
      <c r="R188" s="83">
        <f t="shared" si="123"/>
        <v>0</v>
      </c>
      <c r="S188" s="83">
        <f t="shared" si="123"/>
        <v>0</v>
      </c>
      <c r="T188" s="83">
        <f t="shared" si="123"/>
        <v>0</v>
      </c>
      <c r="U188" s="83">
        <f t="shared" si="123"/>
        <v>2205.3380000000002</v>
      </c>
      <c r="V188" s="83">
        <f t="shared" si="123"/>
        <v>0</v>
      </c>
      <c r="W188" s="83">
        <f t="shared" si="123"/>
        <v>0</v>
      </c>
      <c r="X188" s="83">
        <f t="shared" si="123"/>
        <v>0</v>
      </c>
      <c r="Y188" s="83">
        <f t="shared" si="123"/>
        <v>0</v>
      </c>
      <c r="Z188" s="259"/>
      <c r="AA188" s="83">
        <f t="shared" si="123"/>
        <v>2205.337</v>
      </c>
      <c r="AB188" s="83">
        <f t="shared" si="123"/>
        <v>2205.337</v>
      </c>
      <c r="AC188" s="83">
        <f t="shared" si="123"/>
        <v>0</v>
      </c>
      <c r="AD188" s="83">
        <f>AD189</f>
        <v>0</v>
      </c>
      <c r="AE188" s="83">
        <f>AE189</f>
        <v>0</v>
      </c>
      <c r="AF188" s="83">
        <f t="shared" si="123"/>
        <v>0</v>
      </c>
      <c r="AG188" s="83">
        <f t="shared" si="123"/>
        <v>0</v>
      </c>
      <c r="AH188" s="83">
        <v>0</v>
      </c>
      <c r="AI188" s="83">
        <v>0</v>
      </c>
      <c r="AJ188" s="83"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27" hidden="1" customHeight="1" x14ac:dyDescent="0.25">
      <c r="A189" s="366"/>
      <c r="B189" s="252" t="s">
        <v>302</v>
      </c>
      <c r="C189" s="253"/>
      <c r="D189" s="253"/>
      <c r="E189" s="253"/>
      <c r="F189" s="363"/>
      <c r="G189" s="255"/>
      <c r="H189" s="256"/>
      <c r="I189" s="367"/>
      <c r="J189" s="533"/>
      <c r="K189" s="534"/>
      <c r="L189" s="258"/>
      <c r="M189" s="259"/>
      <c r="N189" s="259"/>
      <c r="O189" s="259"/>
      <c r="P189" s="259"/>
      <c r="Q189" s="259">
        <f>S189+U189</f>
        <v>2205.3380000000002</v>
      </c>
      <c r="R189" s="259"/>
      <c r="S189" s="259"/>
      <c r="T189" s="259"/>
      <c r="U189" s="259">
        <v>2205.3380000000002</v>
      </c>
      <c r="V189" s="259"/>
      <c r="W189" s="259"/>
      <c r="X189" s="259"/>
      <c r="Y189" s="259"/>
      <c r="Z189" s="259"/>
      <c r="AA189" s="259">
        <f>AB189</f>
        <v>2205.337</v>
      </c>
      <c r="AB189" s="259">
        <v>2205.337</v>
      </c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327" customFormat="1" ht="43.5" customHeight="1" x14ac:dyDescent="0.25">
      <c r="A190" s="1398" t="s">
        <v>171</v>
      </c>
      <c r="B190" s="772" t="s">
        <v>172</v>
      </c>
      <c r="C190" s="809"/>
      <c r="D190" s="809"/>
      <c r="E190" s="809"/>
      <c r="F190" s="312"/>
      <c r="G190" s="775"/>
      <c r="H190" s="810"/>
      <c r="I190" s="1326" t="s">
        <v>19</v>
      </c>
      <c r="J190" s="283"/>
      <c r="K190" s="811"/>
      <c r="L190" s="1238">
        <f>L191+L197</f>
        <v>204849.53</v>
      </c>
      <c r="M190" s="1238">
        <f>M191+M197</f>
        <v>195485</v>
      </c>
      <c r="N190" s="1238">
        <f>N191+N197</f>
        <v>203676.84</v>
      </c>
      <c r="O190" s="1238">
        <f t="shared" ref="O190:AO190" si="124">O191</f>
        <v>1116.69</v>
      </c>
      <c r="P190" s="1238">
        <f>P191+P197</f>
        <v>0</v>
      </c>
      <c r="Q190" s="1238">
        <f t="shared" si="124"/>
        <v>0</v>
      </c>
      <c r="R190" s="1238">
        <f t="shared" si="124"/>
        <v>0</v>
      </c>
      <c r="S190" s="1238">
        <f t="shared" si="124"/>
        <v>3000</v>
      </c>
      <c r="T190" s="1238">
        <f t="shared" si="124"/>
        <v>0</v>
      </c>
      <c r="U190" s="1238">
        <f t="shared" si="124"/>
        <v>0</v>
      </c>
      <c r="V190" s="1238">
        <f t="shared" si="124"/>
        <v>0</v>
      </c>
      <c r="W190" s="1238">
        <f t="shared" si="124"/>
        <v>0</v>
      </c>
      <c r="X190" s="1238">
        <f t="shared" si="124"/>
        <v>0</v>
      </c>
      <c r="Y190" s="1238">
        <f t="shared" si="124"/>
        <v>0</v>
      </c>
      <c r="Z190" s="812">
        <v>0</v>
      </c>
      <c r="AA190" s="1238">
        <f t="shared" si="124"/>
        <v>0</v>
      </c>
      <c r="AB190" s="1238">
        <f t="shared" si="124"/>
        <v>0</v>
      </c>
      <c r="AC190" s="1238">
        <f t="shared" si="124"/>
        <v>0</v>
      </c>
      <c r="AD190" s="1238">
        <f t="shared" si="124"/>
        <v>0</v>
      </c>
      <c r="AE190" s="1238">
        <f t="shared" si="124"/>
        <v>0</v>
      </c>
      <c r="AF190" s="1238">
        <f t="shared" si="124"/>
        <v>0</v>
      </c>
      <c r="AG190" s="1238">
        <f t="shared" si="124"/>
        <v>0</v>
      </c>
      <c r="AH190" s="1238">
        <f t="shared" si="124"/>
        <v>0</v>
      </c>
      <c r="AI190" s="1238">
        <f t="shared" si="124"/>
        <v>0</v>
      </c>
      <c r="AJ190" s="1238">
        <f t="shared" si="124"/>
        <v>0</v>
      </c>
      <c r="AK190" s="1238">
        <f t="shared" si="124"/>
        <v>0</v>
      </c>
      <c r="AL190" s="1238">
        <f t="shared" si="124"/>
        <v>0</v>
      </c>
      <c r="AM190" s="1238">
        <f t="shared" si="124"/>
        <v>0</v>
      </c>
      <c r="AN190" s="1238">
        <f t="shared" si="124"/>
        <v>0</v>
      </c>
      <c r="AO190" s="1238">
        <f t="shared" si="124"/>
        <v>0</v>
      </c>
      <c r="AP190" s="813" t="s">
        <v>295</v>
      </c>
      <c r="AQ190" s="812">
        <v>0</v>
      </c>
    </row>
    <row r="191" spans="1:43" x14ac:dyDescent="0.25">
      <c r="A191" s="1488"/>
      <c r="B191" s="42" t="s">
        <v>15</v>
      </c>
      <c r="C191" s="334"/>
      <c r="D191" s="334"/>
      <c r="E191" s="334"/>
      <c r="F191" s="313"/>
      <c r="G191" s="335"/>
      <c r="H191" s="336"/>
      <c r="I191" s="1328"/>
      <c r="J191" s="1260"/>
      <c r="K191" s="649"/>
      <c r="L191" s="1246">
        <v>9364.5300000000007</v>
      </c>
      <c r="M191" s="83">
        <v>0</v>
      </c>
      <c r="N191" s="83">
        <v>8191.84</v>
      </c>
      <c r="O191" s="83">
        <v>1116.69</v>
      </c>
      <c r="P191" s="83">
        <v>0</v>
      </c>
      <c r="Q191" s="83">
        <v>0</v>
      </c>
      <c r="R191" s="83">
        <f>P191</f>
        <v>0</v>
      </c>
      <c r="S191" s="83">
        <f>SUM(S192:S196)</f>
        <v>3000</v>
      </c>
      <c r="T191" s="83">
        <v>0</v>
      </c>
      <c r="U191" s="83">
        <v>0</v>
      </c>
      <c r="V191" s="83">
        <v>0</v>
      </c>
      <c r="W191" s="83">
        <v>0</v>
      </c>
      <c r="X191" s="83">
        <v>0</v>
      </c>
      <c r="Y191" s="83">
        <v>0</v>
      </c>
      <c r="Z191" s="259"/>
      <c r="AA191" s="83">
        <f>SUM(AA192:AA196)</f>
        <v>0</v>
      </c>
      <c r="AB191" s="83">
        <f t="shared" ref="AB191:AJ191" si="125">SUM(AB192:AB194)</f>
        <v>0</v>
      </c>
      <c r="AC191" s="83">
        <f t="shared" si="125"/>
        <v>0</v>
      </c>
      <c r="AD191" s="83">
        <f t="shared" si="125"/>
        <v>0</v>
      </c>
      <c r="AE191" s="83">
        <f>SUM(AE192:AE196)</f>
        <v>0</v>
      </c>
      <c r="AF191" s="83">
        <f t="shared" si="125"/>
        <v>0</v>
      </c>
      <c r="AG191" s="83">
        <f t="shared" si="125"/>
        <v>0</v>
      </c>
      <c r="AH191" s="83">
        <f t="shared" si="125"/>
        <v>0</v>
      </c>
      <c r="AI191" s="83">
        <f t="shared" si="125"/>
        <v>0</v>
      </c>
      <c r="AJ191" s="83">
        <f t="shared" si="125"/>
        <v>0</v>
      </c>
      <c r="AK191" s="83">
        <v>0</v>
      </c>
      <c r="AL191" s="83">
        <v>0</v>
      </c>
      <c r="AM191" s="83">
        <v>0</v>
      </c>
      <c r="AN191" s="83">
        <v>0</v>
      </c>
      <c r="AO191" s="83">
        <v>0</v>
      </c>
      <c r="AP191" s="409"/>
      <c r="AQ191" s="259"/>
    </row>
    <row r="192" spans="1:43" s="266" customFormat="1" ht="15.75" hidden="1" x14ac:dyDescent="0.25">
      <c r="A192" s="324"/>
      <c r="B192" s="252" t="s">
        <v>233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83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83"/>
      <c r="Z192" s="259"/>
      <c r="AA192" s="259"/>
      <c r="AB192" s="259"/>
      <c r="AC192" s="259"/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262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S193+U193+W193</f>
        <v>3000</v>
      </c>
      <c r="R193" s="259">
        <f>S193</f>
        <v>3000</v>
      </c>
      <c r="S193" s="259">
        <v>3000</v>
      </c>
      <c r="T193" s="259">
        <f>U193</f>
        <v>0</v>
      </c>
      <c r="U193" s="259">
        <v>0</v>
      </c>
      <c r="V193" s="259"/>
      <c r="W193" s="259">
        <v>0</v>
      </c>
      <c r="X193" s="259"/>
      <c r="Y193" s="259"/>
      <c r="Z193" s="259"/>
      <c r="AA193" s="259">
        <f>SUM(AB193:AC193)</f>
        <v>0</v>
      </c>
      <c r="AB193" s="259"/>
      <c r="AC193" s="259">
        <v>0</v>
      </c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s="266" customFormat="1" ht="15.75" hidden="1" x14ac:dyDescent="0.25">
      <c r="A194" s="324"/>
      <c r="B194" s="252" t="s">
        <v>263</v>
      </c>
      <c r="C194" s="253"/>
      <c r="D194" s="253"/>
      <c r="E194" s="253"/>
      <c r="F194" s="363"/>
      <c r="G194" s="255"/>
      <c r="H194" s="256"/>
      <c r="I194" s="368"/>
      <c r="J194" s="533"/>
      <c r="K194" s="534"/>
      <c r="L194" s="258"/>
      <c r="M194" s="259"/>
      <c r="N194" s="259"/>
      <c r="O194" s="259"/>
      <c r="P194" s="259"/>
      <c r="Q194" s="259">
        <v>0</v>
      </c>
      <c r="R194" s="259">
        <v>0</v>
      </c>
      <c r="S194" s="259">
        <v>0</v>
      </c>
      <c r="T194" s="259">
        <v>0</v>
      </c>
      <c r="U194" s="259">
        <v>0</v>
      </c>
      <c r="V194" s="259"/>
      <c r="W194" s="259"/>
      <c r="X194" s="259"/>
      <c r="Y194" s="259"/>
      <c r="Z194" s="259"/>
      <c r="AA194" s="259">
        <f>SUM(AB194:AC194)</f>
        <v>0</v>
      </c>
      <c r="AB194" s="259"/>
      <c r="AC194" s="259">
        <v>0</v>
      </c>
      <c r="AD194" s="259"/>
      <c r="AE194" s="259"/>
      <c r="AF194" s="259"/>
      <c r="AG194" s="259"/>
      <c r="AH194" s="259"/>
      <c r="AI194" s="259"/>
      <c r="AJ194" s="259"/>
      <c r="AK194" s="259"/>
      <c r="AL194" s="259"/>
      <c r="AM194" s="259"/>
      <c r="AN194" s="259"/>
      <c r="AO194" s="259"/>
      <c r="AP194" s="411"/>
      <c r="AQ194" s="259"/>
    </row>
    <row r="195" spans="1:43" s="266" customFormat="1" ht="15.75" hidden="1" x14ac:dyDescent="0.25">
      <c r="A195" s="324"/>
      <c r="B195" s="252" t="s">
        <v>292</v>
      </c>
      <c r="C195" s="253"/>
      <c r="D195" s="253"/>
      <c r="E195" s="253"/>
      <c r="F195" s="363"/>
      <c r="G195" s="255"/>
      <c r="H195" s="256"/>
      <c r="I195" s="368"/>
      <c r="J195" s="533"/>
      <c r="K195" s="534"/>
      <c r="L195" s="258"/>
      <c r="M195" s="259"/>
      <c r="N195" s="259"/>
      <c r="O195" s="259"/>
      <c r="P195" s="259"/>
      <c r="Q195" s="259">
        <f>Y195</f>
        <v>0</v>
      </c>
      <c r="R195" s="259"/>
      <c r="S195" s="259"/>
      <c r="T195" s="259"/>
      <c r="U195" s="259"/>
      <c r="V195" s="259"/>
      <c r="W195" s="259"/>
      <c r="X195" s="259">
        <f>Y195</f>
        <v>0</v>
      </c>
      <c r="Y195" s="259">
        <v>0</v>
      </c>
      <c r="Z195" s="259"/>
      <c r="AA195" s="259">
        <f>SUM(AB195:AE195)</f>
        <v>0</v>
      </c>
      <c r="AB195" s="259"/>
      <c r="AC195" s="259"/>
      <c r="AD195" s="259"/>
      <c r="AE195" s="259">
        <v>0</v>
      </c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  <c r="AP195" s="411"/>
      <c r="AQ195" s="259"/>
    </row>
    <row r="196" spans="1:43" s="266" customFormat="1" ht="15.75" hidden="1" x14ac:dyDescent="0.25">
      <c r="A196" s="324"/>
      <c r="B196" s="252" t="s">
        <v>293</v>
      </c>
      <c r="C196" s="253"/>
      <c r="D196" s="253"/>
      <c r="E196" s="253"/>
      <c r="F196" s="363"/>
      <c r="G196" s="255"/>
      <c r="H196" s="256"/>
      <c r="I196" s="368"/>
      <c r="J196" s="533"/>
      <c r="K196" s="534"/>
      <c r="L196" s="258"/>
      <c r="M196" s="259"/>
      <c r="N196" s="259"/>
      <c r="O196" s="259"/>
      <c r="P196" s="259"/>
      <c r="Q196" s="259">
        <f>Y196</f>
        <v>0</v>
      </c>
      <c r="R196" s="259"/>
      <c r="S196" s="259"/>
      <c r="T196" s="259"/>
      <c r="U196" s="259"/>
      <c r="V196" s="259"/>
      <c r="W196" s="259"/>
      <c r="X196" s="259">
        <f>Y196</f>
        <v>0</v>
      </c>
      <c r="Y196" s="259">
        <v>0</v>
      </c>
      <c r="Z196" s="259"/>
      <c r="AA196" s="259">
        <f>SUM(AB196:AE196)</f>
        <v>0</v>
      </c>
      <c r="AB196" s="259"/>
      <c r="AC196" s="259"/>
      <c r="AD196" s="259"/>
      <c r="AE196" s="259">
        <v>0</v>
      </c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259"/>
      <c r="AP196" s="411"/>
      <c r="AQ196" s="259"/>
    </row>
    <row r="197" spans="1:43" ht="17.25" customHeight="1" x14ac:dyDescent="0.25">
      <c r="A197" s="1215"/>
      <c r="B197" s="42" t="s">
        <v>32</v>
      </c>
      <c r="C197" s="334"/>
      <c r="D197" s="334"/>
      <c r="E197" s="334"/>
      <c r="F197" s="313"/>
      <c r="G197" s="335"/>
      <c r="H197" s="336"/>
      <c r="I197" s="1218" t="s">
        <v>10</v>
      </c>
      <c r="J197" s="1260"/>
      <c r="K197" s="649"/>
      <c r="L197" s="1246">
        <v>195485</v>
      </c>
      <c r="M197" s="1246">
        <v>195485</v>
      </c>
      <c r="N197" s="1246">
        <v>195485</v>
      </c>
      <c r="O197" s="1246">
        <v>195485</v>
      </c>
      <c r="P197" s="1246">
        <v>0</v>
      </c>
      <c r="Q197" s="83"/>
      <c r="R197" s="83"/>
      <c r="S197" s="83"/>
      <c r="T197" s="83"/>
      <c r="U197" s="83"/>
      <c r="V197" s="83"/>
      <c r="W197" s="83"/>
      <c r="X197" s="83"/>
      <c r="Y197" s="83"/>
      <c r="Z197" s="259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259"/>
    </row>
    <row r="198" spans="1:43" s="327" customFormat="1" ht="25.5" x14ac:dyDescent="0.25">
      <c r="A198" s="1256"/>
      <c r="B198" s="772" t="s">
        <v>409</v>
      </c>
      <c r="C198" s="809"/>
      <c r="D198" s="809"/>
      <c r="E198" s="809"/>
      <c r="F198" s="312"/>
      <c r="G198" s="775"/>
      <c r="H198" s="810"/>
      <c r="I198" s="1258"/>
      <c r="J198" s="283"/>
      <c r="K198" s="811"/>
      <c r="L198" s="1238"/>
      <c r="M198" s="1238"/>
      <c r="N198" s="1238"/>
      <c r="O198" s="1238"/>
      <c r="P198" s="1238">
        <f>P199+P200</f>
        <v>12759.949999999999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1215"/>
      <c r="B199" s="42" t="s">
        <v>39</v>
      </c>
      <c r="C199" s="334"/>
      <c r="D199" s="334"/>
      <c r="E199" s="334"/>
      <c r="F199" s="313"/>
      <c r="G199" s="335"/>
      <c r="H199" s="336"/>
      <c r="I199" s="1218"/>
      <c r="J199" s="1260"/>
      <c r="K199" s="649"/>
      <c r="L199" s="1246"/>
      <c r="M199" s="1246"/>
      <c r="N199" s="1246"/>
      <c r="O199" s="1246"/>
      <c r="P199" s="1246">
        <v>1652.72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1215"/>
      <c r="B200" s="42" t="s">
        <v>32</v>
      </c>
      <c r="C200" s="334"/>
      <c r="D200" s="334"/>
      <c r="E200" s="334"/>
      <c r="F200" s="313"/>
      <c r="G200" s="335"/>
      <c r="H200" s="336"/>
      <c r="I200" s="1220"/>
      <c r="J200" s="1260"/>
      <c r="K200" s="649"/>
      <c r="L200" s="1246"/>
      <c r="M200" s="83"/>
      <c r="N200" s="83"/>
      <c r="O200" s="83"/>
      <c r="P200" s="83">
        <v>11107.23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15.75" x14ac:dyDescent="0.25">
      <c r="A201" s="1256"/>
      <c r="B201" s="772" t="s">
        <v>410</v>
      </c>
      <c r="C201" s="809"/>
      <c r="D201" s="809"/>
      <c r="E201" s="809"/>
      <c r="F201" s="312"/>
      <c r="G201" s="775"/>
      <c r="H201" s="810"/>
      <c r="I201" s="1258"/>
      <c r="J201" s="283"/>
      <c r="K201" s="811"/>
      <c r="L201" s="1238"/>
      <c r="M201" s="1238"/>
      <c r="N201" s="1238"/>
      <c r="O201" s="1238"/>
      <c r="P201" s="1238">
        <f>P202+P203</f>
        <v>21627.71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1215"/>
      <c r="B202" s="42" t="s">
        <v>39</v>
      </c>
      <c r="C202" s="334"/>
      <c r="D202" s="334"/>
      <c r="E202" s="334"/>
      <c r="F202" s="313"/>
      <c r="G202" s="335"/>
      <c r="H202" s="336"/>
      <c r="I202" s="1218"/>
      <c r="J202" s="1260"/>
      <c r="K202" s="649"/>
      <c r="L202" s="1246"/>
      <c r="M202" s="1246"/>
      <c r="N202" s="1246"/>
      <c r="O202" s="1246"/>
      <c r="P202" s="1246">
        <v>1821.34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1215"/>
      <c r="B203" s="42" t="s">
        <v>16</v>
      </c>
      <c r="C203" s="334"/>
      <c r="D203" s="334"/>
      <c r="E203" s="334"/>
      <c r="F203" s="313"/>
      <c r="G203" s="335"/>
      <c r="H203" s="336"/>
      <c r="I203" s="1220"/>
      <c r="J203" s="1260"/>
      <c r="K203" s="649"/>
      <c r="L203" s="1246"/>
      <c r="M203" s="83"/>
      <c r="N203" s="83"/>
      <c r="O203" s="83"/>
      <c r="P203" s="83">
        <v>19806.37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s="327" customFormat="1" ht="25.5" x14ac:dyDescent="0.25">
      <c r="A204" s="1256"/>
      <c r="B204" s="772" t="s">
        <v>411</v>
      </c>
      <c r="C204" s="809"/>
      <c r="D204" s="809"/>
      <c r="E204" s="809"/>
      <c r="F204" s="312"/>
      <c r="G204" s="775"/>
      <c r="H204" s="810"/>
      <c r="I204" s="1258"/>
      <c r="J204" s="283"/>
      <c r="K204" s="811"/>
      <c r="L204" s="1238"/>
      <c r="M204" s="1238"/>
      <c r="N204" s="1238"/>
      <c r="O204" s="1238"/>
      <c r="P204" s="1238">
        <f>P205+P206</f>
        <v>12759.59</v>
      </c>
      <c r="Q204" s="816">
        <v>0</v>
      </c>
      <c r="R204" s="816"/>
      <c r="S204" s="816"/>
      <c r="T204" s="816"/>
      <c r="U204" s="816"/>
      <c r="V204" s="816"/>
      <c r="W204" s="816"/>
      <c r="X204" s="816"/>
      <c r="Y204" s="816"/>
      <c r="Z204" s="817"/>
      <c r="AA204" s="816">
        <v>0</v>
      </c>
      <c r="AB204" s="816"/>
      <c r="AC204" s="816"/>
      <c r="AD204" s="816"/>
      <c r="AE204" s="816"/>
      <c r="AF204" s="816"/>
      <c r="AG204" s="816"/>
      <c r="AH204" s="816"/>
      <c r="AI204" s="816"/>
      <c r="AJ204" s="816"/>
      <c r="AK204" s="816"/>
      <c r="AL204" s="816"/>
      <c r="AM204" s="816"/>
      <c r="AN204" s="816"/>
      <c r="AO204" s="816"/>
      <c r="AP204" s="818"/>
      <c r="AQ204" s="817"/>
    </row>
    <row r="205" spans="1:43" ht="15.75" x14ac:dyDescent="0.25">
      <c r="A205" s="1215"/>
      <c r="B205" s="42" t="s">
        <v>39</v>
      </c>
      <c r="C205" s="334"/>
      <c r="D205" s="334"/>
      <c r="E205" s="334"/>
      <c r="F205" s="313"/>
      <c r="G205" s="335"/>
      <c r="H205" s="336"/>
      <c r="I205" s="1218"/>
      <c r="J205" s="1260"/>
      <c r="K205" s="649"/>
      <c r="L205" s="1246"/>
      <c r="M205" s="1246"/>
      <c r="N205" s="1246"/>
      <c r="O205" s="1246"/>
      <c r="P205" s="1246">
        <v>1652.36</v>
      </c>
      <c r="Q205" s="83">
        <v>0</v>
      </c>
      <c r="R205" s="83"/>
      <c r="S205" s="83"/>
      <c r="T205" s="83"/>
      <c r="U205" s="83"/>
      <c r="V205" s="83"/>
      <c r="W205" s="83"/>
      <c r="X205" s="83"/>
      <c r="Y205" s="83"/>
      <c r="Z205" s="259"/>
      <c r="AA205" s="83">
        <v>0</v>
      </c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409"/>
      <c r="AQ205" s="259"/>
    </row>
    <row r="206" spans="1:43" ht="15.75" x14ac:dyDescent="0.25">
      <c r="A206" s="1215"/>
      <c r="B206" s="42" t="s">
        <v>32</v>
      </c>
      <c r="C206" s="334"/>
      <c r="D206" s="334"/>
      <c r="E206" s="334"/>
      <c r="F206" s="313"/>
      <c r="G206" s="335"/>
      <c r="H206" s="336"/>
      <c r="I206" s="1220"/>
      <c r="J206" s="1260"/>
      <c r="K206" s="649"/>
      <c r="L206" s="1246"/>
      <c r="M206" s="83"/>
      <c r="N206" s="83"/>
      <c r="O206" s="83"/>
      <c r="P206" s="83">
        <v>11107.23</v>
      </c>
      <c r="Q206" s="83">
        <v>0</v>
      </c>
      <c r="R206" s="83"/>
      <c r="S206" s="83"/>
      <c r="T206" s="83"/>
      <c r="U206" s="83"/>
      <c r="V206" s="83"/>
      <c r="W206" s="83"/>
      <c r="X206" s="83"/>
      <c r="Y206" s="83"/>
      <c r="Z206" s="83"/>
      <c r="AA206" s="83">
        <v>0</v>
      </c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409"/>
      <c r="AQ206" s="83"/>
    </row>
    <row r="207" spans="1:43" ht="43.5" hidden="1" customHeight="1" x14ac:dyDescent="0.25">
      <c r="A207" s="1535" t="s">
        <v>24</v>
      </c>
      <c r="B207" s="1613" t="s">
        <v>206</v>
      </c>
      <c r="C207" s="1614"/>
      <c r="D207" s="1614"/>
      <c r="E207" s="1614"/>
      <c r="F207" s="1614"/>
      <c r="G207" s="1614"/>
      <c r="H207" s="1615"/>
      <c r="I207" s="23" t="s">
        <v>19</v>
      </c>
      <c r="J207" s="1260">
        <v>0</v>
      </c>
      <c r="K207" s="1260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ht="41.25" hidden="1" customHeight="1" x14ac:dyDescent="0.25">
      <c r="A208" s="1535"/>
      <c r="B208" s="1616"/>
      <c r="C208" s="1617"/>
      <c r="D208" s="1617"/>
      <c r="E208" s="1617"/>
      <c r="F208" s="1617"/>
      <c r="G208" s="1617"/>
      <c r="H208" s="1618"/>
      <c r="I208" s="23" t="s">
        <v>20</v>
      </c>
      <c r="J208" s="1260">
        <f>J211</f>
        <v>6379.79</v>
      </c>
      <c r="K208" s="1260">
        <f>K211</f>
        <v>0</v>
      </c>
      <c r="L208" s="47">
        <f t="shared" ref="L208:AK208" si="126">L211+L216+L222</f>
        <v>13097.62</v>
      </c>
      <c r="M208" s="47">
        <f t="shared" si="126"/>
        <v>4269.0300000000007</v>
      </c>
      <c r="N208" s="47">
        <f t="shared" si="126"/>
        <v>5370.84</v>
      </c>
      <c r="O208" s="47">
        <f t="shared" si="126"/>
        <v>3372.5</v>
      </c>
      <c r="P208" s="47">
        <f t="shared" si="126"/>
        <v>78556.570000000007</v>
      </c>
      <c r="Q208" s="47">
        <f t="shared" si="126"/>
        <v>0</v>
      </c>
      <c r="R208" s="47">
        <f t="shared" si="126"/>
        <v>0</v>
      </c>
      <c r="S208" s="47">
        <f t="shared" si="126"/>
        <v>0</v>
      </c>
      <c r="T208" s="47">
        <f t="shared" si="126"/>
        <v>753.46</v>
      </c>
      <c r="U208" s="47">
        <f t="shared" si="126"/>
        <v>753.46</v>
      </c>
      <c r="V208" s="47">
        <f t="shared" si="126"/>
        <v>4173.82</v>
      </c>
      <c r="W208" s="47">
        <f t="shared" si="126"/>
        <v>4173.82</v>
      </c>
      <c r="X208" s="47">
        <f t="shared" si="126"/>
        <v>0</v>
      </c>
      <c r="Y208" s="47">
        <f t="shared" si="126"/>
        <v>0</v>
      </c>
      <c r="Z208" s="96"/>
      <c r="AA208" s="47">
        <f t="shared" si="126"/>
        <v>0</v>
      </c>
      <c r="AB208" s="47">
        <f t="shared" si="126"/>
        <v>0</v>
      </c>
      <c r="AC208" s="47">
        <f t="shared" si="126"/>
        <v>753.46</v>
      </c>
      <c r="AD208" s="47">
        <f t="shared" si="126"/>
        <v>4900</v>
      </c>
      <c r="AE208" s="47">
        <f t="shared" si="126"/>
        <v>0</v>
      </c>
      <c r="AF208" s="47">
        <f t="shared" si="126"/>
        <v>0</v>
      </c>
      <c r="AG208" s="47">
        <f t="shared" si="126"/>
        <v>0</v>
      </c>
      <c r="AH208" s="47">
        <f t="shared" si="126"/>
        <v>0</v>
      </c>
      <c r="AI208" s="47">
        <f t="shared" si="126"/>
        <v>0</v>
      </c>
      <c r="AJ208" s="47">
        <f t="shared" si="126"/>
        <v>0</v>
      </c>
      <c r="AK208" s="47">
        <f t="shared" si="126"/>
        <v>78556.570000000007</v>
      </c>
      <c r="AL208" s="47">
        <f>AL211</f>
        <v>78556.570000000007</v>
      </c>
      <c r="AM208" s="47">
        <f>AM211</f>
        <v>0</v>
      </c>
      <c r="AN208" s="47">
        <f>AN211</f>
        <v>0</v>
      </c>
      <c r="AO208" s="47">
        <f>AO211</f>
        <v>0</v>
      </c>
      <c r="AP208" s="397"/>
      <c r="AQ208" s="96"/>
    </row>
    <row r="209" spans="1:43" ht="38.25" hidden="1" customHeight="1" x14ac:dyDescent="0.25">
      <c r="A209" s="1535"/>
      <c r="B209" s="1616"/>
      <c r="C209" s="1617"/>
      <c r="D209" s="1617"/>
      <c r="E209" s="1617"/>
      <c r="F209" s="1617"/>
      <c r="G209" s="1617"/>
      <c r="H209" s="1618"/>
      <c r="I209" s="23" t="s">
        <v>10</v>
      </c>
      <c r="J209" s="1260">
        <v>0</v>
      </c>
      <c r="K209" s="1260">
        <v>0</v>
      </c>
      <c r="L209" s="47">
        <f>L228+L230</f>
        <v>2305.4499999999998</v>
      </c>
      <c r="M209" s="47">
        <f>M228+M230</f>
        <v>1650.1</v>
      </c>
      <c r="N209" s="47">
        <f t="shared" ref="N209:AJ209" si="127">N228+N230</f>
        <v>0</v>
      </c>
      <c r="O209" s="47">
        <f t="shared" si="127"/>
        <v>0</v>
      </c>
      <c r="P209" s="47">
        <f t="shared" si="127"/>
        <v>0</v>
      </c>
      <c r="Q209" s="47">
        <f t="shared" si="127"/>
        <v>99.9</v>
      </c>
      <c r="R209" s="47">
        <f t="shared" si="127"/>
        <v>0</v>
      </c>
      <c r="S209" s="47">
        <f t="shared" si="127"/>
        <v>0</v>
      </c>
      <c r="T209" s="47">
        <f t="shared" si="127"/>
        <v>0</v>
      </c>
      <c r="U209" s="47">
        <f t="shared" si="127"/>
        <v>0</v>
      </c>
      <c r="V209" s="47">
        <f t="shared" si="127"/>
        <v>0</v>
      </c>
      <c r="W209" s="47">
        <f t="shared" si="127"/>
        <v>0</v>
      </c>
      <c r="X209" s="47">
        <f t="shared" si="127"/>
        <v>0</v>
      </c>
      <c r="Y209" s="47">
        <f t="shared" si="127"/>
        <v>0</v>
      </c>
      <c r="Z209" s="96"/>
      <c r="AA209" s="47">
        <f t="shared" si="127"/>
        <v>99.9</v>
      </c>
      <c r="AB209" s="47">
        <f t="shared" si="127"/>
        <v>0</v>
      </c>
      <c r="AC209" s="47">
        <f t="shared" si="127"/>
        <v>0</v>
      </c>
      <c r="AD209" s="47">
        <f t="shared" si="127"/>
        <v>0</v>
      </c>
      <c r="AE209" s="47">
        <f t="shared" si="127"/>
        <v>0</v>
      </c>
      <c r="AF209" s="47">
        <f t="shared" si="127"/>
        <v>0</v>
      </c>
      <c r="AG209" s="47">
        <f t="shared" si="127"/>
        <v>0</v>
      </c>
      <c r="AH209" s="47">
        <f t="shared" si="127"/>
        <v>0</v>
      </c>
      <c r="AI209" s="47">
        <f t="shared" si="127"/>
        <v>0</v>
      </c>
      <c r="AJ209" s="47">
        <f t="shared" si="127"/>
        <v>0</v>
      </c>
      <c r="AK209" s="47">
        <v>0</v>
      </c>
      <c r="AL209" s="47">
        <v>0</v>
      </c>
      <c r="AM209" s="47">
        <v>0</v>
      </c>
      <c r="AN209" s="47">
        <v>0</v>
      </c>
      <c r="AO209" s="47">
        <v>0</v>
      </c>
      <c r="AP209" s="397"/>
      <c r="AQ209" s="96"/>
    </row>
    <row r="210" spans="1:43" ht="25.5" hidden="1" x14ac:dyDescent="0.25">
      <c r="A210" s="1535"/>
      <c r="B210" s="1619"/>
      <c r="C210" s="1620"/>
      <c r="D210" s="1620"/>
      <c r="E210" s="1620"/>
      <c r="F210" s="1620"/>
      <c r="G210" s="1620"/>
      <c r="H210" s="1621"/>
      <c r="I210" s="23" t="s">
        <v>9</v>
      </c>
      <c r="J210" s="1260">
        <v>0</v>
      </c>
      <c r="K210" s="1260">
        <v>0</v>
      </c>
      <c r="L210" s="47">
        <v>0</v>
      </c>
      <c r="M210" s="47">
        <v>0</v>
      </c>
      <c r="N210" s="47">
        <v>0</v>
      </c>
      <c r="O210" s="47">
        <v>1</v>
      </c>
      <c r="P210" s="47">
        <v>0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96"/>
      <c r="AA210" s="47">
        <v>0</v>
      </c>
      <c r="AB210" s="47">
        <v>0</v>
      </c>
      <c r="AC210" s="47">
        <v>0</v>
      </c>
      <c r="AD210" s="47">
        <v>0</v>
      </c>
      <c r="AE210" s="47">
        <v>0</v>
      </c>
      <c r="AF210" s="47">
        <v>0</v>
      </c>
      <c r="AG210" s="47">
        <v>0</v>
      </c>
      <c r="AH210" s="47">
        <v>0</v>
      </c>
      <c r="AI210" s="47">
        <v>0</v>
      </c>
      <c r="AJ210" s="47">
        <v>0</v>
      </c>
      <c r="AK210" s="47">
        <v>0</v>
      </c>
      <c r="AL210" s="47">
        <v>0</v>
      </c>
      <c r="AM210" s="47">
        <v>0</v>
      </c>
      <c r="AN210" s="47">
        <v>0</v>
      </c>
      <c r="AO210" s="47">
        <v>0</v>
      </c>
      <c r="AP210" s="397"/>
      <c r="AQ210" s="96"/>
    </row>
    <row r="211" spans="1:43" s="327" customFormat="1" ht="33" customHeight="1" x14ac:dyDescent="0.25">
      <c r="A211" s="1450" t="s">
        <v>30</v>
      </c>
      <c r="B211" s="780" t="s">
        <v>173</v>
      </c>
      <c r="C211" s="1326">
        <v>300</v>
      </c>
      <c r="D211" s="1326">
        <v>570</v>
      </c>
      <c r="E211" s="1326"/>
      <c r="F211" s="1326"/>
      <c r="G211" s="778"/>
      <c r="H211" s="778"/>
      <c r="I211" s="1463" t="s">
        <v>20</v>
      </c>
      <c r="J211" s="1622">
        <v>6379.79</v>
      </c>
      <c r="K211" s="3">
        <v>0</v>
      </c>
      <c r="L211" s="3">
        <f t="shared" ref="L211:AJ211" si="128">L212+L215</f>
        <v>5597.58</v>
      </c>
      <c r="M211" s="3">
        <f t="shared" si="128"/>
        <v>0</v>
      </c>
      <c r="N211" s="3">
        <f t="shared" si="128"/>
        <v>5370.84</v>
      </c>
      <c r="O211" s="3">
        <f t="shared" si="128"/>
        <v>3372.5</v>
      </c>
      <c r="P211" s="3">
        <f t="shared" si="128"/>
        <v>78556.570000000007</v>
      </c>
      <c r="Q211" s="3">
        <f t="shared" si="128"/>
        <v>0</v>
      </c>
      <c r="R211" s="3">
        <f t="shared" si="128"/>
        <v>0</v>
      </c>
      <c r="S211" s="3">
        <f t="shared" si="128"/>
        <v>0</v>
      </c>
      <c r="T211" s="3">
        <f t="shared" si="128"/>
        <v>753.46</v>
      </c>
      <c r="U211" s="3">
        <f t="shared" si="128"/>
        <v>753.46</v>
      </c>
      <c r="V211" s="3">
        <f t="shared" si="128"/>
        <v>4173.82</v>
      </c>
      <c r="W211" s="3">
        <f t="shared" si="128"/>
        <v>4173.82</v>
      </c>
      <c r="X211" s="3">
        <f t="shared" si="128"/>
        <v>0</v>
      </c>
      <c r="Y211" s="3">
        <f t="shared" si="128"/>
        <v>0</v>
      </c>
      <c r="Z211" s="95">
        <v>0</v>
      </c>
      <c r="AA211" s="3">
        <f t="shared" si="128"/>
        <v>0</v>
      </c>
      <c r="AB211" s="3">
        <f t="shared" si="128"/>
        <v>0</v>
      </c>
      <c r="AC211" s="3">
        <f t="shared" si="128"/>
        <v>753.46</v>
      </c>
      <c r="AD211" s="3">
        <f t="shared" si="128"/>
        <v>4900</v>
      </c>
      <c r="AE211" s="3">
        <f t="shared" si="128"/>
        <v>0</v>
      </c>
      <c r="AF211" s="3">
        <f t="shared" si="128"/>
        <v>0</v>
      </c>
      <c r="AG211" s="3">
        <f t="shared" si="128"/>
        <v>0</v>
      </c>
      <c r="AH211" s="3">
        <f t="shared" si="128"/>
        <v>0</v>
      </c>
      <c r="AI211" s="3">
        <f t="shared" si="128"/>
        <v>0</v>
      </c>
      <c r="AJ211" s="3">
        <f t="shared" si="128"/>
        <v>0</v>
      </c>
      <c r="AK211" s="3">
        <f>P211-Q211</f>
        <v>78556.570000000007</v>
      </c>
      <c r="AL211" s="3">
        <f>AK211</f>
        <v>78556.570000000007</v>
      </c>
      <c r="AM211" s="318">
        <f>ROUND((Q211*100%/P211*100),2)</f>
        <v>0</v>
      </c>
      <c r="AN211" s="3">
        <f>AN212+AN215</f>
        <v>0</v>
      </c>
      <c r="AO211" s="3">
        <f>AO212+AO215</f>
        <v>0</v>
      </c>
      <c r="AP211" s="633" t="s">
        <v>245</v>
      </c>
      <c r="AQ211" s="95">
        <v>0</v>
      </c>
    </row>
    <row r="212" spans="1:43" x14ac:dyDescent="0.25">
      <c r="A212" s="1399"/>
      <c r="B212" s="1" t="s">
        <v>15</v>
      </c>
      <c r="C212" s="1327"/>
      <c r="D212" s="1327"/>
      <c r="E212" s="1327"/>
      <c r="F212" s="1327"/>
      <c r="G212" s="1236">
        <v>2019</v>
      </c>
      <c r="H212" s="1236">
        <v>2019</v>
      </c>
      <c r="I212" s="1464"/>
      <c r="J212" s="1623"/>
      <c r="K212" s="47"/>
      <c r="L212" s="47">
        <v>5597.58</v>
      </c>
      <c r="M212" s="50">
        <v>0</v>
      </c>
      <c r="N212" s="50">
        <v>5370.84</v>
      </c>
      <c r="O212" s="50">
        <v>0</v>
      </c>
      <c r="P212" s="447">
        <v>89.08</v>
      </c>
      <c r="Q212" s="447">
        <v>0</v>
      </c>
      <c r="R212" s="447">
        <f t="shared" ref="R212:AD212" si="129">SUM(R213:R214)</f>
        <v>0</v>
      </c>
      <c r="S212" s="447">
        <f t="shared" si="129"/>
        <v>0</v>
      </c>
      <c r="T212" s="447">
        <f t="shared" si="129"/>
        <v>753.46</v>
      </c>
      <c r="U212" s="447">
        <f t="shared" si="129"/>
        <v>753.46</v>
      </c>
      <c r="V212" s="447">
        <f t="shared" si="129"/>
        <v>4173.82</v>
      </c>
      <c r="W212" s="447">
        <f t="shared" si="129"/>
        <v>4173.82</v>
      </c>
      <c r="X212" s="447">
        <f t="shared" si="129"/>
        <v>0</v>
      </c>
      <c r="Y212" s="447">
        <f t="shared" si="129"/>
        <v>0</v>
      </c>
      <c r="Z212" s="584"/>
      <c r="AA212" s="447">
        <v>0</v>
      </c>
      <c r="AB212" s="447">
        <f t="shared" si="129"/>
        <v>0</v>
      </c>
      <c r="AC212" s="447">
        <f t="shared" si="129"/>
        <v>753.46</v>
      </c>
      <c r="AD212" s="447">
        <f t="shared" si="129"/>
        <v>4900</v>
      </c>
      <c r="AE212" s="50">
        <f t="shared" ref="AE212:AO212" si="130">SUM(AE214)</f>
        <v>0</v>
      </c>
      <c r="AF212" s="50">
        <f>SUM(AF214)</f>
        <v>0</v>
      </c>
      <c r="AG212" s="50">
        <f>SUM(AG214)</f>
        <v>0</v>
      </c>
      <c r="AH212" s="50">
        <f>SUM(AH214)</f>
        <v>0</v>
      </c>
      <c r="AI212" s="50">
        <f>SUM(AI214)</f>
        <v>0</v>
      </c>
      <c r="AJ212" s="50">
        <f>SUM(AJ214)</f>
        <v>0</v>
      </c>
      <c r="AK212" s="50">
        <f t="shared" si="130"/>
        <v>0</v>
      </c>
      <c r="AL212" s="50">
        <f t="shared" si="130"/>
        <v>0</v>
      </c>
      <c r="AM212" s="50">
        <f t="shared" si="130"/>
        <v>0</v>
      </c>
      <c r="AN212" s="50">
        <f t="shared" si="130"/>
        <v>0</v>
      </c>
      <c r="AO212" s="50">
        <f t="shared" si="130"/>
        <v>0</v>
      </c>
      <c r="AP212" s="412"/>
      <c r="AQ212" s="584"/>
    </row>
    <row r="213" spans="1:43" s="266" customFormat="1" hidden="1" x14ac:dyDescent="0.25">
      <c r="A213" s="1399"/>
      <c r="B213" s="92" t="s">
        <v>322</v>
      </c>
      <c r="C213" s="1327"/>
      <c r="D213" s="1327"/>
      <c r="E213" s="1327"/>
      <c r="F213" s="1327"/>
      <c r="G213" s="104"/>
      <c r="H213" s="104"/>
      <c r="I213" s="1464"/>
      <c r="J213" s="1623"/>
      <c r="K213" s="96"/>
      <c r="L213" s="96"/>
      <c r="M213" s="263"/>
      <c r="N213" s="263"/>
      <c r="O213" s="263"/>
      <c r="P213" s="584"/>
      <c r="Q213" s="584">
        <f>V213</f>
        <v>4173.82</v>
      </c>
      <c r="R213" s="584"/>
      <c r="S213" s="584"/>
      <c r="T213" s="584"/>
      <c r="U213" s="584"/>
      <c r="V213" s="584">
        <f>W213</f>
        <v>4173.82</v>
      </c>
      <c r="W213" s="584">
        <v>4173.82</v>
      </c>
      <c r="X213" s="584"/>
      <c r="Y213" s="584"/>
      <c r="Z213" s="584"/>
      <c r="AA213" s="584">
        <f>AD213</f>
        <v>4900</v>
      </c>
      <c r="AB213" s="584"/>
      <c r="AC213" s="584"/>
      <c r="AD213" s="584">
        <v>4900</v>
      </c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413"/>
      <c r="AQ213" s="584"/>
    </row>
    <row r="214" spans="1:43" s="266" customFormat="1" hidden="1" x14ac:dyDescent="0.25">
      <c r="A214" s="1399"/>
      <c r="B214" s="92" t="s">
        <v>267</v>
      </c>
      <c r="C214" s="1327"/>
      <c r="D214" s="1327"/>
      <c r="E214" s="1327"/>
      <c r="F214" s="1327"/>
      <c r="G214" s="104"/>
      <c r="H214" s="104"/>
      <c r="I214" s="1464"/>
      <c r="J214" s="1623"/>
      <c r="K214" s="96"/>
      <c r="L214" s="96"/>
      <c r="M214" s="263"/>
      <c r="N214" s="263"/>
      <c r="O214" s="263"/>
      <c r="P214" s="263"/>
      <c r="Q214" s="263">
        <f>S214+U214</f>
        <v>753.46</v>
      </c>
      <c r="R214" s="263"/>
      <c r="S214" s="263"/>
      <c r="T214" s="263">
        <f>U214</f>
        <v>753.46</v>
      </c>
      <c r="U214" s="263">
        <f>ROUND((904.153/1.2),2)</f>
        <v>753.46</v>
      </c>
      <c r="V214" s="263"/>
      <c r="W214" s="263"/>
      <c r="X214" s="263"/>
      <c r="Y214" s="263"/>
      <c r="Z214" s="263"/>
      <c r="AA214" s="263">
        <f>AC214</f>
        <v>753.46</v>
      </c>
      <c r="AB214" s="263"/>
      <c r="AC214" s="263">
        <v>753.46</v>
      </c>
      <c r="AD214" s="263"/>
      <c r="AE214" s="263"/>
      <c r="AF214" s="263">
        <f>SUM(AG214:AG214)</f>
        <v>0</v>
      </c>
      <c r="AG214" s="263"/>
      <c r="AH214" s="263"/>
      <c r="AI214" s="263"/>
      <c r="AJ214" s="263"/>
      <c r="AK214" s="263"/>
      <c r="AL214" s="263"/>
      <c r="AM214" s="263"/>
      <c r="AN214" s="263"/>
      <c r="AO214" s="263"/>
      <c r="AP214" s="413"/>
      <c r="AQ214" s="263"/>
    </row>
    <row r="215" spans="1:43" ht="15.75" customHeight="1" x14ac:dyDescent="0.25">
      <c r="A215" s="1488"/>
      <c r="B215" s="1213" t="s">
        <v>16</v>
      </c>
      <c r="C215" s="1328"/>
      <c r="D215" s="1328"/>
      <c r="E215" s="1328"/>
      <c r="F215" s="1328"/>
      <c r="G215" s="1236">
        <v>2021</v>
      </c>
      <c r="H215" s="1236">
        <v>2021</v>
      </c>
      <c r="I215" s="1465"/>
      <c r="J215" s="1624"/>
      <c r="K215" s="47"/>
      <c r="L215" s="47">
        <v>0</v>
      </c>
      <c r="M215" s="50">
        <v>0</v>
      </c>
      <c r="N215" s="50">
        <v>0</v>
      </c>
      <c r="O215" s="50">
        <v>3372.5</v>
      </c>
      <c r="P215" s="50">
        <v>78467.490000000005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263"/>
      <c r="AA215" s="50">
        <v>0</v>
      </c>
      <c r="AB215" s="50">
        <v>0</v>
      </c>
      <c r="AC215" s="50">
        <v>0</v>
      </c>
      <c r="AD215" s="50">
        <v>0</v>
      </c>
      <c r="AE215" s="50">
        <v>0</v>
      </c>
      <c r="AF215" s="50">
        <v>0</v>
      </c>
      <c r="AG215" s="50">
        <v>0</v>
      </c>
      <c r="AH215" s="50">
        <v>0</v>
      </c>
      <c r="AI215" s="50"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412"/>
      <c r="AQ215" s="263"/>
    </row>
    <row r="216" spans="1:43" s="327" customFormat="1" ht="42" customHeight="1" x14ac:dyDescent="0.25">
      <c r="A216" s="1649" t="s">
        <v>174</v>
      </c>
      <c r="B216" s="780" t="s">
        <v>175</v>
      </c>
      <c r="C216" s="133"/>
      <c r="D216" s="133"/>
      <c r="E216" s="133"/>
      <c r="F216" s="133"/>
      <c r="G216" s="778"/>
      <c r="H216" s="778"/>
      <c r="I216" s="1651" t="s">
        <v>20</v>
      </c>
      <c r="J216" s="1237"/>
      <c r="K216" s="3"/>
      <c r="L216" s="3">
        <f>L217</f>
        <v>3750.02</v>
      </c>
      <c r="M216" s="3">
        <f>M217</f>
        <v>1639</v>
      </c>
      <c r="N216" s="3">
        <f t="shared" ref="N216:AO216" si="131">N217</f>
        <v>0</v>
      </c>
      <c r="O216" s="3">
        <f t="shared" si="131"/>
        <v>0</v>
      </c>
      <c r="P216" s="3">
        <f t="shared" si="131"/>
        <v>0</v>
      </c>
      <c r="Q216" s="3">
        <f t="shared" si="131"/>
        <v>0</v>
      </c>
      <c r="R216" s="3">
        <f t="shared" si="131"/>
        <v>0</v>
      </c>
      <c r="S216" s="3">
        <f t="shared" si="131"/>
        <v>0</v>
      </c>
      <c r="T216" s="3">
        <f t="shared" si="131"/>
        <v>0</v>
      </c>
      <c r="U216" s="3">
        <f t="shared" si="131"/>
        <v>0</v>
      </c>
      <c r="V216" s="3">
        <f t="shared" si="131"/>
        <v>0</v>
      </c>
      <c r="W216" s="3">
        <f t="shared" si="131"/>
        <v>0</v>
      </c>
      <c r="X216" s="3">
        <f t="shared" si="131"/>
        <v>0</v>
      </c>
      <c r="Y216" s="3">
        <f t="shared" si="131"/>
        <v>0</v>
      </c>
      <c r="Z216" s="95">
        <v>0</v>
      </c>
      <c r="AA216" s="3">
        <f t="shared" si="131"/>
        <v>0</v>
      </c>
      <c r="AB216" s="3">
        <f t="shared" si="131"/>
        <v>0</v>
      </c>
      <c r="AC216" s="3">
        <f t="shared" si="131"/>
        <v>0</v>
      </c>
      <c r="AD216" s="3">
        <f t="shared" si="131"/>
        <v>0</v>
      </c>
      <c r="AE216" s="3">
        <f t="shared" si="131"/>
        <v>0</v>
      </c>
      <c r="AF216" s="3">
        <f t="shared" si="131"/>
        <v>0</v>
      </c>
      <c r="AG216" s="3">
        <f t="shared" si="131"/>
        <v>0</v>
      </c>
      <c r="AH216" s="3">
        <f t="shared" si="131"/>
        <v>0</v>
      </c>
      <c r="AI216" s="3">
        <f t="shared" si="131"/>
        <v>0</v>
      </c>
      <c r="AJ216" s="3">
        <f t="shared" si="131"/>
        <v>0</v>
      </c>
      <c r="AK216" s="3">
        <f t="shared" si="131"/>
        <v>0</v>
      </c>
      <c r="AL216" s="3">
        <f t="shared" si="131"/>
        <v>0</v>
      </c>
      <c r="AM216" s="3">
        <f t="shared" si="131"/>
        <v>0</v>
      </c>
      <c r="AN216" s="3">
        <f t="shared" si="131"/>
        <v>0</v>
      </c>
      <c r="AO216" s="3">
        <f t="shared" si="131"/>
        <v>0</v>
      </c>
      <c r="AP216" s="633" t="s">
        <v>256</v>
      </c>
      <c r="AQ216" s="95">
        <v>0</v>
      </c>
    </row>
    <row r="217" spans="1:43" s="327" customFormat="1" ht="15.75" hidden="1" customHeight="1" x14ac:dyDescent="0.25">
      <c r="A217" s="1650"/>
      <c r="B217" s="772" t="s">
        <v>15</v>
      </c>
      <c r="C217" s="133"/>
      <c r="D217" s="133"/>
      <c r="E217" s="133"/>
      <c r="F217" s="133"/>
      <c r="G217" s="312"/>
      <c r="H217" s="1231"/>
      <c r="I217" s="1652"/>
      <c r="J217" s="1237"/>
      <c r="K217" s="318"/>
      <c r="L217" s="3">
        <v>3750.02</v>
      </c>
      <c r="M217" s="3">
        <v>1639</v>
      </c>
      <c r="N217" s="3">
        <v>0</v>
      </c>
      <c r="O217" s="3">
        <v>0</v>
      </c>
      <c r="P217" s="3">
        <v>0</v>
      </c>
      <c r="Q217" s="819">
        <f>SUM(Q218:Q221)</f>
        <v>0</v>
      </c>
      <c r="R217" s="819">
        <f t="shared" ref="R217:AJ217" si="132">SUM(R218:R221)</f>
        <v>0</v>
      </c>
      <c r="S217" s="819">
        <f t="shared" si="132"/>
        <v>0</v>
      </c>
      <c r="T217" s="819">
        <f t="shared" si="132"/>
        <v>0</v>
      </c>
      <c r="U217" s="819">
        <f t="shared" si="132"/>
        <v>0</v>
      </c>
      <c r="V217" s="819">
        <f t="shared" si="132"/>
        <v>0</v>
      </c>
      <c r="W217" s="819">
        <f t="shared" si="132"/>
        <v>0</v>
      </c>
      <c r="X217" s="3">
        <v>0</v>
      </c>
      <c r="Y217" s="819">
        <f t="shared" si="132"/>
        <v>0</v>
      </c>
      <c r="Z217" s="820"/>
      <c r="AA217" s="819">
        <f t="shared" si="132"/>
        <v>0</v>
      </c>
      <c r="AB217" s="819">
        <f t="shared" si="132"/>
        <v>0</v>
      </c>
      <c r="AC217" s="819">
        <f t="shared" si="132"/>
        <v>0</v>
      </c>
      <c r="AD217" s="819">
        <f t="shared" si="132"/>
        <v>0</v>
      </c>
      <c r="AE217" s="819">
        <f t="shared" si="132"/>
        <v>0</v>
      </c>
      <c r="AF217" s="819">
        <f t="shared" si="132"/>
        <v>0</v>
      </c>
      <c r="AG217" s="819">
        <f t="shared" si="132"/>
        <v>0</v>
      </c>
      <c r="AH217" s="819">
        <f t="shared" si="132"/>
        <v>0</v>
      </c>
      <c r="AI217" s="819">
        <f t="shared" si="132"/>
        <v>0</v>
      </c>
      <c r="AJ217" s="819">
        <f t="shared" si="132"/>
        <v>0</v>
      </c>
      <c r="AK217" s="819">
        <f>SUM(AK218:AK221)</f>
        <v>0</v>
      </c>
      <c r="AL217" s="819">
        <f>SUM(AL218:AL221)</f>
        <v>0</v>
      </c>
      <c r="AM217" s="819">
        <f>SUM(AM218:AM221)</f>
        <v>0</v>
      </c>
      <c r="AN217" s="819">
        <f>SUM(AN218:AN221)</f>
        <v>0</v>
      </c>
      <c r="AO217" s="819">
        <f>SUM(AO218:AO221)</f>
        <v>0</v>
      </c>
      <c r="AP217" s="821"/>
      <c r="AQ217" s="820"/>
    </row>
    <row r="218" spans="1:43" s="827" customFormat="1" ht="15.75" hidden="1" customHeight="1" x14ac:dyDescent="0.25">
      <c r="A218" s="822"/>
      <c r="B218" s="823" t="s">
        <v>234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827" customFormat="1" ht="15.75" hidden="1" customHeight="1" x14ac:dyDescent="0.25">
      <c r="A219" s="822"/>
      <c r="B219" s="823" t="s">
        <v>235</v>
      </c>
      <c r="C219" s="369"/>
      <c r="D219" s="369"/>
      <c r="E219" s="369"/>
      <c r="F219" s="369"/>
      <c r="G219" s="254"/>
      <c r="H219" s="824"/>
      <c r="I219" s="825"/>
      <c r="J219" s="371"/>
      <c r="K219" s="372"/>
      <c r="L219" s="95"/>
      <c r="M219" s="95"/>
      <c r="N219" s="95"/>
      <c r="O219" s="95"/>
      <c r="P219" s="3"/>
      <c r="Q219" s="820">
        <f>Y219</f>
        <v>0</v>
      </c>
      <c r="R219" s="820"/>
      <c r="S219" s="820"/>
      <c r="T219" s="820"/>
      <c r="U219" s="820"/>
      <c r="V219" s="820"/>
      <c r="W219" s="820"/>
      <c r="X219" s="820">
        <v>0</v>
      </c>
      <c r="Y219" s="820">
        <v>0</v>
      </c>
      <c r="Z219" s="820"/>
      <c r="AA219" s="820">
        <v>0</v>
      </c>
      <c r="AB219" s="820">
        <v>0</v>
      </c>
      <c r="AC219" s="820"/>
      <c r="AD219" s="820"/>
      <c r="AE219" s="820"/>
      <c r="AF219" s="820"/>
      <c r="AG219" s="820"/>
      <c r="AH219" s="820"/>
      <c r="AI219" s="820"/>
      <c r="AJ219" s="820"/>
      <c r="AK219" s="820"/>
      <c r="AL219" s="820"/>
      <c r="AM219" s="820"/>
      <c r="AN219" s="820"/>
      <c r="AO219" s="820"/>
      <c r="AP219" s="826"/>
      <c r="AQ219" s="820"/>
    </row>
    <row r="220" spans="1:43" s="827" customFormat="1" ht="15.75" hidden="1" customHeight="1" x14ac:dyDescent="0.25">
      <c r="A220" s="822"/>
      <c r="B220" s="823" t="s">
        <v>236</v>
      </c>
      <c r="C220" s="369"/>
      <c r="D220" s="369"/>
      <c r="E220" s="369"/>
      <c r="F220" s="369"/>
      <c r="G220" s="254"/>
      <c r="H220" s="824"/>
      <c r="I220" s="825"/>
      <c r="J220" s="371"/>
      <c r="K220" s="372"/>
      <c r="L220" s="95"/>
      <c r="M220" s="95"/>
      <c r="N220" s="95"/>
      <c r="O220" s="95"/>
      <c r="P220" s="3"/>
      <c r="Q220" s="820">
        <f>Y220</f>
        <v>0</v>
      </c>
      <c r="R220" s="820"/>
      <c r="S220" s="820"/>
      <c r="T220" s="820"/>
      <c r="U220" s="820"/>
      <c r="V220" s="820"/>
      <c r="W220" s="820"/>
      <c r="X220" s="820">
        <v>0</v>
      </c>
      <c r="Y220" s="820">
        <v>0</v>
      </c>
      <c r="Z220" s="820"/>
      <c r="AA220" s="820">
        <v>0</v>
      </c>
      <c r="AB220" s="820">
        <v>0</v>
      </c>
      <c r="AC220" s="820"/>
      <c r="AD220" s="820"/>
      <c r="AE220" s="820"/>
      <c r="AF220" s="820"/>
      <c r="AG220" s="820"/>
      <c r="AH220" s="820"/>
      <c r="AI220" s="820"/>
      <c r="AJ220" s="820"/>
      <c r="AK220" s="820"/>
      <c r="AL220" s="820"/>
      <c r="AM220" s="820"/>
      <c r="AN220" s="820"/>
      <c r="AO220" s="820"/>
      <c r="AP220" s="826"/>
      <c r="AQ220" s="820"/>
    </row>
    <row r="221" spans="1:43" s="827" customFormat="1" ht="15.75" hidden="1" customHeight="1" x14ac:dyDescent="0.25">
      <c r="A221" s="822"/>
      <c r="B221" s="823" t="s">
        <v>237</v>
      </c>
      <c r="C221" s="369"/>
      <c r="D221" s="369"/>
      <c r="E221" s="369"/>
      <c r="F221" s="369"/>
      <c r="G221" s="254"/>
      <c r="H221" s="824"/>
      <c r="I221" s="825"/>
      <c r="J221" s="371"/>
      <c r="K221" s="372"/>
      <c r="L221" s="95"/>
      <c r="M221" s="95"/>
      <c r="N221" s="95"/>
      <c r="O221" s="95"/>
      <c r="P221" s="3"/>
      <c r="Q221" s="820">
        <f>Y221</f>
        <v>0</v>
      </c>
      <c r="R221" s="820"/>
      <c r="S221" s="820"/>
      <c r="T221" s="820"/>
      <c r="U221" s="820"/>
      <c r="V221" s="820"/>
      <c r="W221" s="820"/>
      <c r="X221" s="820">
        <v>0</v>
      </c>
      <c r="Y221" s="820">
        <v>0</v>
      </c>
      <c r="Z221" s="820"/>
      <c r="AA221" s="820">
        <v>0</v>
      </c>
      <c r="AB221" s="820">
        <v>0</v>
      </c>
      <c r="AC221" s="820"/>
      <c r="AD221" s="820"/>
      <c r="AE221" s="820"/>
      <c r="AF221" s="820"/>
      <c r="AG221" s="820"/>
      <c r="AH221" s="820"/>
      <c r="AI221" s="820"/>
      <c r="AJ221" s="820"/>
      <c r="AK221" s="820"/>
      <c r="AL221" s="820"/>
      <c r="AM221" s="820"/>
      <c r="AN221" s="820"/>
      <c r="AO221" s="820"/>
      <c r="AP221" s="826"/>
      <c r="AQ221" s="820"/>
    </row>
    <row r="222" spans="1:43" s="327" customFormat="1" ht="40.5" customHeight="1" x14ac:dyDescent="0.25">
      <c r="A222" s="1255" t="s">
        <v>176</v>
      </c>
      <c r="B222" s="780" t="s">
        <v>177</v>
      </c>
      <c r="C222" s="133"/>
      <c r="D222" s="133"/>
      <c r="E222" s="133"/>
      <c r="F222" s="133"/>
      <c r="G222" s="778"/>
      <c r="H222" s="778"/>
      <c r="I222" s="1463" t="s">
        <v>20</v>
      </c>
      <c r="J222" s="1237"/>
      <c r="K222" s="3"/>
      <c r="L222" s="3">
        <f>L223</f>
        <v>3750.02</v>
      </c>
      <c r="M222" s="3">
        <f>M223</f>
        <v>2630.03</v>
      </c>
      <c r="N222" s="3">
        <f t="shared" ref="N222:AO222" si="133">N223</f>
        <v>0</v>
      </c>
      <c r="O222" s="3">
        <f t="shared" si="133"/>
        <v>0</v>
      </c>
      <c r="P222" s="3">
        <f t="shared" si="133"/>
        <v>0</v>
      </c>
      <c r="Q222" s="3">
        <f t="shared" si="133"/>
        <v>0</v>
      </c>
      <c r="R222" s="3">
        <f t="shared" si="133"/>
        <v>0</v>
      </c>
      <c r="S222" s="3">
        <f t="shared" si="133"/>
        <v>0</v>
      </c>
      <c r="T222" s="3">
        <f t="shared" si="133"/>
        <v>0</v>
      </c>
      <c r="U222" s="3">
        <f t="shared" si="133"/>
        <v>0</v>
      </c>
      <c r="V222" s="3">
        <f t="shared" si="133"/>
        <v>0</v>
      </c>
      <c r="W222" s="3">
        <f t="shared" si="133"/>
        <v>0</v>
      </c>
      <c r="X222" s="3">
        <f t="shared" si="133"/>
        <v>0</v>
      </c>
      <c r="Y222" s="3">
        <f t="shared" si="133"/>
        <v>0</v>
      </c>
      <c r="Z222" s="95">
        <v>0</v>
      </c>
      <c r="AA222" s="3">
        <f t="shared" si="133"/>
        <v>0</v>
      </c>
      <c r="AB222" s="3">
        <f t="shared" si="133"/>
        <v>0</v>
      </c>
      <c r="AC222" s="3">
        <f t="shared" si="133"/>
        <v>0</v>
      </c>
      <c r="AD222" s="3">
        <f t="shared" si="133"/>
        <v>0</v>
      </c>
      <c r="AE222" s="3">
        <f t="shared" si="133"/>
        <v>0</v>
      </c>
      <c r="AF222" s="3">
        <f t="shared" si="133"/>
        <v>0</v>
      </c>
      <c r="AG222" s="3">
        <f t="shared" si="133"/>
        <v>0</v>
      </c>
      <c r="AH222" s="3">
        <f t="shared" si="133"/>
        <v>0</v>
      </c>
      <c r="AI222" s="3">
        <f t="shared" si="133"/>
        <v>0</v>
      </c>
      <c r="AJ222" s="3">
        <f t="shared" si="133"/>
        <v>0</v>
      </c>
      <c r="AK222" s="3">
        <f t="shared" si="133"/>
        <v>0</v>
      </c>
      <c r="AL222" s="3">
        <f t="shared" si="133"/>
        <v>0</v>
      </c>
      <c r="AM222" s="3">
        <f t="shared" si="133"/>
        <v>0</v>
      </c>
      <c r="AN222" s="3">
        <f t="shared" si="133"/>
        <v>0</v>
      </c>
      <c r="AO222" s="3">
        <f t="shared" si="133"/>
        <v>0</v>
      </c>
      <c r="AP222" s="633" t="s">
        <v>256</v>
      </c>
      <c r="AQ222" s="95">
        <v>0</v>
      </c>
    </row>
    <row r="223" spans="1:43" ht="15.75" hidden="1" customHeight="1" x14ac:dyDescent="0.25">
      <c r="A223" s="1222"/>
      <c r="B223" s="42" t="s">
        <v>15</v>
      </c>
      <c r="C223" s="341"/>
      <c r="D223" s="341"/>
      <c r="E223" s="341"/>
      <c r="F223" s="341"/>
      <c r="G223" s="313"/>
      <c r="H223" s="1252"/>
      <c r="I223" s="1465"/>
      <c r="J223" s="1254"/>
      <c r="K223" s="4"/>
      <c r="L223" s="47">
        <v>3750.02</v>
      </c>
      <c r="M223" s="47">
        <v>2630.03</v>
      </c>
      <c r="N223" s="47">
        <v>0</v>
      </c>
      <c r="O223" s="47">
        <v>0</v>
      </c>
      <c r="P223" s="47">
        <v>0</v>
      </c>
      <c r="Q223" s="50">
        <f>SUM(Q224:Q227)</f>
        <v>0</v>
      </c>
      <c r="R223" s="50">
        <f t="shared" ref="R223:W223" si="134">SUM(R224:R227)</f>
        <v>0</v>
      </c>
      <c r="S223" s="50">
        <f t="shared" si="134"/>
        <v>0</v>
      </c>
      <c r="T223" s="50">
        <f t="shared" si="134"/>
        <v>0</v>
      </c>
      <c r="U223" s="50">
        <f t="shared" si="134"/>
        <v>0</v>
      </c>
      <c r="V223" s="50">
        <f t="shared" si="134"/>
        <v>0</v>
      </c>
      <c r="W223" s="50">
        <f t="shared" si="134"/>
        <v>0</v>
      </c>
      <c r="X223" s="47">
        <v>0</v>
      </c>
      <c r="Y223" s="50">
        <f t="shared" ref="Y223:AJ223" si="135">SUM(Y224:Y227)</f>
        <v>0</v>
      </c>
      <c r="Z223" s="263"/>
      <c r="AA223" s="50">
        <f t="shared" si="135"/>
        <v>0</v>
      </c>
      <c r="AB223" s="50">
        <f t="shared" si="135"/>
        <v>0</v>
      </c>
      <c r="AC223" s="50">
        <f t="shared" si="135"/>
        <v>0</v>
      </c>
      <c r="AD223" s="50">
        <f t="shared" si="135"/>
        <v>0</v>
      </c>
      <c r="AE223" s="50">
        <f t="shared" si="135"/>
        <v>0</v>
      </c>
      <c r="AF223" s="50">
        <f t="shared" si="135"/>
        <v>0</v>
      </c>
      <c r="AG223" s="50">
        <f t="shared" si="135"/>
        <v>0</v>
      </c>
      <c r="AH223" s="50">
        <f t="shared" si="135"/>
        <v>0</v>
      </c>
      <c r="AI223" s="50">
        <f t="shared" si="135"/>
        <v>0</v>
      </c>
      <c r="AJ223" s="50">
        <f t="shared" si="135"/>
        <v>0</v>
      </c>
      <c r="AK223" s="50">
        <v>0</v>
      </c>
      <c r="AL223" s="50">
        <v>0</v>
      </c>
      <c r="AM223" s="50">
        <v>0</v>
      </c>
      <c r="AN223" s="50">
        <v>0</v>
      </c>
      <c r="AO223" s="50">
        <v>0</v>
      </c>
      <c r="AP223" s="412"/>
      <c r="AQ223" s="263"/>
    </row>
    <row r="224" spans="1:43" s="266" customFormat="1" ht="15.75" hidden="1" customHeight="1" x14ac:dyDescent="0.25">
      <c r="A224" s="366"/>
      <c r="B224" s="252" t="s">
        <v>238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266" customFormat="1" ht="15.75" hidden="1" customHeight="1" x14ac:dyDescent="0.25">
      <c r="A225" s="366"/>
      <c r="B225" s="252" t="s">
        <v>239</v>
      </c>
      <c r="C225" s="453"/>
      <c r="D225" s="453"/>
      <c r="E225" s="453"/>
      <c r="F225" s="453"/>
      <c r="G225" s="363"/>
      <c r="H225" s="364"/>
      <c r="I225" s="370"/>
      <c r="J225" s="651"/>
      <c r="K225" s="268"/>
      <c r="L225" s="96"/>
      <c r="M225" s="96"/>
      <c r="N225" s="96"/>
      <c r="O225" s="96"/>
      <c r="P225" s="47"/>
      <c r="Q225" s="263">
        <f>Y225</f>
        <v>0</v>
      </c>
      <c r="R225" s="263"/>
      <c r="S225" s="263"/>
      <c r="T225" s="263"/>
      <c r="U225" s="263"/>
      <c r="V225" s="263"/>
      <c r="W225" s="263"/>
      <c r="X225" s="263">
        <v>0</v>
      </c>
      <c r="Y225" s="263">
        <v>0</v>
      </c>
      <c r="Z225" s="263"/>
      <c r="AA225" s="263">
        <v>0</v>
      </c>
      <c r="AB225" s="263">
        <v>0</v>
      </c>
      <c r="AC225" s="263"/>
      <c r="AD225" s="263"/>
      <c r="AE225" s="263"/>
      <c r="AF225" s="263"/>
      <c r="AG225" s="263"/>
      <c r="AH225" s="263"/>
      <c r="AI225" s="263"/>
      <c r="AJ225" s="263"/>
      <c r="AK225" s="263"/>
      <c r="AL225" s="263"/>
      <c r="AM225" s="263"/>
      <c r="AN225" s="263"/>
      <c r="AO225" s="263"/>
      <c r="AP225" s="413"/>
      <c r="AQ225" s="263"/>
    </row>
    <row r="226" spans="1:43" s="266" customFormat="1" ht="15.75" hidden="1" customHeight="1" x14ac:dyDescent="0.25">
      <c r="A226" s="366"/>
      <c r="B226" s="252" t="s">
        <v>234</v>
      </c>
      <c r="C226" s="453"/>
      <c r="D226" s="453"/>
      <c r="E226" s="453"/>
      <c r="F226" s="453"/>
      <c r="G226" s="363"/>
      <c r="H226" s="364"/>
      <c r="I226" s="370"/>
      <c r="J226" s="651"/>
      <c r="K226" s="268"/>
      <c r="L226" s="96"/>
      <c r="M226" s="96"/>
      <c r="N226" s="96"/>
      <c r="O226" s="96"/>
      <c r="P226" s="47"/>
      <c r="Q226" s="263">
        <f>Y226</f>
        <v>0</v>
      </c>
      <c r="R226" s="263"/>
      <c r="S226" s="263"/>
      <c r="T226" s="263"/>
      <c r="U226" s="263"/>
      <c r="V226" s="263"/>
      <c r="W226" s="263"/>
      <c r="X226" s="263">
        <v>0</v>
      </c>
      <c r="Y226" s="263">
        <v>0</v>
      </c>
      <c r="Z226" s="263"/>
      <c r="AA226" s="263">
        <v>0</v>
      </c>
      <c r="AB226" s="263">
        <v>0</v>
      </c>
      <c r="AC226" s="263"/>
      <c r="AD226" s="263"/>
      <c r="AE226" s="263"/>
      <c r="AF226" s="263"/>
      <c r="AG226" s="263"/>
      <c r="AH226" s="263"/>
      <c r="AI226" s="263"/>
      <c r="AJ226" s="263"/>
      <c r="AK226" s="263"/>
      <c r="AL226" s="263"/>
      <c r="AM226" s="263"/>
      <c r="AN226" s="263"/>
      <c r="AO226" s="263"/>
      <c r="AP226" s="413"/>
      <c r="AQ226" s="263"/>
    </row>
    <row r="227" spans="1:43" s="266" customFormat="1" ht="15.75" hidden="1" customHeight="1" x14ac:dyDescent="0.25">
      <c r="A227" s="366"/>
      <c r="B227" s="252" t="s">
        <v>237</v>
      </c>
      <c r="C227" s="453"/>
      <c r="D227" s="453"/>
      <c r="E227" s="453"/>
      <c r="F227" s="453"/>
      <c r="G227" s="363"/>
      <c r="H227" s="364"/>
      <c r="I227" s="370"/>
      <c r="J227" s="651"/>
      <c r="K227" s="268"/>
      <c r="L227" s="96"/>
      <c r="M227" s="96"/>
      <c r="N227" s="96"/>
      <c r="O227" s="96"/>
      <c r="P227" s="47"/>
      <c r="Q227" s="263">
        <f>Y227</f>
        <v>0</v>
      </c>
      <c r="R227" s="263"/>
      <c r="S227" s="263"/>
      <c r="T227" s="263"/>
      <c r="U227" s="263"/>
      <c r="V227" s="263"/>
      <c r="W227" s="263"/>
      <c r="X227" s="263">
        <v>0</v>
      </c>
      <c r="Y227" s="263">
        <v>0</v>
      </c>
      <c r="Z227" s="263"/>
      <c r="AA227" s="263">
        <v>0</v>
      </c>
      <c r="AB227" s="263">
        <v>0</v>
      </c>
      <c r="AC227" s="263"/>
      <c r="AD227" s="263"/>
      <c r="AE227" s="263"/>
      <c r="AF227" s="263"/>
      <c r="AG227" s="263"/>
      <c r="AH227" s="263"/>
      <c r="AI227" s="263"/>
      <c r="AJ227" s="263"/>
      <c r="AK227" s="263"/>
      <c r="AL227" s="263"/>
      <c r="AM227" s="263"/>
      <c r="AN227" s="263"/>
      <c r="AO227" s="263"/>
      <c r="AP227" s="413"/>
      <c r="AQ227" s="263"/>
    </row>
    <row r="228" spans="1:43" s="327" customFormat="1" ht="52.5" customHeight="1" x14ac:dyDescent="0.25">
      <c r="A228" s="1255" t="s">
        <v>178</v>
      </c>
      <c r="B228" s="780" t="s">
        <v>180</v>
      </c>
      <c r="C228" s="133"/>
      <c r="D228" s="133"/>
      <c r="E228" s="133"/>
      <c r="F228" s="133"/>
      <c r="G228" s="778"/>
      <c r="H228" s="778"/>
      <c r="I228" s="1651" t="s">
        <v>181</v>
      </c>
      <c r="J228" s="1237"/>
      <c r="K228" s="3"/>
      <c r="L228" s="3">
        <f>L229</f>
        <v>962.68</v>
      </c>
      <c r="M228" s="3">
        <f>M229</f>
        <v>403.33</v>
      </c>
      <c r="N228" s="3">
        <f t="shared" ref="N228:AO228" si="136">N229</f>
        <v>0</v>
      </c>
      <c r="O228" s="3">
        <f t="shared" si="136"/>
        <v>0</v>
      </c>
      <c r="P228" s="3">
        <f t="shared" si="136"/>
        <v>0</v>
      </c>
      <c r="Q228" s="3">
        <f>Q229</f>
        <v>99.9</v>
      </c>
      <c r="R228" s="3">
        <f t="shared" si="136"/>
        <v>0</v>
      </c>
      <c r="S228" s="3">
        <f t="shared" si="136"/>
        <v>0</v>
      </c>
      <c r="T228" s="3">
        <f t="shared" si="136"/>
        <v>0</v>
      </c>
      <c r="U228" s="3">
        <f t="shared" si="136"/>
        <v>0</v>
      </c>
      <c r="V228" s="3">
        <f t="shared" si="136"/>
        <v>0</v>
      </c>
      <c r="W228" s="3">
        <f t="shared" si="136"/>
        <v>0</v>
      </c>
      <c r="X228" s="3">
        <f t="shared" si="136"/>
        <v>0</v>
      </c>
      <c r="Y228" s="3">
        <f t="shared" si="136"/>
        <v>0</v>
      </c>
      <c r="Z228" s="95">
        <v>0</v>
      </c>
      <c r="AA228" s="3">
        <f>AA229</f>
        <v>99.9</v>
      </c>
      <c r="AB228" s="3">
        <f t="shared" si="136"/>
        <v>0</v>
      </c>
      <c r="AC228" s="3">
        <f t="shared" si="136"/>
        <v>0</v>
      </c>
      <c r="AD228" s="3">
        <f t="shared" si="136"/>
        <v>0</v>
      </c>
      <c r="AE228" s="3">
        <f t="shared" si="136"/>
        <v>0</v>
      </c>
      <c r="AF228" s="3">
        <f t="shared" si="136"/>
        <v>0</v>
      </c>
      <c r="AG228" s="3">
        <f t="shared" si="136"/>
        <v>0</v>
      </c>
      <c r="AH228" s="3">
        <f t="shared" si="136"/>
        <v>0</v>
      </c>
      <c r="AI228" s="3">
        <f t="shared" si="136"/>
        <v>0</v>
      </c>
      <c r="AJ228" s="3">
        <f t="shared" si="136"/>
        <v>0</v>
      </c>
      <c r="AK228" s="3">
        <f t="shared" si="136"/>
        <v>0</v>
      </c>
      <c r="AL228" s="3">
        <f t="shared" si="136"/>
        <v>0</v>
      </c>
      <c r="AM228" s="3">
        <f t="shared" si="136"/>
        <v>0</v>
      </c>
      <c r="AN228" s="3">
        <f t="shared" si="136"/>
        <v>0</v>
      </c>
      <c r="AO228" s="3">
        <f t="shared" si="136"/>
        <v>0</v>
      </c>
      <c r="AP228" s="829" t="s">
        <v>207</v>
      </c>
      <c r="AQ228" s="95">
        <v>0</v>
      </c>
    </row>
    <row r="229" spans="1:43" ht="15.75" customHeight="1" x14ac:dyDescent="0.25">
      <c r="A229" s="1222"/>
      <c r="B229" s="42" t="s">
        <v>16</v>
      </c>
      <c r="C229" s="341"/>
      <c r="D229" s="341"/>
      <c r="E229" s="341"/>
      <c r="F229" s="341"/>
      <c r="G229" s="313"/>
      <c r="H229" s="1252"/>
      <c r="I229" s="1652"/>
      <c r="J229" s="1254"/>
      <c r="K229" s="4"/>
      <c r="L229" s="47">
        <v>962.68</v>
      </c>
      <c r="M229" s="47">
        <v>403.33</v>
      </c>
      <c r="N229" s="47">
        <v>0</v>
      </c>
      <c r="O229" s="50">
        <v>0</v>
      </c>
      <c r="P229" s="50">
        <v>0</v>
      </c>
      <c r="Q229" s="50">
        <v>99.9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263"/>
      <c r="AA229" s="50">
        <v>99.9</v>
      </c>
      <c r="AB229" s="50">
        <v>0</v>
      </c>
      <c r="AC229" s="50">
        <v>0</v>
      </c>
      <c r="AD229" s="50">
        <v>0</v>
      </c>
      <c r="AE229" s="50">
        <v>0</v>
      </c>
      <c r="AF229" s="50">
        <v>0</v>
      </c>
      <c r="AG229" s="50">
        <v>0</v>
      </c>
      <c r="AH229" s="50">
        <v>0</v>
      </c>
      <c r="AI229" s="50">
        <v>0</v>
      </c>
      <c r="AJ229" s="50">
        <v>0</v>
      </c>
      <c r="AK229" s="50">
        <v>0</v>
      </c>
      <c r="AL229" s="50">
        <v>0</v>
      </c>
      <c r="AM229" s="50">
        <v>0</v>
      </c>
      <c r="AN229" s="50">
        <v>0</v>
      </c>
      <c r="AO229" s="50">
        <v>0</v>
      </c>
      <c r="AP229" s="841"/>
      <c r="AQ229" s="263"/>
    </row>
    <row r="230" spans="1:43" s="327" customFormat="1" ht="29.25" customHeight="1" x14ac:dyDescent="0.25">
      <c r="A230" s="1255" t="s">
        <v>179</v>
      </c>
      <c r="B230" s="780" t="s">
        <v>182</v>
      </c>
      <c r="C230" s="133"/>
      <c r="D230" s="133"/>
      <c r="E230" s="133"/>
      <c r="F230" s="133"/>
      <c r="G230" s="778"/>
      <c r="H230" s="778"/>
      <c r="I230" s="1463" t="s">
        <v>181</v>
      </c>
      <c r="J230" s="1237"/>
      <c r="K230" s="3"/>
      <c r="L230" s="3">
        <f>L231</f>
        <v>1342.77</v>
      </c>
      <c r="M230" s="3">
        <f>M231</f>
        <v>1246.77</v>
      </c>
      <c r="N230" s="3">
        <f t="shared" ref="N230:AO232" si="137">N231</f>
        <v>0</v>
      </c>
      <c r="O230" s="3">
        <f t="shared" si="137"/>
        <v>0</v>
      </c>
      <c r="P230" s="3">
        <f t="shared" si="137"/>
        <v>0</v>
      </c>
      <c r="Q230" s="3">
        <f t="shared" si="137"/>
        <v>0</v>
      </c>
      <c r="R230" s="3">
        <f t="shared" si="137"/>
        <v>0</v>
      </c>
      <c r="S230" s="3">
        <f t="shared" si="137"/>
        <v>0</v>
      </c>
      <c r="T230" s="3">
        <f t="shared" si="137"/>
        <v>0</v>
      </c>
      <c r="U230" s="3">
        <f t="shared" si="137"/>
        <v>0</v>
      </c>
      <c r="V230" s="3">
        <f t="shared" si="137"/>
        <v>0</v>
      </c>
      <c r="W230" s="3">
        <f t="shared" si="137"/>
        <v>0</v>
      </c>
      <c r="X230" s="3">
        <f t="shared" si="137"/>
        <v>0</v>
      </c>
      <c r="Y230" s="3">
        <f t="shared" si="137"/>
        <v>0</v>
      </c>
      <c r="Z230" s="95">
        <v>0</v>
      </c>
      <c r="AA230" s="3">
        <f t="shared" si="137"/>
        <v>0</v>
      </c>
      <c r="AB230" s="3">
        <f t="shared" si="137"/>
        <v>0</v>
      </c>
      <c r="AC230" s="3">
        <f t="shared" si="137"/>
        <v>0</v>
      </c>
      <c r="AD230" s="3">
        <f t="shared" si="137"/>
        <v>0</v>
      </c>
      <c r="AE230" s="3">
        <f t="shared" si="137"/>
        <v>0</v>
      </c>
      <c r="AF230" s="3">
        <f t="shared" si="137"/>
        <v>0</v>
      </c>
      <c r="AG230" s="3">
        <f t="shared" si="137"/>
        <v>0</v>
      </c>
      <c r="AH230" s="3">
        <f t="shared" si="137"/>
        <v>0</v>
      </c>
      <c r="AI230" s="3">
        <f t="shared" si="137"/>
        <v>0</v>
      </c>
      <c r="AJ230" s="3">
        <f t="shared" si="137"/>
        <v>0</v>
      </c>
      <c r="AK230" s="3">
        <f t="shared" si="137"/>
        <v>0</v>
      </c>
      <c r="AL230" s="3">
        <f t="shared" si="137"/>
        <v>0</v>
      </c>
      <c r="AM230" s="3">
        <f t="shared" si="137"/>
        <v>0</v>
      </c>
      <c r="AN230" s="3">
        <f t="shared" si="137"/>
        <v>0</v>
      </c>
      <c r="AO230" s="3">
        <f t="shared" si="137"/>
        <v>0</v>
      </c>
      <c r="AP230" s="829" t="s">
        <v>207</v>
      </c>
      <c r="AQ230" s="95">
        <v>0</v>
      </c>
    </row>
    <row r="231" spans="1:43" ht="15.75" customHeight="1" x14ac:dyDescent="0.25">
      <c r="A231" s="1222"/>
      <c r="B231" s="42" t="s">
        <v>15</v>
      </c>
      <c r="C231" s="341"/>
      <c r="D231" s="341"/>
      <c r="E231" s="341"/>
      <c r="F231" s="341"/>
      <c r="G231" s="313"/>
      <c r="H231" s="1252"/>
      <c r="I231" s="1465"/>
      <c r="J231" s="1254"/>
      <c r="K231" s="4"/>
      <c r="L231" s="47">
        <v>1342.77</v>
      </c>
      <c r="M231" s="47">
        <v>1246.77</v>
      </c>
      <c r="N231" s="50">
        <v>0</v>
      </c>
      <c r="O231" s="50">
        <v>0</v>
      </c>
      <c r="P231" s="47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47">
        <v>0</v>
      </c>
      <c r="Y231" s="50">
        <v>0</v>
      </c>
      <c r="Z231" s="263"/>
      <c r="AA231" s="50">
        <v>0</v>
      </c>
      <c r="AB231" s="50">
        <v>0</v>
      </c>
      <c r="AC231" s="50">
        <v>0</v>
      </c>
      <c r="AD231" s="50">
        <v>0</v>
      </c>
      <c r="AE231" s="50">
        <v>0</v>
      </c>
      <c r="AF231" s="50">
        <v>0</v>
      </c>
      <c r="AG231" s="50">
        <v>0</v>
      </c>
      <c r="AH231" s="50">
        <v>0</v>
      </c>
      <c r="AI231" s="50">
        <v>0</v>
      </c>
      <c r="AJ231" s="50">
        <v>0</v>
      </c>
      <c r="AK231" s="50">
        <v>0</v>
      </c>
      <c r="AL231" s="50">
        <v>0</v>
      </c>
      <c r="AM231" s="50">
        <v>0</v>
      </c>
      <c r="AN231" s="50">
        <v>0</v>
      </c>
      <c r="AO231" s="50">
        <v>0</v>
      </c>
      <c r="AP231" s="412"/>
      <c r="AQ231" s="263"/>
    </row>
    <row r="232" spans="1:43" s="327" customFormat="1" ht="29.25" customHeight="1" x14ac:dyDescent="0.25">
      <c r="A232" s="1255" t="s">
        <v>179</v>
      </c>
      <c r="B232" s="780" t="s">
        <v>412</v>
      </c>
      <c r="C232" s="133"/>
      <c r="D232" s="133"/>
      <c r="E232" s="133"/>
      <c r="F232" s="133"/>
      <c r="G232" s="778"/>
      <c r="H232" s="778"/>
      <c r="I232" s="1463" t="s">
        <v>181</v>
      </c>
      <c r="J232" s="1237"/>
      <c r="K232" s="3"/>
      <c r="L232" s="3">
        <f>L233</f>
        <v>1342.77</v>
      </c>
      <c r="M232" s="3">
        <f>M233</f>
        <v>1246.77</v>
      </c>
      <c r="N232" s="3">
        <f t="shared" si="137"/>
        <v>0</v>
      </c>
      <c r="O232" s="3">
        <f t="shared" si="137"/>
        <v>0</v>
      </c>
      <c r="P232" s="3">
        <f t="shared" si="137"/>
        <v>2878.15</v>
      </c>
      <c r="Q232" s="3">
        <f t="shared" si="137"/>
        <v>398</v>
      </c>
      <c r="R232" s="3">
        <f t="shared" si="137"/>
        <v>0</v>
      </c>
      <c r="S232" s="3">
        <f t="shared" si="137"/>
        <v>0</v>
      </c>
      <c r="T232" s="3">
        <f t="shared" si="137"/>
        <v>0</v>
      </c>
      <c r="U232" s="3">
        <f t="shared" si="137"/>
        <v>0</v>
      </c>
      <c r="V232" s="3">
        <f t="shared" si="137"/>
        <v>0</v>
      </c>
      <c r="W232" s="3">
        <f t="shared" si="137"/>
        <v>0</v>
      </c>
      <c r="X232" s="3">
        <f t="shared" si="137"/>
        <v>0</v>
      </c>
      <c r="Y232" s="3">
        <f t="shared" si="137"/>
        <v>0</v>
      </c>
      <c r="Z232" s="95">
        <v>0</v>
      </c>
      <c r="AA232" s="3">
        <f t="shared" si="137"/>
        <v>398</v>
      </c>
      <c r="AB232" s="3">
        <f t="shared" si="137"/>
        <v>0</v>
      </c>
      <c r="AC232" s="3">
        <f t="shared" si="137"/>
        <v>0</v>
      </c>
      <c r="AD232" s="3">
        <f t="shared" si="137"/>
        <v>0</v>
      </c>
      <c r="AE232" s="3">
        <f t="shared" si="137"/>
        <v>0</v>
      </c>
      <c r="AF232" s="3">
        <f t="shared" si="137"/>
        <v>0</v>
      </c>
      <c r="AG232" s="3">
        <f t="shared" si="137"/>
        <v>0</v>
      </c>
      <c r="AH232" s="3">
        <f t="shared" si="137"/>
        <v>0</v>
      </c>
      <c r="AI232" s="3">
        <f t="shared" si="137"/>
        <v>0</v>
      </c>
      <c r="AJ232" s="3">
        <f t="shared" si="137"/>
        <v>0</v>
      </c>
      <c r="AK232" s="3">
        <f t="shared" si="137"/>
        <v>0</v>
      </c>
      <c r="AL232" s="3">
        <f t="shared" si="137"/>
        <v>0</v>
      </c>
      <c r="AM232" s="3">
        <f t="shared" si="137"/>
        <v>0</v>
      </c>
      <c r="AN232" s="3">
        <f t="shared" si="137"/>
        <v>0</v>
      </c>
      <c r="AO232" s="3">
        <f t="shared" si="137"/>
        <v>0</v>
      </c>
      <c r="AP232" s="829" t="s">
        <v>207</v>
      </c>
      <c r="AQ232" s="95">
        <v>0</v>
      </c>
    </row>
    <row r="233" spans="1:43" ht="15.75" customHeight="1" x14ac:dyDescent="0.25">
      <c r="A233" s="1222"/>
      <c r="B233" s="42" t="s">
        <v>16</v>
      </c>
      <c r="C233" s="341"/>
      <c r="D233" s="341"/>
      <c r="E233" s="341"/>
      <c r="F233" s="341"/>
      <c r="G233" s="313"/>
      <c r="H233" s="1252"/>
      <c r="I233" s="1465"/>
      <c r="J233" s="1254"/>
      <c r="K233" s="4"/>
      <c r="L233" s="47">
        <v>1342.77</v>
      </c>
      <c r="M233" s="47">
        <v>1246.77</v>
      </c>
      <c r="N233" s="50">
        <v>0</v>
      </c>
      <c r="O233" s="50">
        <v>0</v>
      </c>
      <c r="P233" s="47">
        <v>2878.15</v>
      </c>
      <c r="Q233" s="50">
        <v>398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47">
        <v>0</v>
      </c>
      <c r="Y233" s="50">
        <v>0</v>
      </c>
      <c r="Z233" s="263"/>
      <c r="AA233" s="50">
        <v>398</v>
      </c>
      <c r="AB233" s="50">
        <v>0</v>
      </c>
      <c r="AC233" s="50">
        <v>0</v>
      </c>
      <c r="AD233" s="50">
        <v>0</v>
      </c>
      <c r="AE233" s="50">
        <v>0</v>
      </c>
      <c r="AF233" s="50">
        <v>0</v>
      </c>
      <c r="AG233" s="50">
        <v>0</v>
      </c>
      <c r="AH233" s="50">
        <v>0</v>
      </c>
      <c r="AI233" s="50">
        <v>0</v>
      </c>
      <c r="AJ233" s="50">
        <v>0</v>
      </c>
      <c r="AK233" s="50">
        <v>0</v>
      </c>
      <c r="AL233" s="50">
        <v>0</v>
      </c>
      <c r="AM233" s="50">
        <v>0</v>
      </c>
      <c r="AN233" s="50">
        <v>0</v>
      </c>
      <c r="AO233" s="50">
        <v>0</v>
      </c>
      <c r="AP233" s="412"/>
      <c r="AQ233" s="263"/>
    </row>
    <row r="234" spans="1:43" ht="54" hidden="1" customHeight="1" x14ac:dyDescent="0.25">
      <c r="A234" s="1332" t="s">
        <v>31</v>
      </c>
      <c r="B234" s="1613" t="s">
        <v>208</v>
      </c>
      <c r="C234" s="1614"/>
      <c r="D234" s="1614"/>
      <c r="E234" s="1614"/>
      <c r="F234" s="1614"/>
      <c r="G234" s="1614"/>
      <c r="H234" s="1615"/>
      <c r="I234" s="23" t="s">
        <v>19</v>
      </c>
      <c r="J234" s="1245">
        <v>0</v>
      </c>
      <c r="K234" s="1245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ht="39.75" hidden="1" customHeight="1" x14ac:dyDescent="0.25">
      <c r="A235" s="1333"/>
      <c r="B235" s="1616"/>
      <c r="C235" s="1617"/>
      <c r="D235" s="1617"/>
      <c r="E235" s="1617"/>
      <c r="F235" s="1617"/>
      <c r="G235" s="1617"/>
      <c r="H235" s="1618"/>
      <c r="I235" s="23" t="s">
        <v>20</v>
      </c>
      <c r="J235" s="1245">
        <f>K235+L235</f>
        <v>6696.7899999999991</v>
      </c>
      <c r="K235" s="1245">
        <f>K241+K260+K263+K270</f>
        <v>0</v>
      </c>
      <c r="L235" s="47">
        <f t="shared" ref="L235:AE235" si="138">L241</f>
        <v>6696.7899999999991</v>
      </c>
      <c r="M235" s="47">
        <f t="shared" si="138"/>
        <v>0</v>
      </c>
      <c r="N235" s="47">
        <f t="shared" si="138"/>
        <v>2081.9299999999998</v>
      </c>
      <c r="O235" s="47">
        <f t="shared" si="138"/>
        <v>4372.5</v>
      </c>
      <c r="P235" s="47">
        <f t="shared" si="138"/>
        <v>0</v>
      </c>
      <c r="Q235" s="47">
        <f t="shared" si="138"/>
        <v>470</v>
      </c>
      <c r="R235" s="47">
        <f t="shared" si="138"/>
        <v>0</v>
      </c>
      <c r="S235" s="47">
        <f t="shared" si="138"/>
        <v>0</v>
      </c>
      <c r="T235" s="47">
        <f t="shared" si="138"/>
        <v>0</v>
      </c>
      <c r="U235" s="47">
        <f t="shared" si="138"/>
        <v>0</v>
      </c>
      <c r="V235" s="47">
        <f t="shared" si="138"/>
        <v>0</v>
      </c>
      <c r="W235" s="47">
        <f t="shared" si="138"/>
        <v>0</v>
      </c>
      <c r="X235" s="47">
        <f t="shared" si="138"/>
        <v>0</v>
      </c>
      <c r="Y235" s="47">
        <f t="shared" si="138"/>
        <v>0</v>
      </c>
      <c r="Z235" s="96"/>
      <c r="AA235" s="47">
        <f t="shared" si="138"/>
        <v>470</v>
      </c>
      <c r="AB235" s="47">
        <f t="shared" si="138"/>
        <v>0</v>
      </c>
      <c r="AC235" s="47">
        <f t="shared" si="138"/>
        <v>0</v>
      </c>
      <c r="AD235" s="47">
        <f t="shared" si="138"/>
        <v>0</v>
      </c>
      <c r="AE235" s="47">
        <f t="shared" si="138"/>
        <v>0</v>
      </c>
      <c r="AF235" s="47">
        <f t="shared" ref="AF235:AO235" si="139">AF241+AF260+AF263+AF270+AF272</f>
        <v>0</v>
      </c>
      <c r="AG235" s="47">
        <f t="shared" si="139"/>
        <v>0</v>
      </c>
      <c r="AH235" s="47">
        <f t="shared" si="139"/>
        <v>0</v>
      </c>
      <c r="AI235" s="47">
        <f t="shared" si="139"/>
        <v>0</v>
      </c>
      <c r="AJ235" s="47">
        <f t="shared" si="139"/>
        <v>0</v>
      </c>
      <c r="AK235" s="47">
        <f t="shared" si="139"/>
        <v>39579.99194</v>
      </c>
      <c r="AL235" s="47">
        <f t="shared" si="139"/>
        <v>39579.99194</v>
      </c>
      <c r="AM235" s="47" t="e">
        <f t="shared" si="139"/>
        <v>#DIV/0!</v>
      </c>
      <c r="AN235" s="47">
        <f t="shared" si="139"/>
        <v>0</v>
      </c>
      <c r="AO235" s="47">
        <f t="shared" si="139"/>
        <v>0</v>
      </c>
      <c r="AP235" s="397"/>
      <c r="AQ235" s="96"/>
    </row>
    <row r="236" spans="1:43" ht="26.25" hidden="1" customHeight="1" x14ac:dyDescent="0.25">
      <c r="A236" s="1333"/>
      <c r="B236" s="1616"/>
      <c r="C236" s="1617"/>
      <c r="D236" s="1617"/>
      <c r="E236" s="1617"/>
      <c r="F236" s="1617"/>
      <c r="G236" s="1617"/>
      <c r="H236" s="1618"/>
      <c r="I236" s="23" t="s">
        <v>10</v>
      </c>
      <c r="J236" s="1245">
        <v>0</v>
      </c>
      <c r="K236" s="1245">
        <v>0</v>
      </c>
      <c r="L236" s="47">
        <f>M236+N236+O236</f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96"/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397"/>
      <c r="AQ236" s="96"/>
    </row>
    <row r="237" spans="1:43" ht="25.5" hidden="1" x14ac:dyDescent="0.25">
      <c r="A237" s="1334"/>
      <c r="B237" s="1619"/>
      <c r="C237" s="1620"/>
      <c r="D237" s="1620"/>
      <c r="E237" s="1620"/>
      <c r="F237" s="1620"/>
      <c r="G237" s="1620"/>
      <c r="H237" s="1621"/>
      <c r="I237" s="23" t="s">
        <v>9</v>
      </c>
      <c r="J237" s="1245">
        <v>0</v>
      </c>
      <c r="K237" s="1245">
        <v>0</v>
      </c>
      <c r="L237" s="47">
        <f>M237+N237+O237</f>
        <v>0</v>
      </c>
      <c r="M237" s="47">
        <v>0</v>
      </c>
      <c r="N237" s="47">
        <v>0</v>
      </c>
      <c r="O237" s="47">
        <v>0</v>
      </c>
      <c r="P237" s="47">
        <v>0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7">
        <v>0</v>
      </c>
      <c r="W237" s="47">
        <v>0</v>
      </c>
      <c r="X237" s="47">
        <v>0</v>
      </c>
      <c r="Y237" s="47">
        <v>0</v>
      </c>
      <c r="Z237" s="96"/>
      <c r="AA237" s="47">
        <v>0</v>
      </c>
      <c r="AB237" s="47">
        <v>0</v>
      </c>
      <c r="AC237" s="47">
        <v>0</v>
      </c>
      <c r="AD237" s="47">
        <v>0</v>
      </c>
      <c r="AE237" s="47">
        <v>0</v>
      </c>
      <c r="AF237" s="47">
        <v>0</v>
      </c>
      <c r="AG237" s="47">
        <v>0</v>
      </c>
      <c r="AH237" s="47">
        <v>0</v>
      </c>
      <c r="AI237" s="47">
        <v>0</v>
      </c>
      <c r="AJ237" s="47">
        <v>0</v>
      </c>
      <c r="AK237" s="47">
        <v>0</v>
      </c>
      <c r="AL237" s="47">
        <v>0</v>
      </c>
      <c r="AM237" s="47">
        <v>0</v>
      </c>
      <c r="AN237" s="47">
        <v>0</v>
      </c>
      <c r="AO237" s="47">
        <v>0</v>
      </c>
      <c r="AP237" s="397"/>
      <c r="AQ237" s="96"/>
    </row>
    <row r="238" spans="1:43" s="327" customFormat="1" ht="29.25" customHeight="1" x14ac:dyDescent="0.25">
      <c r="A238" s="1255" t="s">
        <v>179</v>
      </c>
      <c r="B238" s="780" t="s">
        <v>413</v>
      </c>
      <c r="C238" s="133"/>
      <c r="D238" s="133"/>
      <c r="E238" s="133"/>
      <c r="F238" s="133"/>
      <c r="G238" s="778"/>
      <c r="H238" s="778"/>
      <c r="I238" s="1463" t="s">
        <v>181</v>
      </c>
      <c r="J238" s="1237"/>
      <c r="K238" s="3"/>
      <c r="L238" s="3">
        <f>L239</f>
        <v>1342.77</v>
      </c>
      <c r="M238" s="3">
        <f>M239</f>
        <v>1246.77</v>
      </c>
      <c r="N238" s="3">
        <f t="shared" ref="N238:AO238" si="140">N239</f>
        <v>0</v>
      </c>
      <c r="O238" s="3">
        <f t="shared" si="140"/>
        <v>0</v>
      </c>
      <c r="P238" s="3">
        <f t="shared" si="140"/>
        <v>4959</v>
      </c>
      <c r="Q238" s="3">
        <f t="shared" si="140"/>
        <v>0</v>
      </c>
      <c r="R238" s="3">
        <f t="shared" si="140"/>
        <v>0</v>
      </c>
      <c r="S238" s="3">
        <f t="shared" si="140"/>
        <v>0</v>
      </c>
      <c r="T238" s="3">
        <f t="shared" si="140"/>
        <v>0</v>
      </c>
      <c r="U238" s="3">
        <f t="shared" si="140"/>
        <v>0</v>
      </c>
      <c r="V238" s="3">
        <f t="shared" si="140"/>
        <v>0</v>
      </c>
      <c r="W238" s="3">
        <f t="shared" si="140"/>
        <v>0</v>
      </c>
      <c r="X238" s="3">
        <f t="shared" si="140"/>
        <v>0</v>
      </c>
      <c r="Y238" s="3">
        <f t="shared" si="140"/>
        <v>0</v>
      </c>
      <c r="Z238" s="95">
        <v>0</v>
      </c>
      <c r="AA238" s="3">
        <f t="shared" si="140"/>
        <v>0</v>
      </c>
      <c r="AB238" s="3">
        <f t="shared" si="140"/>
        <v>0</v>
      </c>
      <c r="AC238" s="3">
        <f t="shared" si="140"/>
        <v>0</v>
      </c>
      <c r="AD238" s="3">
        <f t="shared" si="140"/>
        <v>0</v>
      </c>
      <c r="AE238" s="3">
        <f t="shared" si="140"/>
        <v>0</v>
      </c>
      <c r="AF238" s="3">
        <f t="shared" si="140"/>
        <v>0</v>
      </c>
      <c r="AG238" s="3">
        <f t="shared" si="140"/>
        <v>0</v>
      </c>
      <c r="AH238" s="3">
        <f t="shared" si="140"/>
        <v>0</v>
      </c>
      <c r="AI238" s="3">
        <f t="shared" si="140"/>
        <v>0</v>
      </c>
      <c r="AJ238" s="3">
        <f t="shared" si="140"/>
        <v>0</v>
      </c>
      <c r="AK238" s="3">
        <f t="shared" si="140"/>
        <v>0</v>
      </c>
      <c r="AL238" s="3">
        <f t="shared" si="140"/>
        <v>0</v>
      </c>
      <c r="AM238" s="3">
        <f t="shared" si="140"/>
        <v>0</v>
      </c>
      <c r="AN238" s="3">
        <f t="shared" si="140"/>
        <v>0</v>
      </c>
      <c r="AO238" s="3">
        <f t="shared" si="140"/>
        <v>0</v>
      </c>
      <c r="AP238" s="829" t="s">
        <v>207</v>
      </c>
      <c r="AQ238" s="95">
        <v>0</v>
      </c>
    </row>
    <row r="239" spans="1:43" ht="15.75" customHeight="1" x14ac:dyDescent="0.25">
      <c r="A239" s="1222"/>
      <c r="B239" s="42" t="s">
        <v>39</v>
      </c>
      <c r="C239" s="341"/>
      <c r="D239" s="341"/>
      <c r="E239" s="341"/>
      <c r="F239" s="341"/>
      <c r="G239" s="313"/>
      <c r="H239" s="1252"/>
      <c r="I239" s="1465"/>
      <c r="J239" s="1254"/>
      <c r="K239" s="4"/>
      <c r="L239" s="47">
        <v>1342.77</v>
      </c>
      <c r="M239" s="47">
        <v>1246.77</v>
      </c>
      <c r="N239" s="50">
        <v>0</v>
      </c>
      <c r="O239" s="50">
        <v>0</v>
      </c>
      <c r="P239" s="47">
        <v>4959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47">
        <v>0</v>
      </c>
      <c r="Y239" s="50">
        <v>0</v>
      </c>
      <c r="Z239" s="263"/>
      <c r="AA239" s="50">
        <v>0</v>
      </c>
      <c r="AB239" s="50">
        <v>0</v>
      </c>
      <c r="AC239" s="50">
        <v>0</v>
      </c>
      <c r="AD239" s="50">
        <v>0</v>
      </c>
      <c r="AE239" s="50">
        <v>0</v>
      </c>
      <c r="AF239" s="50">
        <v>0</v>
      </c>
      <c r="AG239" s="50">
        <v>0</v>
      </c>
      <c r="AH239" s="50">
        <v>0</v>
      </c>
      <c r="AI239" s="50">
        <v>0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412"/>
      <c r="AQ239" s="263"/>
    </row>
    <row r="240" spans="1:43" ht="15.75" x14ac:dyDescent="0.25">
      <c r="A240" s="1216"/>
      <c r="B240" s="42" t="s">
        <v>16</v>
      </c>
      <c r="C240" s="1248"/>
      <c r="D240" s="1248"/>
      <c r="E240" s="1248"/>
      <c r="F240" s="1248"/>
      <c r="G240" s="1248"/>
      <c r="H240" s="1249"/>
      <c r="I240" s="1217"/>
      <c r="J240" s="1245"/>
      <c r="K240" s="1245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96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"/>
      <c r="AN240" s="47"/>
      <c r="AO240" s="47"/>
      <c r="AP240" s="397"/>
      <c r="AQ240" s="96"/>
    </row>
    <row r="241" spans="1:43" s="327" customFormat="1" ht="30" customHeight="1" x14ac:dyDescent="0.25">
      <c r="A241" s="1344" t="s">
        <v>50</v>
      </c>
      <c r="B241" s="830" t="s">
        <v>183</v>
      </c>
      <c r="C241" s="1658"/>
      <c r="D241" s="1326"/>
      <c r="E241" s="1326"/>
      <c r="F241" s="1644">
        <v>150000</v>
      </c>
      <c r="G241" s="1326">
        <v>2019</v>
      </c>
      <c r="H241" s="1326">
        <v>2019</v>
      </c>
      <c r="I241" s="1326" t="s">
        <v>20</v>
      </c>
      <c r="J241" s="1653">
        <v>4914.5600000000004</v>
      </c>
      <c r="K241" s="3"/>
      <c r="L241" s="3">
        <f t="shared" ref="L241:P241" si="141">L244+L242</f>
        <v>6696.7899999999991</v>
      </c>
      <c r="M241" s="3">
        <f t="shared" si="141"/>
        <v>0</v>
      </c>
      <c r="N241" s="3">
        <f t="shared" si="141"/>
        <v>2081.9299999999998</v>
      </c>
      <c r="O241" s="3">
        <f t="shared" si="141"/>
        <v>4372.5</v>
      </c>
      <c r="P241" s="3">
        <f t="shared" si="141"/>
        <v>0</v>
      </c>
      <c r="Q241" s="3">
        <f>Q242+Q244</f>
        <v>470</v>
      </c>
      <c r="R241" s="3">
        <f t="shared" ref="R241:AA241" si="142">R242+R244</f>
        <v>0</v>
      </c>
      <c r="S241" s="3">
        <f t="shared" si="142"/>
        <v>0</v>
      </c>
      <c r="T241" s="3">
        <f t="shared" si="142"/>
        <v>0</v>
      </c>
      <c r="U241" s="3">
        <f t="shared" si="142"/>
        <v>0</v>
      </c>
      <c r="V241" s="3">
        <f t="shared" si="142"/>
        <v>0</v>
      </c>
      <c r="W241" s="3">
        <f t="shared" si="142"/>
        <v>0</v>
      </c>
      <c r="X241" s="3">
        <f t="shared" si="142"/>
        <v>0</v>
      </c>
      <c r="Y241" s="3">
        <f t="shared" si="142"/>
        <v>0</v>
      </c>
      <c r="Z241" s="3">
        <f t="shared" si="142"/>
        <v>0</v>
      </c>
      <c r="AA241" s="3">
        <f t="shared" si="142"/>
        <v>470</v>
      </c>
      <c r="AB241" s="3">
        <f t="shared" ref="AB241:AJ241" si="143">AB244+AB242</f>
        <v>0</v>
      </c>
      <c r="AC241" s="3">
        <f t="shared" si="143"/>
        <v>0</v>
      </c>
      <c r="AD241" s="3">
        <f t="shared" si="143"/>
        <v>0</v>
      </c>
      <c r="AE241" s="3">
        <f t="shared" si="143"/>
        <v>0</v>
      </c>
      <c r="AF241" s="3">
        <f t="shared" si="143"/>
        <v>0</v>
      </c>
      <c r="AG241" s="3">
        <f t="shared" si="143"/>
        <v>0</v>
      </c>
      <c r="AH241" s="3">
        <f t="shared" si="143"/>
        <v>0</v>
      </c>
      <c r="AI241" s="3">
        <f t="shared" si="143"/>
        <v>0</v>
      </c>
      <c r="AJ241" s="3">
        <f t="shared" si="143"/>
        <v>0</v>
      </c>
      <c r="AK241" s="3">
        <f>P241-Q241</f>
        <v>-470</v>
      </c>
      <c r="AL241" s="3">
        <f>AK241</f>
        <v>-470</v>
      </c>
      <c r="AM241" s="318" t="e">
        <f>ROUND((Q241*100%/P241*100),2)</f>
        <v>#DIV/0!</v>
      </c>
      <c r="AN241" s="3">
        <f>AN244</f>
        <v>0</v>
      </c>
      <c r="AO241" s="3">
        <f>AO244</f>
        <v>0</v>
      </c>
      <c r="AP241" s="633"/>
      <c r="AQ241" s="95">
        <v>45</v>
      </c>
    </row>
    <row r="242" spans="1:43" ht="19.5" customHeight="1" x14ac:dyDescent="0.25">
      <c r="A242" s="1345"/>
      <c r="B242" s="1" t="s">
        <v>15</v>
      </c>
      <c r="C242" s="1659"/>
      <c r="D242" s="1327"/>
      <c r="E242" s="1327"/>
      <c r="F242" s="1645"/>
      <c r="G242" s="1327"/>
      <c r="H242" s="1327"/>
      <c r="I242" s="1327"/>
      <c r="J242" s="1654"/>
      <c r="K242" s="47"/>
      <c r="L242" s="47">
        <f>SUM(M242:O242)</f>
        <v>2081.9299999999998</v>
      </c>
      <c r="M242" s="4">
        <v>0</v>
      </c>
      <c r="N242" s="4">
        <v>2081.9299999999998</v>
      </c>
      <c r="O242" s="4">
        <f t="shared" ref="O242:AO242" si="144">O243</f>
        <v>0</v>
      </c>
      <c r="P242" s="4">
        <f t="shared" si="144"/>
        <v>0</v>
      </c>
      <c r="Q242" s="4">
        <f t="shared" si="144"/>
        <v>470</v>
      </c>
      <c r="R242" s="4">
        <f t="shared" si="144"/>
        <v>0</v>
      </c>
      <c r="S242" s="4">
        <f t="shared" si="144"/>
        <v>0</v>
      </c>
      <c r="T242" s="4">
        <f t="shared" si="144"/>
        <v>0</v>
      </c>
      <c r="U242" s="4">
        <f t="shared" si="144"/>
        <v>0</v>
      </c>
      <c r="V242" s="4">
        <f t="shared" si="144"/>
        <v>0</v>
      </c>
      <c r="W242" s="4">
        <f t="shared" si="144"/>
        <v>0</v>
      </c>
      <c r="X242" s="4">
        <f t="shared" si="144"/>
        <v>0</v>
      </c>
      <c r="Y242" s="4">
        <f t="shared" si="144"/>
        <v>0</v>
      </c>
      <c r="Z242" s="268"/>
      <c r="AA242" s="4">
        <f t="shared" si="144"/>
        <v>470</v>
      </c>
      <c r="AB242" s="4">
        <f t="shared" si="144"/>
        <v>0</v>
      </c>
      <c r="AC242" s="4">
        <f t="shared" si="144"/>
        <v>0</v>
      </c>
      <c r="AD242" s="4">
        <f t="shared" si="144"/>
        <v>0</v>
      </c>
      <c r="AE242" s="4">
        <f t="shared" si="144"/>
        <v>0</v>
      </c>
      <c r="AF242" s="4">
        <f t="shared" si="144"/>
        <v>0</v>
      </c>
      <c r="AG242" s="4">
        <f t="shared" si="144"/>
        <v>0</v>
      </c>
      <c r="AH242" s="4">
        <v>0</v>
      </c>
      <c r="AI242" s="4">
        <v>0</v>
      </c>
      <c r="AJ242" s="4">
        <v>0</v>
      </c>
      <c r="AK242" s="4">
        <f t="shared" si="144"/>
        <v>0</v>
      </c>
      <c r="AL242" s="4">
        <f t="shared" si="144"/>
        <v>0</v>
      </c>
      <c r="AM242" s="4">
        <f t="shared" si="144"/>
        <v>0</v>
      </c>
      <c r="AN242" s="4">
        <f t="shared" si="144"/>
        <v>0</v>
      </c>
      <c r="AO242" s="4">
        <f t="shared" si="144"/>
        <v>0</v>
      </c>
      <c r="AP242" s="1242"/>
      <c r="AQ242" s="268"/>
    </row>
    <row r="243" spans="1:43" s="266" customFormat="1" x14ac:dyDescent="0.25">
      <c r="A243" s="1345"/>
      <c r="B243" s="92" t="s">
        <v>250</v>
      </c>
      <c r="C243" s="1659"/>
      <c r="D243" s="1327"/>
      <c r="E243" s="1327"/>
      <c r="F243" s="1645"/>
      <c r="G243" s="1327"/>
      <c r="H243" s="1327"/>
      <c r="I243" s="1327"/>
      <c r="J243" s="1654"/>
      <c r="K243" s="96"/>
      <c r="L243" s="96">
        <f>SUM(M243:O243)</f>
        <v>0</v>
      </c>
      <c r="M243" s="268">
        <v>0</v>
      </c>
      <c r="N243" s="263"/>
      <c r="O243" s="263"/>
      <c r="P243" s="263">
        <f>R243+T243</f>
        <v>0</v>
      </c>
      <c r="Q243" s="263">
        <f>75+395</f>
        <v>470</v>
      </c>
      <c r="R243" s="263">
        <f>S243</f>
        <v>0</v>
      </c>
      <c r="S243" s="263">
        <v>0</v>
      </c>
      <c r="T243" s="263">
        <v>0</v>
      </c>
      <c r="U243" s="263">
        <v>0</v>
      </c>
      <c r="V243" s="263">
        <v>0</v>
      </c>
      <c r="W243" s="263">
        <v>0</v>
      </c>
      <c r="X243" s="263">
        <v>0</v>
      </c>
      <c r="Y243" s="263">
        <v>0</v>
      </c>
      <c r="Z243" s="263"/>
      <c r="AA243" s="263">
        <f>75+395</f>
        <v>470</v>
      </c>
      <c r="AB243" s="263">
        <v>0</v>
      </c>
      <c r="AC243" s="263">
        <v>0</v>
      </c>
      <c r="AD243" s="263"/>
      <c r="AE243" s="263"/>
      <c r="AF243" s="263"/>
      <c r="AG243" s="263"/>
      <c r="AH243" s="263"/>
      <c r="AI243" s="263"/>
      <c r="AJ243" s="263"/>
      <c r="AK243" s="263"/>
      <c r="AL243" s="263"/>
      <c r="AM243" s="263"/>
      <c r="AN243" s="263"/>
      <c r="AO243" s="263"/>
      <c r="AP243" s="413"/>
      <c r="AQ243" s="263"/>
    </row>
    <row r="244" spans="1:43" ht="18" customHeight="1" x14ac:dyDescent="0.25">
      <c r="A244" s="1346"/>
      <c r="B244" s="575" t="s">
        <v>16</v>
      </c>
      <c r="C244" s="1356"/>
      <c r="D244" s="1356"/>
      <c r="E244" s="1327"/>
      <c r="F244" s="1357"/>
      <c r="G244" s="1327"/>
      <c r="H244" s="1327"/>
      <c r="I244" s="1327"/>
      <c r="J244" s="1655"/>
      <c r="K244" s="47">
        <v>0</v>
      </c>
      <c r="L244" s="47">
        <v>4614.8599999999997</v>
      </c>
      <c r="M244" s="4">
        <v>0</v>
      </c>
      <c r="N244" s="4">
        <v>0</v>
      </c>
      <c r="O244" s="4">
        <v>4372.5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268"/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1242"/>
      <c r="AQ244" s="268"/>
    </row>
    <row r="245" spans="1:43" s="327" customFormat="1" ht="21" customHeight="1" x14ac:dyDescent="0.25">
      <c r="A245" s="1232"/>
      <c r="B245" s="830" t="s">
        <v>414</v>
      </c>
      <c r="C245" s="654"/>
      <c r="D245" s="654"/>
      <c r="E245" s="341"/>
      <c r="F245" s="831"/>
      <c r="G245" s="341"/>
      <c r="H245" s="1253"/>
      <c r="I245" s="1221"/>
      <c r="J245" s="1247"/>
      <c r="K245" s="3"/>
      <c r="L245" s="3">
        <f t="shared" ref="L245:O245" si="145">L248+L246</f>
        <v>2081.9299999999998</v>
      </c>
      <c r="M245" s="3">
        <f t="shared" si="145"/>
        <v>0</v>
      </c>
      <c r="N245" s="3">
        <f t="shared" si="145"/>
        <v>2081.9299999999998</v>
      </c>
      <c r="O245" s="3">
        <f t="shared" si="145"/>
        <v>0</v>
      </c>
      <c r="P245" s="3">
        <f>SUM(P246:P247)</f>
        <v>2.7</v>
      </c>
      <c r="Q245" s="3">
        <f>SUM(Q246:Q247)</f>
        <v>0</v>
      </c>
      <c r="R245" s="3">
        <f t="shared" ref="R245:AA245" si="146">SUM(R246:R247)</f>
        <v>0</v>
      </c>
      <c r="S245" s="3">
        <f t="shared" si="146"/>
        <v>0</v>
      </c>
      <c r="T245" s="3">
        <f t="shared" si="146"/>
        <v>0</v>
      </c>
      <c r="U245" s="3">
        <f t="shared" si="146"/>
        <v>0</v>
      </c>
      <c r="V245" s="3">
        <f t="shared" si="146"/>
        <v>0</v>
      </c>
      <c r="W245" s="3">
        <f t="shared" si="146"/>
        <v>0</v>
      </c>
      <c r="X245" s="3">
        <f t="shared" si="146"/>
        <v>0</v>
      </c>
      <c r="Y245" s="3">
        <f t="shared" si="146"/>
        <v>0</v>
      </c>
      <c r="Z245" s="3">
        <f t="shared" si="146"/>
        <v>0</v>
      </c>
      <c r="AA245" s="3">
        <f t="shared" si="146"/>
        <v>0</v>
      </c>
      <c r="AB245" s="3">
        <f t="shared" ref="AB245:AJ245" si="147">AB248+AB246</f>
        <v>0</v>
      </c>
      <c r="AC245" s="3">
        <f t="shared" si="147"/>
        <v>0</v>
      </c>
      <c r="AD245" s="3">
        <f t="shared" si="147"/>
        <v>0</v>
      </c>
      <c r="AE245" s="3">
        <f t="shared" si="147"/>
        <v>0</v>
      </c>
      <c r="AF245" s="3">
        <f t="shared" si="147"/>
        <v>0</v>
      </c>
      <c r="AG245" s="3">
        <f t="shared" si="147"/>
        <v>0</v>
      </c>
      <c r="AH245" s="3">
        <f t="shared" si="147"/>
        <v>0</v>
      </c>
      <c r="AI245" s="3">
        <f t="shared" si="147"/>
        <v>0</v>
      </c>
      <c r="AJ245" s="3">
        <f t="shared" si="147"/>
        <v>0</v>
      </c>
      <c r="AK245" s="3">
        <f>P245-Q245</f>
        <v>2.7</v>
      </c>
      <c r="AL245" s="3">
        <f>AK245</f>
        <v>2.7</v>
      </c>
      <c r="AM245" s="318">
        <f>ROUND((Q245*100%/P245*100),2)</f>
        <v>0</v>
      </c>
      <c r="AN245" s="3">
        <f>AN248</f>
        <v>0</v>
      </c>
      <c r="AO245" s="3">
        <f>AO248</f>
        <v>0</v>
      </c>
      <c r="AP245" s="633"/>
      <c r="AQ245" s="95">
        <v>45</v>
      </c>
    </row>
    <row r="246" spans="1:43" ht="19.5" customHeight="1" x14ac:dyDescent="0.25">
      <c r="A246" s="1232"/>
      <c r="B246" s="1" t="s">
        <v>15</v>
      </c>
      <c r="C246" s="654"/>
      <c r="D246" s="654"/>
      <c r="E246" s="341"/>
      <c r="F246" s="831"/>
      <c r="G246" s="341"/>
      <c r="H246" s="1253"/>
      <c r="I246" s="1221"/>
      <c r="J246" s="1247"/>
      <c r="K246" s="47"/>
      <c r="L246" s="47">
        <f>SUM(M246:O246)</f>
        <v>2081.9299999999998</v>
      </c>
      <c r="M246" s="4">
        <v>0</v>
      </c>
      <c r="N246" s="4">
        <v>2081.9299999999998</v>
      </c>
      <c r="O246" s="4">
        <f t="shared" ref="O246:AO246" si="148">O247</f>
        <v>0</v>
      </c>
      <c r="P246" s="4">
        <v>2.7</v>
      </c>
      <c r="Q246" s="4">
        <v>0</v>
      </c>
      <c r="R246" s="4">
        <f t="shared" si="148"/>
        <v>0</v>
      </c>
      <c r="S246" s="4">
        <f t="shared" si="148"/>
        <v>0</v>
      </c>
      <c r="T246" s="4">
        <f t="shared" si="148"/>
        <v>0</v>
      </c>
      <c r="U246" s="4">
        <f t="shared" si="148"/>
        <v>0</v>
      </c>
      <c r="V246" s="4">
        <f t="shared" si="148"/>
        <v>0</v>
      </c>
      <c r="W246" s="4">
        <f t="shared" si="148"/>
        <v>0</v>
      </c>
      <c r="X246" s="4">
        <f t="shared" si="148"/>
        <v>0</v>
      </c>
      <c r="Y246" s="4">
        <f t="shared" si="148"/>
        <v>0</v>
      </c>
      <c r="Z246" s="268"/>
      <c r="AA246" s="4">
        <v>0</v>
      </c>
      <c r="AB246" s="4">
        <f t="shared" si="148"/>
        <v>0</v>
      </c>
      <c r="AC246" s="4">
        <f t="shared" si="148"/>
        <v>0</v>
      </c>
      <c r="AD246" s="4">
        <f t="shared" si="148"/>
        <v>0</v>
      </c>
      <c r="AE246" s="4">
        <f t="shared" si="148"/>
        <v>0</v>
      </c>
      <c r="AF246" s="4">
        <f t="shared" si="148"/>
        <v>0</v>
      </c>
      <c r="AG246" s="4">
        <f t="shared" si="148"/>
        <v>0</v>
      </c>
      <c r="AH246" s="4">
        <v>0</v>
      </c>
      <c r="AI246" s="4">
        <v>0</v>
      </c>
      <c r="AJ246" s="4">
        <v>0</v>
      </c>
      <c r="AK246" s="4">
        <f t="shared" si="148"/>
        <v>0</v>
      </c>
      <c r="AL246" s="4">
        <f t="shared" si="148"/>
        <v>0</v>
      </c>
      <c r="AM246" s="4">
        <f t="shared" si="148"/>
        <v>0</v>
      </c>
      <c r="AN246" s="4">
        <f t="shared" si="148"/>
        <v>0</v>
      </c>
      <c r="AO246" s="4">
        <f t="shared" si="148"/>
        <v>0</v>
      </c>
      <c r="AP246" s="1242"/>
      <c r="AQ246" s="268"/>
    </row>
    <row r="247" spans="1:43" ht="18" customHeight="1" x14ac:dyDescent="0.25">
      <c r="A247" s="1232"/>
      <c r="B247" s="575" t="s">
        <v>16</v>
      </c>
      <c r="C247" s="654"/>
      <c r="D247" s="654"/>
      <c r="E247" s="341"/>
      <c r="F247" s="831"/>
      <c r="G247" s="341"/>
      <c r="H247" s="1253"/>
      <c r="I247" s="1221"/>
      <c r="J247" s="1247"/>
      <c r="K247" s="4"/>
      <c r="L247" s="47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268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1242"/>
      <c r="AQ247" s="268"/>
    </row>
    <row r="248" spans="1:43" ht="54" hidden="1" customHeight="1" x14ac:dyDescent="0.25">
      <c r="A248" s="1332" t="s">
        <v>139</v>
      </c>
      <c r="B248" s="1613" t="s">
        <v>209</v>
      </c>
      <c r="C248" s="1614"/>
      <c r="D248" s="1614"/>
      <c r="E248" s="1614"/>
      <c r="F248" s="1614"/>
      <c r="G248" s="1614"/>
      <c r="H248" s="1615"/>
      <c r="I248" s="23" t="s">
        <v>19</v>
      </c>
      <c r="J248" s="1245">
        <v>0</v>
      </c>
      <c r="K248" s="1245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ht="39.75" hidden="1" customHeight="1" x14ac:dyDescent="0.25">
      <c r="A249" s="1333"/>
      <c r="B249" s="1616"/>
      <c r="C249" s="1617"/>
      <c r="D249" s="1617"/>
      <c r="E249" s="1617"/>
      <c r="F249" s="1617"/>
      <c r="G249" s="1617"/>
      <c r="H249" s="1618"/>
      <c r="I249" s="23" t="s">
        <v>20</v>
      </c>
      <c r="J249" s="1245" t="e">
        <f>K249+L249</f>
        <v>#REF!</v>
      </c>
      <c r="K249" s="1245" t="e">
        <f>#REF!+K292+K304+K305</f>
        <v>#REF!</v>
      </c>
      <c r="L249" s="47">
        <f t="shared" ref="L249:AM249" si="149">L252+L255++L260+L264+L270+L272+L276+L281+L288+L292</f>
        <v>333768.50999999995</v>
      </c>
      <c r="M249" s="47">
        <f t="shared" si="149"/>
        <v>31936.59</v>
      </c>
      <c r="N249" s="47">
        <f t="shared" si="149"/>
        <v>80827.610000000015</v>
      </c>
      <c r="O249" s="47">
        <f t="shared" si="149"/>
        <v>46251.09</v>
      </c>
      <c r="P249" s="47">
        <f t="shared" si="149"/>
        <v>53453.89</v>
      </c>
      <c r="Q249" s="47">
        <f t="shared" si="149"/>
        <v>2121.3799199999999</v>
      </c>
      <c r="R249" s="47">
        <f t="shared" si="149"/>
        <v>784.17799999999988</v>
      </c>
      <c r="S249" s="47">
        <f t="shared" si="149"/>
        <v>784.17799999999988</v>
      </c>
      <c r="T249" s="47">
        <f t="shared" si="149"/>
        <v>3249.636</v>
      </c>
      <c r="U249" s="47">
        <f t="shared" si="149"/>
        <v>3253.0360000000001</v>
      </c>
      <c r="V249" s="47">
        <f t="shared" si="149"/>
        <v>157.59</v>
      </c>
      <c r="W249" s="47">
        <f t="shared" si="149"/>
        <v>1096.5039999999999</v>
      </c>
      <c r="X249" s="47">
        <f t="shared" si="149"/>
        <v>0</v>
      </c>
      <c r="Y249" s="47">
        <f t="shared" si="149"/>
        <v>0</v>
      </c>
      <c r="Z249" s="96"/>
      <c r="AA249" s="47">
        <f t="shared" si="149"/>
        <v>2003.1920299999999</v>
      </c>
      <c r="AB249" s="47">
        <f t="shared" si="149"/>
        <v>0</v>
      </c>
      <c r="AC249" s="47">
        <f t="shared" si="149"/>
        <v>2488.15</v>
      </c>
      <c r="AD249" s="47">
        <f t="shared" si="149"/>
        <v>64858.980889999999</v>
      </c>
      <c r="AE249" s="47">
        <f t="shared" si="149"/>
        <v>0</v>
      </c>
      <c r="AF249" s="47">
        <f t="shared" si="149"/>
        <v>0</v>
      </c>
      <c r="AG249" s="47">
        <f t="shared" si="149"/>
        <v>0</v>
      </c>
      <c r="AH249" s="47">
        <f t="shared" si="149"/>
        <v>0</v>
      </c>
      <c r="AI249" s="47">
        <f t="shared" si="149"/>
        <v>0</v>
      </c>
      <c r="AJ249" s="47">
        <f t="shared" si="149"/>
        <v>0</v>
      </c>
      <c r="AK249" s="47">
        <f t="shared" si="149"/>
        <v>43957.011939999997</v>
      </c>
      <c r="AL249" s="47">
        <f t="shared" si="149"/>
        <v>43957.011939999997</v>
      </c>
      <c r="AM249" s="47">
        <f t="shared" si="149"/>
        <v>0</v>
      </c>
      <c r="AN249" s="47">
        <f>AN252+AN255++AN260+AN263+AN270+AN272+AN276+AN281+AN288+AN291</f>
        <v>0</v>
      </c>
      <c r="AO249" s="47">
        <f>AO252+AO255++AO260+AO263+AO270+AO272+AO276+AO281+AO288+AO291</f>
        <v>0</v>
      </c>
      <c r="AP249" s="397"/>
      <c r="AQ249" s="96"/>
    </row>
    <row r="250" spans="1:43" ht="26.25" hidden="1" customHeight="1" x14ac:dyDescent="0.25">
      <c r="A250" s="1333"/>
      <c r="B250" s="1616"/>
      <c r="C250" s="1617"/>
      <c r="D250" s="1617"/>
      <c r="E250" s="1617"/>
      <c r="F250" s="1617"/>
      <c r="G250" s="1617"/>
      <c r="H250" s="1618"/>
      <c r="I250" s="23" t="s">
        <v>10</v>
      </c>
      <c r="J250" s="1245">
        <v>0</v>
      </c>
      <c r="K250" s="1245">
        <v>0</v>
      </c>
      <c r="L250" s="47">
        <f t="shared" ref="L250:AM250" si="150">L267+L268+L296</f>
        <v>297742.64</v>
      </c>
      <c r="M250" s="47">
        <f t="shared" si="150"/>
        <v>295242.64</v>
      </c>
      <c r="N250" s="47">
        <f t="shared" si="150"/>
        <v>297742.64</v>
      </c>
      <c r="O250" s="47">
        <f t="shared" si="150"/>
        <v>297742.64</v>
      </c>
      <c r="P250" s="47">
        <f t="shared" si="150"/>
        <v>0</v>
      </c>
      <c r="Q250" s="47">
        <f t="shared" si="150"/>
        <v>99408.513550000003</v>
      </c>
      <c r="R250" s="47">
        <f t="shared" si="150"/>
        <v>21705.95</v>
      </c>
      <c r="S250" s="47">
        <f t="shared" si="150"/>
        <v>21705.95</v>
      </c>
      <c r="T250" s="47">
        <f t="shared" si="150"/>
        <v>21705.95</v>
      </c>
      <c r="U250" s="47">
        <f t="shared" si="150"/>
        <v>21705.95</v>
      </c>
      <c r="V250" s="47">
        <f t="shared" si="150"/>
        <v>50383.255000000005</v>
      </c>
      <c r="W250" s="47">
        <f t="shared" si="150"/>
        <v>50383.255000000005</v>
      </c>
      <c r="X250" s="47">
        <f t="shared" si="150"/>
        <v>21705.95</v>
      </c>
      <c r="Y250" s="47">
        <f t="shared" si="150"/>
        <v>21705.95</v>
      </c>
      <c r="Z250" s="96"/>
      <c r="AA250" s="47">
        <f t="shared" si="150"/>
        <v>114181.19725</v>
      </c>
      <c r="AB250" s="47">
        <f t="shared" si="150"/>
        <v>17522.268</v>
      </c>
      <c r="AC250" s="47">
        <f t="shared" si="150"/>
        <v>32099.796000000002</v>
      </c>
      <c r="AD250" s="47">
        <f t="shared" si="150"/>
        <v>83597.849889999998</v>
      </c>
      <c r="AE250" s="47">
        <f t="shared" si="150"/>
        <v>0</v>
      </c>
      <c r="AF250" s="47">
        <f t="shared" si="150"/>
        <v>0</v>
      </c>
      <c r="AG250" s="47">
        <f t="shared" si="150"/>
        <v>0</v>
      </c>
      <c r="AH250" s="47">
        <f t="shared" si="150"/>
        <v>0</v>
      </c>
      <c r="AI250" s="47">
        <f t="shared" si="150"/>
        <v>0</v>
      </c>
      <c r="AJ250" s="47">
        <f t="shared" si="150"/>
        <v>0</v>
      </c>
      <c r="AK250" s="47">
        <f t="shared" si="150"/>
        <v>0</v>
      </c>
      <c r="AL250" s="47">
        <f t="shared" si="150"/>
        <v>0</v>
      </c>
      <c r="AM250" s="47">
        <f t="shared" si="150"/>
        <v>0</v>
      </c>
      <c r="AN250" s="47">
        <v>0</v>
      </c>
      <c r="AO250" s="47">
        <v>0</v>
      </c>
      <c r="AP250" s="397"/>
      <c r="AQ250" s="96"/>
    </row>
    <row r="251" spans="1:43" ht="25.5" hidden="1" x14ac:dyDescent="0.25">
      <c r="A251" s="1334"/>
      <c r="B251" s="1619"/>
      <c r="C251" s="1620"/>
      <c r="D251" s="1620"/>
      <c r="E251" s="1620"/>
      <c r="F251" s="1620"/>
      <c r="G251" s="1620"/>
      <c r="H251" s="1621"/>
      <c r="I251" s="23" t="s">
        <v>9</v>
      </c>
      <c r="J251" s="1245">
        <v>0</v>
      </c>
      <c r="K251" s="1245">
        <v>0</v>
      </c>
      <c r="L251" s="47">
        <f>M251+N251+O251</f>
        <v>0</v>
      </c>
      <c r="M251" s="47">
        <v>0</v>
      </c>
      <c r="N251" s="47">
        <v>0</v>
      </c>
      <c r="O251" s="47">
        <v>0</v>
      </c>
      <c r="P251" s="47">
        <v>0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47">
        <v>0</v>
      </c>
      <c r="X251" s="47">
        <v>0</v>
      </c>
      <c r="Y251" s="47">
        <v>0</v>
      </c>
      <c r="Z251" s="96"/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1</v>
      </c>
      <c r="AK251" s="47">
        <v>0</v>
      </c>
      <c r="AL251" s="47">
        <v>0</v>
      </c>
      <c r="AM251" s="47">
        <v>0</v>
      </c>
      <c r="AN251" s="47">
        <v>0</v>
      </c>
      <c r="AO251" s="47">
        <v>0</v>
      </c>
      <c r="AP251" s="397"/>
      <c r="AQ251" s="96"/>
    </row>
    <row r="252" spans="1:43" s="327" customFormat="1" ht="27.75" customHeight="1" x14ac:dyDescent="0.25">
      <c r="A252" s="1450" t="s">
        <v>184</v>
      </c>
      <c r="B252" s="780" t="s">
        <v>89</v>
      </c>
      <c r="C252" s="133"/>
      <c r="D252" s="133"/>
      <c r="E252" s="133"/>
      <c r="F252" s="133"/>
      <c r="G252" s="778"/>
      <c r="H252" s="778"/>
      <c r="I252" s="1463" t="s">
        <v>20</v>
      </c>
      <c r="J252" s="1237"/>
      <c r="K252" s="3"/>
      <c r="L252" s="3">
        <f>L253</f>
        <v>5195.03</v>
      </c>
      <c r="M252" s="3">
        <f>M253</f>
        <v>0</v>
      </c>
      <c r="N252" s="3">
        <f t="shared" ref="N252:AO253" si="151">N253</f>
        <v>5037.4399999999996</v>
      </c>
      <c r="O252" s="3">
        <f t="shared" si="151"/>
        <v>0</v>
      </c>
      <c r="P252" s="3">
        <v>416.03</v>
      </c>
      <c r="Q252" s="3">
        <v>0</v>
      </c>
      <c r="R252" s="3">
        <f t="shared" si="151"/>
        <v>0</v>
      </c>
      <c r="S252" s="3">
        <f t="shared" si="151"/>
        <v>0</v>
      </c>
      <c r="T252" s="3">
        <f t="shared" si="151"/>
        <v>0</v>
      </c>
      <c r="U252" s="3">
        <f t="shared" si="151"/>
        <v>0</v>
      </c>
      <c r="V252" s="3">
        <f t="shared" si="151"/>
        <v>157.59</v>
      </c>
      <c r="W252" s="3">
        <f t="shared" si="151"/>
        <v>1096.5039999999999</v>
      </c>
      <c r="X252" s="3">
        <f t="shared" si="151"/>
        <v>0</v>
      </c>
      <c r="Y252" s="3">
        <f t="shared" si="151"/>
        <v>0</v>
      </c>
      <c r="Z252" s="3">
        <v>0</v>
      </c>
      <c r="AA252" s="3">
        <v>0</v>
      </c>
      <c r="AB252" s="3">
        <f t="shared" si="151"/>
        <v>0</v>
      </c>
      <c r="AC252" s="3">
        <f t="shared" si="151"/>
        <v>0</v>
      </c>
      <c r="AD252" s="3">
        <f t="shared" si="151"/>
        <v>1096.5039999999999</v>
      </c>
      <c r="AE252" s="3">
        <f t="shared" si="151"/>
        <v>0</v>
      </c>
      <c r="AF252" s="3">
        <f t="shared" si="151"/>
        <v>0</v>
      </c>
      <c r="AG252" s="3">
        <f t="shared" si="151"/>
        <v>0</v>
      </c>
      <c r="AH252" s="3">
        <f t="shared" si="151"/>
        <v>0</v>
      </c>
      <c r="AI252" s="3">
        <f t="shared" si="151"/>
        <v>0</v>
      </c>
      <c r="AJ252" s="3">
        <f t="shared" si="151"/>
        <v>0</v>
      </c>
      <c r="AK252" s="3">
        <f t="shared" si="151"/>
        <v>0</v>
      </c>
      <c r="AL252" s="3">
        <f t="shared" si="151"/>
        <v>0</v>
      </c>
      <c r="AM252" s="3">
        <f t="shared" si="151"/>
        <v>0</v>
      </c>
      <c r="AN252" s="3">
        <f t="shared" si="151"/>
        <v>0</v>
      </c>
      <c r="AO252" s="3">
        <f t="shared" si="151"/>
        <v>0</v>
      </c>
      <c r="AP252" s="633"/>
      <c r="AQ252" s="3">
        <v>0</v>
      </c>
    </row>
    <row r="253" spans="1:43" ht="15.75" hidden="1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1252"/>
      <c r="I253" s="1465"/>
      <c r="J253" s="1254"/>
      <c r="K253" s="4"/>
      <c r="L253" s="47">
        <v>5195.03</v>
      </c>
      <c r="M253" s="50">
        <v>0</v>
      </c>
      <c r="N253" s="50">
        <v>5037.4399999999996</v>
      </c>
      <c r="O253" s="50">
        <v>0</v>
      </c>
      <c r="P253" s="50">
        <v>157.59</v>
      </c>
      <c r="Q253" s="447">
        <f>Q254</f>
        <v>1096.5039999999999</v>
      </c>
      <c r="R253" s="447">
        <f t="shared" si="151"/>
        <v>0</v>
      </c>
      <c r="S253" s="447">
        <f t="shared" si="151"/>
        <v>0</v>
      </c>
      <c r="T253" s="447">
        <f t="shared" si="151"/>
        <v>0</v>
      </c>
      <c r="U253" s="447">
        <f t="shared" si="151"/>
        <v>0</v>
      </c>
      <c r="V253" s="447">
        <f t="shared" si="151"/>
        <v>157.59</v>
      </c>
      <c r="W253" s="447">
        <f t="shared" si="151"/>
        <v>1096.5039999999999</v>
      </c>
      <c r="X253" s="447">
        <f t="shared" si="151"/>
        <v>0</v>
      </c>
      <c r="Y253" s="447">
        <f t="shared" si="151"/>
        <v>0</v>
      </c>
      <c r="Z253" s="584"/>
      <c r="AA253" s="447">
        <f t="shared" si="151"/>
        <v>1096.5039999999999</v>
      </c>
      <c r="AB253" s="447">
        <f t="shared" si="151"/>
        <v>0</v>
      </c>
      <c r="AC253" s="447">
        <f t="shared" si="151"/>
        <v>0</v>
      </c>
      <c r="AD253" s="447">
        <f t="shared" si="151"/>
        <v>1096.5039999999999</v>
      </c>
      <c r="AE253" s="447">
        <f t="shared" si="151"/>
        <v>0</v>
      </c>
      <c r="AF253" s="447">
        <f t="shared" si="151"/>
        <v>0</v>
      </c>
      <c r="AG253" s="447">
        <f t="shared" si="151"/>
        <v>0</v>
      </c>
      <c r="AH253" s="447">
        <f t="shared" si="151"/>
        <v>0</v>
      </c>
      <c r="AI253" s="447">
        <f t="shared" si="151"/>
        <v>0</v>
      </c>
      <c r="AJ253" s="447">
        <v>0</v>
      </c>
      <c r="AK253" s="447">
        <v>0</v>
      </c>
      <c r="AL253" s="447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7"/>
      <c r="B254" s="96" t="s">
        <v>323</v>
      </c>
      <c r="C254" s="453"/>
      <c r="D254" s="453"/>
      <c r="E254" s="453"/>
      <c r="F254" s="453"/>
      <c r="G254" s="363"/>
      <c r="H254" s="364"/>
      <c r="I254" s="370"/>
      <c r="J254" s="651"/>
      <c r="K254" s="268"/>
      <c r="L254" s="96"/>
      <c r="M254" s="263"/>
      <c r="N254" s="263"/>
      <c r="O254" s="263"/>
      <c r="P254" s="263"/>
      <c r="Q254" s="584">
        <f>W254</f>
        <v>1096.5039999999999</v>
      </c>
      <c r="R254" s="584"/>
      <c r="S254" s="584"/>
      <c r="T254" s="584"/>
      <c r="U254" s="584"/>
      <c r="V254" s="584">
        <v>157.59</v>
      </c>
      <c r="W254" s="584">
        <v>1096.5039999999999</v>
      </c>
      <c r="X254" s="584"/>
      <c r="Y254" s="584"/>
      <c r="Z254" s="584"/>
      <c r="AA254" s="584">
        <f>AD254</f>
        <v>1096.5039999999999</v>
      </c>
      <c r="AB254" s="584"/>
      <c r="AC254" s="584"/>
      <c r="AD254" s="584">
        <v>1096.5039999999999</v>
      </c>
      <c r="AE254" s="584"/>
      <c r="AF254" s="584"/>
      <c r="AG254" s="584"/>
      <c r="AH254" s="584"/>
      <c r="AI254" s="584"/>
      <c r="AJ254" s="584"/>
      <c r="AK254" s="584"/>
      <c r="AL254" s="584"/>
      <c r="AM254" s="263"/>
      <c r="AN254" s="263"/>
      <c r="AO254" s="263"/>
      <c r="AP254" s="413"/>
      <c r="AQ254" s="584"/>
    </row>
    <row r="255" spans="1:43" s="327" customFormat="1" ht="28.5" customHeight="1" x14ac:dyDescent="0.25">
      <c r="A255" s="1450" t="s">
        <v>185</v>
      </c>
      <c r="B255" s="780" t="s">
        <v>187</v>
      </c>
      <c r="C255" s="133"/>
      <c r="D255" s="133"/>
      <c r="E255" s="133"/>
      <c r="F255" s="133"/>
      <c r="G255" s="778"/>
      <c r="H255" s="778"/>
      <c r="I255" s="1463" t="s">
        <v>20</v>
      </c>
      <c r="J255" s="1237"/>
      <c r="K255" s="3"/>
      <c r="L255" s="3">
        <f>L256+L259</f>
        <v>134036.41</v>
      </c>
      <c r="M255" s="3">
        <f t="shared" ref="M255:AO255" si="152">M256+M259</f>
        <v>1825.11</v>
      </c>
      <c r="N255" s="3">
        <f t="shared" si="152"/>
        <v>57476.200000000004</v>
      </c>
      <c r="O255" s="3">
        <f t="shared" si="152"/>
        <v>0</v>
      </c>
      <c r="P255" s="3">
        <f t="shared" si="152"/>
        <v>8907.52</v>
      </c>
      <c r="Q255" s="3">
        <f t="shared" si="152"/>
        <v>0</v>
      </c>
      <c r="R255" s="3">
        <f t="shared" si="152"/>
        <v>0</v>
      </c>
      <c r="S255" s="3">
        <f t="shared" si="152"/>
        <v>0</v>
      </c>
      <c r="T255" s="3">
        <f t="shared" si="152"/>
        <v>0</v>
      </c>
      <c r="U255" s="3">
        <f t="shared" si="152"/>
        <v>0</v>
      </c>
      <c r="V255" s="3">
        <f t="shared" si="152"/>
        <v>0</v>
      </c>
      <c r="W255" s="3">
        <f t="shared" si="152"/>
        <v>0</v>
      </c>
      <c r="X255" s="3">
        <f t="shared" si="152"/>
        <v>0</v>
      </c>
      <c r="Y255" s="3">
        <f t="shared" si="152"/>
        <v>0</v>
      </c>
      <c r="Z255" s="95">
        <v>0</v>
      </c>
      <c r="AA255" s="3">
        <f>AA256+AA259</f>
        <v>0</v>
      </c>
      <c r="AB255" s="3">
        <f t="shared" si="152"/>
        <v>0</v>
      </c>
      <c r="AC255" s="3">
        <f t="shared" si="152"/>
        <v>0</v>
      </c>
      <c r="AD255" s="3">
        <f t="shared" si="152"/>
        <v>0</v>
      </c>
      <c r="AE255" s="3">
        <f t="shared" si="152"/>
        <v>0</v>
      </c>
      <c r="AF255" s="3">
        <f t="shared" si="152"/>
        <v>0</v>
      </c>
      <c r="AG255" s="3">
        <f t="shared" si="152"/>
        <v>0</v>
      </c>
      <c r="AH255" s="3">
        <f t="shared" si="152"/>
        <v>0</v>
      </c>
      <c r="AI255" s="3">
        <f t="shared" si="152"/>
        <v>0</v>
      </c>
      <c r="AJ255" s="3">
        <f t="shared" si="152"/>
        <v>0</v>
      </c>
      <c r="AK255" s="3">
        <f t="shared" si="152"/>
        <v>0</v>
      </c>
      <c r="AL255" s="3">
        <f t="shared" si="152"/>
        <v>0</v>
      </c>
      <c r="AM255" s="3">
        <f t="shared" si="152"/>
        <v>0</v>
      </c>
      <c r="AN255" s="3">
        <f t="shared" si="152"/>
        <v>0</v>
      </c>
      <c r="AO255" s="3">
        <f t="shared" si="152"/>
        <v>0</v>
      </c>
      <c r="AP255" s="633" t="s">
        <v>256</v>
      </c>
      <c r="AQ255" s="95">
        <v>0</v>
      </c>
    </row>
    <row r="256" spans="1:43" ht="15.75" customHeight="1" x14ac:dyDescent="0.25">
      <c r="A256" s="1656"/>
      <c r="B256" s="47" t="s">
        <v>15</v>
      </c>
      <c r="C256" s="341"/>
      <c r="D256" s="341"/>
      <c r="E256" s="341"/>
      <c r="F256" s="341"/>
      <c r="G256" s="313"/>
      <c r="H256" s="1252"/>
      <c r="I256" s="1464"/>
      <c r="J256" s="1254"/>
      <c r="K256" s="4"/>
      <c r="L256" s="47">
        <v>2401.5100000000002</v>
      </c>
      <c r="M256" s="47">
        <v>1825.11</v>
      </c>
      <c r="N256" s="47">
        <v>576.4</v>
      </c>
      <c r="O256" s="47">
        <v>0</v>
      </c>
      <c r="P256" s="47">
        <v>0</v>
      </c>
      <c r="Q256" s="47">
        <f>SUM(Q257:Q258)</f>
        <v>0</v>
      </c>
      <c r="R256" s="50">
        <f>SUM(R257:R258)</f>
        <v>0</v>
      </c>
      <c r="S256" s="50">
        <f t="shared" ref="S256:Y256" si="153">SUM(S257:S258)</f>
        <v>0</v>
      </c>
      <c r="T256" s="50">
        <f t="shared" si="153"/>
        <v>0</v>
      </c>
      <c r="U256" s="50">
        <f t="shared" si="153"/>
        <v>0</v>
      </c>
      <c r="V256" s="50">
        <f t="shared" si="153"/>
        <v>0</v>
      </c>
      <c r="W256" s="50">
        <f t="shared" si="153"/>
        <v>0</v>
      </c>
      <c r="X256" s="447">
        <f t="shared" si="153"/>
        <v>0</v>
      </c>
      <c r="Y256" s="447">
        <f t="shared" si="153"/>
        <v>0</v>
      </c>
      <c r="Z256" s="584"/>
      <c r="AA256" s="447">
        <f>AA257+AA258</f>
        <v>0</v>
      </c>
      <c r="AB256" s="50">
        <f>AB257+AB258</f>
        <v>0</v>
      </c>
      <c r="AC256" s="50">
        <f>AC257+AC258</f>
        <v>0</v>
      </c>
      <c r="AD256" s="50">
        <f>AD257+AD258</f>
        <v>0</v>
      </c>
      <c r="AE256" s="50">
        <f>AE257</f>
        <v>0</v>
      </c>
      <c r="AF256" s="50">
        <v>0</v>
      </c>
      <c r="AG256" s="50">
        <v>0</v>
      </c>
      <c r="AH256" s="50">
        <v>0</v>
      </c>
      <c r="AI256" s="50"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412"/>
      <c r="AQ256" s="584"/>
    </row>
    <row r="257" spans="1:43" s="266" customFormat="1" ht="15.75" hidden="1" customHeight="1" x14ac:dyDescent="0.25">
      <c r="A257" s="1656"/>
      <c r="B257" s="452" t="s">
        <v>267</v>
      </c>
      <c r="C257" s="453"/>
      <c r="D257" s="453"/>
      <c r="E257" s="453"/>
      <c r="F257" s="453"/>
      <c r="G257" s="453"/>
      <c r="H257" s="454"/>
      <c r="I257" s="1464"/>
      <c r="J257" s="651"/>
      <c r="K257" s="268"/>
      <c r="L257" s="96"/>
      <c r="M257" s="268"/>
      <c r="N257" s="268"/>
      <c r="O257" s="268"/>
      <c r="P257" s="268">
        <f>Q257</f>
        <v>0</v>
      </c>
      <c r="Q257" s="455">
        <f>S257+U257+W257</f>
        <v>0</v>
      </c>
      <c r="R257" s="455"/>
      <c r="S257" s="455"/>
      <c r="T257" s="455">
        <v>0</v>
      </c>
      <c r="U257" s="455">
        <v>0</v>
      </c>
      <c r="V257" s="455"/>
      <c r="W257" s="455"/>
      <c r="X257" s="455"/>
      <c r="Y257" s="455"/>
      <c r="Z257" s="455"/>
      <c r="AA257" s="455">
        <f>SUM(AB257:AE257)</f>
        <v>0</v>
      </c>
      <c r="AB257" s="455"/>
      <c r="AC257" s="455">
        <v>0</v>
      </c>
      <c r="AD257" s="455">
        <v>0</v>
      </c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6"/>
      <c r="AQ257" s="455"/>
    </row>
    <row r="258" spans="1:43" s="266" customFormat="1" ht="15.75" hidden="1" customHeight="1" x14ac:dyDescent="0.25">
      <c r="A258" s="1656"/>
      <c r="B258" s="452" t="s">
        <v>271</v>
      </c>
      <c r="C258" s="453"/>
      <c r="D258" s="453"/>
      <c r="E258" s="453"/>
      <c r="F258" s="453"/>
      <c r="G258" s="453"/>
      <c r="H258" s="454"/>
      <c r="I258" s="1464"/>
      <c r="J258" s="651"/>
      <c r="K258" s="268"/>
      <c r="L258" s="96"/>
      <c r="M258" s="268"/>
      <c r="N258" s="268"/>
      <c r="O258" s="268"/>
      <c r="P258" s="268"/>
      <c r="Q258" s="489">
        <f>S258+U258+W258+Y258</f>
        <v>0</v>
      </c>
      <c r="R258" s="489"/>
      <c r="S258" s="489"/>
      <c r="T258" s="489"/>
      <c r="U258" s="489"/>
      <c r="V258" s="489">
        <f>W258</f>
        <v>0</v>
      </c>
      <c r="W258" s="489">
        <v>0</v>
      </c>
      <c r="X258" s="489">
        <f>Y258</f>
        <v>0</v>
      </c>
      <c r="Y258" s="489">
        <v>0</v>
      </c>
      <c r="Z258" s="489"/>
      <c r="AA258" s="489">
        <f>SUM(AB258:AE258)</f>
        <v>0</v>
      </c>
      <c r="AB258" s="489"/>
      <c r="AC258" s="489"/>
      <c r="AD258" s="489">
        <v>0</v>
      </c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  <c r="AO258" s="455"/>
      <c r="AP258" s="456"/>
      <c r="AQ258" s="489"/>
    </row>
    <row r="259" spans="1:43" ht="15.75" customHeight="1" x14ac:dyDescent="0.25">
      <c r="A259" s="1657"/>
      <c r="B259" s="340" t="s">
        <v>32</v>
      </c>
      <c r="C259" s="341"/>
      <c r="D259" s="341"/>
      <c r="E259" s="341"/>
      <c r="F259" s="341"/>
      <c r="G259" s="341"/>
      <c r="H259" s="1253"/>
      <c r="I259" s="1662"/>
      <c r="J259" s="1254"/>
      <c r="K259" s="4"/>
      <c r="L259" s="47">
        <v>131634.9</v>
      </c>
      <c r="M259" s="343">
        <v>0</v>
      </c>
      <c r="N259" s="47">
        <v>56899.8</v>
      </c>
      <c r="O259" s="343">
        <v>0</v>
      </c>
      <c r="P259" s="47">
        <v>8907.52</v>
      </c>
      <c r="Q259" s="47">
        <v>0</v>
      </c>
      <c r="R259" s="343">
        <v>0</v>
      </c>
      <c r="S259" s="343">
        <v>0</v>
      </c>
      <c r="T259" s="343">
        <v>0</v>
      </c>
      <c r="U259" s="343">
        <v>0</v>
      </c>
      <c r="V259" s="343">
        <v>0</v>
      </c>
      <c r="W259" s="343">
        <v>0</v>
      </c>
      <c r="X259" s="343">
        <v>0</v>
      </c>
      <c r="Y259" s="343">
        <v>0</v>
      </c>
      <c r="Z259" s="455"/>
      <c r="AA259" s="343">
        <v>0</v>
      </c>
      <c r="AB259" s="343">
        <v>0</v>
      </c>
      <c r="AC259" s="343">
        <v>0</v>
      </c>
      <c r="AD259" s="343">
        <v>0</v>
      </c>
      <c r="AE259" s="343">
        <v>0</v>
      </c>
      <c r="AF259" s="343">
        <v>0</v>
      </c>
      <c r="AG259" s="343">
        <v>0</v>
      </c>
      <c r="AH259" s="343">
        <v>0</v>
      </c>
      <c r="AI259" s="343">
        <v>0</v>
      </c>
      <c r="AJ259" s="343">
        <v>0</v>
      </c>
      <c r="AK259" s="343">
        <v>0</v>
      </c>
      <c r="AL259" s="343">
        <v>0</v>
      </c>
      <c r="AM259" s="343">
        <v>0</v>
      </c>
      <c r="AN259" s="343">
        <v>0</v>
      </c>
      <c r="AO259" s="343">
        <v>0</v>
      </c>
      <c r="AP259" s="415"/>
      <c r="AQ259" s="455"/>
    </row>
    <row r="260" spans="1:43" s="327" customFormat="1" ht="27.75" customHeight="1" x14ac:dyDescent="0.25">
      <c r="A260" s="1473" t="s">
        <v>186</v>
      </c>
      <c r="B260" s="780" t="s">
        <v>210</v>
      </c>
      <c r="C260" s="1230"/>
      <c r="D260" s="1230"/>
      <c r="E260" s="1230">
        <v>300</v>
      </c>
      <c r="F260" s="1230"/>
      <c r="G260" s="1230">
        <v>2019</v>
      </c>
      <c r="H260" s="1230">
        <v>2019</v>
      </c>
      <c r="I260" s="1493" t="s">
        <v>20</v>
      </c>
      <c r="J260" s="52">
        <f>K260+L260</f>
        <v>27019.38</v>
      </c>
      <c r="K260" s="3">
        <v>0</v>
      </c>
      <c r="L260" s="3">
        <f>L261</f>
        <v>27019.38</v>
      </c>
      <c r="M260" s="3">
        <f>M261</f>
        <v>27019.38</v>
      </c>
      <c r="N260" s="318">
        <v>0</v>
      </c>
      <c r="O260" s="318">
        <v>0</v>
      </c>
      <c r="P260" s="318">
        <f>P261</f>
        <v>0</v>
      </c>
      <c r="Q260" s="318">
        <f>Q261</f>
        <v>0</v>
      </c>
      <c r="R260" s="318">
        <f t="shared" ref="R260:AO261" si="154">R261</f>
        <v>0</v>
      </c>
      <c r="S260" s="318">
        <f t="shared" si="154"/>
        <v>0</v>
      </c>
      <c r="T260" s="318">
        <f t="shared" si="154"/>
        <v>0</v>
      </c>
      <c r="U260" s="318">
        <f t="shared" si="154"/>
        <v>0</v>
      </c>
      <c r="V260" s="318">
        <f t="shared" si="154"/>
        <v>0</v>
      </c>
      <c r="W260" s="318">
        <f t="shared" si="154"/>
        <v>0</v>
      </c>
      <c r="X260" s="318">
        <f t="shared" si="154"/>
        <v>0</v>
      </c>
      <c r="Y260" s="318">
        <f t="shared" si="154"/>
        <v>0</v>
      </c>
      <c r="Z260" s="372">
        <v>0</v>
      </c>
      <c r="AA260" s="318">
        <f t="shared" si="154"/>
        <v>0</v>
      </c>
      <c r="AB260" s="318">
        <f t="shared" si="154"/>
        <v>0</v>
      </c>
      <c r="AC260" s="318">
        <f t="shared" si="154"/>
        <v>0</v>
      </c>
      <c r="AD260" s="318">
        <f t="shared" si="154"/>
        <v>0</v>
      </c>
      <c r="AE260" s="318">
        <f t="shared" si="154"/>
        <v>0</v>
      </c>
      <c r="AF260" s="318">
        <f t="shared" si="154"/>
        <v>0</v>
      </c>
      <c r="AG260" s="318">
        <f t="shared" si="154"/>
        <v>0</v>
      </c>
      <c r="AH260" s="318">
        <f t="shared" si="154"/>
        <v>0</v>
      </c>
      <c r="AI260" s="318">
        <f t="shared" si="154"/>
        <v>0</v>
      </c>
      <c r="AJ260" s="318">
        <f t="shared" si="154"/>
        <v>0</v>
      </c>
      <c r="AK260" s="318">
        <f t="shared" si="154"/>
        <v>0</v>
      </c>
      <c r="AL260" s="318">
        <f t="shared" si="154"/>
        <v>0</v>
      </c>
      <c r="AM260" s="318">
        <f t="shared" si="154"/>
        <v>0</v>
      </c>
      <c r="AN260" s="318">
        <f t="shared" si="154"/>
        <v>0</v>
      </c>
      <c r="AO260" s="318">
        <f t="shared" si="154"/>
        <v>0</v>
      </c>
      <c r="AP260" s="783" t="s">
        <v>273</v>
      </c>
      <c r="AQ260" s="372">
        <v>0</v>
      </c>
    </row>
    <row r="261" spans="1:43" ht="19.5" hidden="1" customHeight="1" x14ac:dyDescent="0.25">
      <c r="A261" s="1663"/>
      <c r="B261" s="1" t="s">
        <v>211</v>
      </c>
      <c r="C261" s="1236"/>
      <c r="D261" s="1236"/>
      <c r="E261" s="1236"/>
      <c r="F261" s="1236"/>
      <c r="G261" s="1236"/>
      <c r="H261" s="1236"/>
      <c r="I261" s="1494"/>
      <c r="J261" s="6"/>
      <c r="K261" s="47"/>
      <c r="L261" s="47">
        <v>27019.38</v>
      </c>
      <c r="M261" s="47">
        <v>27019.38</v>
      </c>
      <c r="N261" s="47">
        <v>0</v>
      </c>
      <c r="O261" s="47">
        <v>0</v>
      </c>
      <c r="P261" s="4">
        <v>0</v>
      </c>
      <c r="Q261" s="4">
        <f>Q262</f>
        <v>0</v>
      </c>
      <c r="R261" s="4">
        <f t="shared" si="154"/>
        <v>0</v>
      </c>
      <c r="S261" s="4">
        <f t="shared" si="154"/>
        <v>0</v>
      </c>
      <c r="T261" s="4">
        <f t="shared" si="154"/>
        <v>0</v>
      </c>
      <c r="U261" s="4">
        <f t="shared" si="154"/>
        <v>0</v>
      </c>
      <c r="V261" s="4">
        <f t="shared" si="154"/>
        <v>0</v>
      </c>
      <c r="W261" s="4">
        <f t="shared" si="154"/>
        <v>0</v>
      </c>
      <c r="X261" s="4">
        <v>0</v>
      </c>
      <c r="Y261" s="4">
        <f t="shared" si="154"/>
        <v>0</v>
      </c>
      <c r="Z261" s="268"/>
      <c r="AA261" s="4">
        <f t="shared" si="154"/>
        <v>0</v>
      </c>
      <c r="AB261" s="4">
        <f t="shared" si="154"/>
        <v>0</v>
      </c>
      <c r="AC261" s="4">
        <f t="shared" si="154"/>
        <v>0</v>
      </c>
      <c r="AD261" s="4">
        <f t="shared" si="154"/>
        <v>0</v>
      </c>
      <c r="AE261" s="4">
        <f t="shared" si="154"/>
        <v>0</v>
      </c>
      <c r="AF261" s="4">
        <f>AF262</f>
        <v>0</v>
      </c>
      <c r="AG261" s="4">
        <f t="shared" si="154"/>
        <v>0</v>
      </c>
      <c r="AH261" s="4">
        <f t="shared" si="154"/>
        <v>0</v>
      </c>
      <c r="AI261" s="4">
        <f t="shared" si="154"/>
        <v>0</v>
      </c>
      <c r="AJ261" s="4">
        <f t="shared" si="154"/>
        <v>0</v>
      </c>
      <c r="AK261" s="4">
        <f t="shared" si="154"/>
        <v>0</v>
      </c>
      <c r="AL261" s="4">
        <f t="shared" si="154"/>
        <v>0</v>
      </c>
      <c r="AM261" s="4">
        <f t="shared" si="154"/>
        <v>0</v>
      </c>
      <c r="AN261" s="4">
        <f t="shared" si="154"/>
        <v>0</v>
      </c>
      <c r="AO261" s="4">
        <f t="shared" si="154"/>
        <v>0</v>
      </c>
      <c r="AP261" s="417"/>
      <c r="AQ261" s="268"/>
    </row>
    <row r="262" spans="1:43" s="266" customFormat="1" ht="15.75" hidden="1" x14ac:dyDescent="0.25">
      <c r="A262" s="267"/>
      <c r="B262" s="102" t="s">
        <v>253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Q262</f>
        <v>0</v>
      </c>
      <c r="Q262" s="268">
        <f>S262+U262+W262</f>
        <v>0</v>
      </c>
      <c r="R262" s="268">
        <f>S262</f>
        <v>0</v>
      </c>
      <c r="S262" s="268">
        <v>0</v>
      </c>
      <c r="T262" s="268">
        <v>0</v>
      </c>
      <c r="U262" s="268">
        <v>0</v>
      </c>
      <c r="V262" s="268">
        <f>W262</f>
        <v>0</v>
      </c>
      <c r="W262" s="268">
        <v>0</v>
      </c>
      <c r="X262" s="268">
        <v>0</v>
      </c>
      <c r="Y262" s="268">
        <v>0</v>
      </c>
      <c r="Z262" s="268"/>
      <c r="AA262" s="268">
        <f>SUM(AB262:AC262)</f>
        <v>0</v>
      </c>
      <c r="AB262" s="268">
        <v>0</v>
      </c>
      <c r="AC262" s="268">
        <v>0</v>
      </c>
      <c r="AD262" s="268">
        <v>0</v>
      </c>
      <c r="AE262" s="268"/>
      <c r="AF262" s="268">
        <f>SUM(AG262:AI262)</f>
        <v>0</v>
      </c>
      <c r="AG262" s="268"/>
      <c r="AH262" s="268">
        <v>0</v>
      </c>
      <c r="AI262" s="268">
        <v>0</v>
      </c>
      <c r="AJ262" s="268"/>
      <c r="AK262" s="96"/>
      <c r="AL262" s="96"/>
      <c r="AM262" s="96"/>
      <c r="AN262" s="268"/>
      <c r="AO262" s="268"/>
      <c r="AP262" s="418"/>
      <c r="AQ262" s="268"/>
    </row>
    <row r="263" spans="1:43" s="327" customFormat="1" ht="40.5" customHeight="1" x14ac:dyDescent="0.25">
      <c r="A263" s="832" t="s">
        <v>188</v>
      </c>
      <c r="B263" s="780" t="s">
        <v>466</v>
      </c>
      <c r="C263" s="1230">
        <v>63</v>
      </c>
      <c r="D263" s="1230">
        <v>250</v>
      </c>
      <c r="E263" s="1230">
        <v>250</v>
      </c>
      <c r="F263" s="1230"/>
      <c r="G263" s="1230">
        <v>2019</v>
      </c>
      <c r="H263" s="1230">
        <v>2019</v>
      </c>
      <c r="I263" s="780"/>
      <c r="J263" s="52">
        <f>K263+L263</f>
        <v>36691.870000000003</v>
      </c>
      <c r="K263" s="3">
        <v>0</v>
      </c>
      <c r="L263" s="3">
        <f>L264+L267+L268</f>
        <v>36691.870000000003</v>
      </c>
      <c r="M263" s="3">
        <f>M264+M267+M268</f>
        <v>31392.57</v>
      </c>
      <c r="N263" s="3">
        <f>N264+N267+N268</f>
        <v>33892.57</v>
      </c>
      <c r="O263" s="3">
        <f>O264+O267+O268</f>
        <v>33892.57</v>
      </c>
      <c r="P263" s="3">
        <f>P264+P267+P268</f>
        <v>0</v>
      </c>
      <c r="Q263" s="3">
        <f>Q264+Q268</f>
        <v>0</v>
      </c>
      <c r="R263" s="3">
        <f t="shared" ref="R263:AI263" si="155">R264+R268</f>
        <v>138.15199999999999</v>
      </c>
      <c r="S263" s="3">
        <f t="shared" si="155"/>
        <v>138.15199999999999</v>
      </c>
      <c r="T263" s="3">
        <f t="shared" si="155"/>
        <v>2350</v>
      </c>
      <c r="U263" s="3">
        <f t="shared" si="155"/>
        <v>2350</v>
      </c>
      <c r="V263" s="3">
        <f t="shared" si="155"/>
        <v>28677.305</v>
      </c>
      <c r="W263" s="3">
        <f t="shared" si="155"/>
        <v>28677.305</v>
      </c>
      <c r="X263" s="3">
        <f t="shared" si="155"/>
        <v>0</v>
      </c>
      <c r="Y263" s="3">
        <f t="shared" si="155"/>
        <v>0</v>
      </c>
      <c r="Z263" s="3">
        <f t="shared" si="155"/>
        <v>0</v>
      </c>
      <c r="AA263" s="3">
        <f t="shared" si="155"/>
        <v>0</v>
      </c>
      <c r="AB263" s="3">
        <f t="shared" si="155"/>
        <v>0</v>
      </c>
      <c r="AC263" s="3">
        <f t="shared" si="155"/>
        <v>17468.748</v>
      </c>
      <c r="AD263" s="3">
        <f t="shared" si="155"/>
        <v>19862.373</v>
      </c>
      <c r="AE263" s="3">
        <f t="shared" si="155"/>
        <v>0</v>
      </c>
      <c r="AF263" s="3">
        <f t="shared" si="155"/>
        <v>0</v>
      </c>
      <c r="AG263" s="3">
        <f t="shared" si="155"/>
        <v>0</v>
      </c>
      <c r="AH263" s="3">
        <f t="shared" si="155"/>
        <v>0</v>
      </c>
      <c r="AI263" s="3">
        <f t="shared" si="155"/>
        <v>0</v>
      </c>
      <c r="AJ263" s="3">
        <v>0</v>
      </c>
      <c r="AK263" s="3">
        <f>P263-Q263</f>
        <v>0</v>
      </c>
      <c r="AL263" s="3">
        <f>AK263</f>
        <v>0</v>
      </c>
      <c r="AM263" s="318" t="e">
        <f>ROUND((Q263*100%/P263*100),2)</f>
        <v>#DIV/0!</v>
      </c>
      <c r="AN263" s="3">
        <v>0</v>
      </c>
      <c r="AO263" s="3">
        <v>0</v>
      </c>
      <c r="AP263" s="633"/>
      <c r="AQ263" s="95">
        <f>76.182+4641.965+15.332</f>
        <v>4733.4790000000003</v>
      </c>
    </row>
    <row r="264" spans="1:43" ht="15" customHeight="1" x14ac:dyDescent="0.25">
      <c r="A264" s="1234"/>
      <c r="B264" s="47" t="s">
        <v>15</v>
      </c>
      <c r="C264" s="1236"/>
      <c r="D264" s="1236"/>
      <c r="E264" s="1236"/>
      <c r="F264" s="1236"/>
      <c r="G264" s="1236"/>
      <c r="H264" s="1236"/>
      <c r="I264" s="481" t="s">
        <v>20</v>
      </c>
      <c r="J264" s="462"/>
      <c r="K264" s="47"/>
      <c r="L264" s="47">
        <v>2799.3</v>
      </c>
      <c r="M264" s="4"/>
      <c r="N264" s="4">
        <v>0</v>
      </c>
      <c r="O264" s="4"/>
      <c r="P264" s="4">
        <v>0</v>
      </c>
      <c r="Q264" s="4">
        <v>0</v>
      </c>
      <c r="R264" s="4">
        <f t="shared" ref="R264:AE264" si="156">SUM(R265:R266)</f>
        <v>138.15199999999999</v>
      </c>
      <c r="S264" s="4">
        <f t="shared" si="156"/>
        <v>138.15199999999999</v>
      </c>
      <c r="T264" s="4">
        <f t="shared" si="156"/>
        <v>2350</v>
      </c>
      <c r="U264" s="4">
        <f t="shared" si="156"/>
        <v>2350</v>
      </c>
      <c r="V264" s="4">
        <f t="shared" si="156"/>
        <v>0</v>
      </c>
      <c r="W264" s="4">
        <f t="shared" si="156"/>
        <v>0</v>
      </c>
      <c r="X264" s="4">
        <f t="shared" si="156"/>
        <v>0</v>
      </c>
      <c r="Y264" s="4">
        <f t="shared" si="156"/>
        <v>0</v>
      </c>
      <c r="Z264" s="268"/>
      <c r="AA264" s="4">
        <v>0</v>
      </c>
      <c r="AB264" s="4">
        <f t="shared" si="156"/>
        <v>0</v>
      </c>
      <c r="AC264" s="4">
        <f t="shared" si="156"/>
        <v>2488.15</v>
      </c>
      <c r="AD264" s="4">
        <f t="shared" si="156"/>
        <v>0</v>
      </c>
      <c r="AE264" s="4">
        <f t="shared" si="156"/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1242"/>
      <c r="AQ264" s="268"/>
    </row>
    <row r="265" spans="1:43" s="266" customFormat="1" ht="15.75" hidden="1" x14ac:dyDescent="0.25">
      <c r="A265" s="267"/>
      <c r="B265" s="102" t="s">
        <v>303</v>
      </c>
      <c r="C265" s="104"/>
      <c r="D265" s="104"/>
      <c r="E265" s="104"/>
      <c r="F265" s="104"/>
      <c r="G265" s="104"/>
      <c r="H265" s="104"/>
      <c r="I265" s="102"/>
      <c r="J265" s="106"/>
      <c r="K265" s="96"/>
      <c r="L265" s="96"/>
      <c r="M265" s="268"/>
      <c r="N265" s="268"/>
      <c r="O265" s="268"/>
      <c r="P265" s="268">
        <f>R265+T265</f>
        <v>138.15199999999999</v>
      </c>
      <c r="Q265" s="268">
        <f>S265</f>
        <v>138.15199999999999</v>
      </c>
      <c r="R265" s="268">
        <f>S265</f>
        <v>138.15199999999999</v>
      </c>
      <c r="S265" s="268">
        <v>138.15199999999999</v>
      </c>
      <c r="T265" s="268">
        <f>U265</f>
        <v>0</v>
      </c>
      <c r="U265" s="268">
        <v>0</v>
      </c>
      <c r="V265" s="268"/>
      <c r="W265" s="268"/>
      <c r="X265" s="268"/>
      <c r="Y265" s="268">
        <v>0</v>
      </c>
      <c r="Z265" s="268"/>
      <c r="AA265" s="268">
        <f>AC265</f>
        <v>138.15</v>
      </c>
      <c r="AB265" s="268">
        <v>0</v>
      </c>
      <c r="AC265" s="268">
        <v>138.15</v>
      </c>
      <c r="AD265" s="268"/>
      <c r="AE265" s="268">
        <v>0</v>
      </c>
      <c r="AF265" s="268"/>
      <c r="AG265" s="268"/>
      <c r="AH265" s="268"/>
      <c r="AI265" s="268"/>
      <c r="AJ265" s="268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8"/>
      <c r="AQ265" s="268"/>
    </row>
    <row r="266" spans="1:43" s="266" customFormat="1" ht="15.75" hidden="1" x14ac:dyDescent="0.25">
      <c r="A266" s="490"/>
      <c r="B266" s="102" t="s">
        <v>311</v>
      </c>
      <c r="C266" s="104"/>
      <c r="D266" s="104"/>
      <c r="E266" s="104"/>
      <c r="F266" s="104"/>
      <c r="G266" s="104"/>
      <c r="H266" s="104"/>
      <c r="I266" s="92"/>
      <c r="J266" s="442"/>
      <c r="K266" s="96"/>
      <c r="L266" s="96"/>
      <c r="M266" s="268"/>
      <c r="N266" s="268"/>
      <c r="O266" s="268"/>
      <c r="P266" s="268"/>
      <c r="Q266" s="268">
        <f>Y266+U266</f>
        <v>2350</v>
      </c>
      <c r="R266" s="268"/>
      <c r="S266" s="268"/>
      <c r="T266" s="268">
        <f>U266</f>
        <v>2350</v>
      </c>
      <c r="U266" s="268">
        <v>2350</v>
      </c>
      <c r="V266" s="268"/>
      <c r="W266" s="268"/>
      <c r="X266" s="268"/>
      <c r="Y266" s="268">
        <v>0</v>
      </c>
      <c r="Z266" s="268"/>
      <c r="AA266" s="268">
        <f>AI266+AE266</f>
        <v>0</v>
      </c>
      <c r="AB266" s="268"/>
      <c r="AC266" s="268">
        <v>2350</v>
      </c>
      <c r="AD266" s="268"/>
      <c r="AE266" s="268">
        <v>0</v>
      </c>
      <c r="AF266" s="268"/>
      <c r="AG266" s="268"/>
      <c r="AH266" s="268"/>
      <c r="AI266" s="268"/>
      <c r="AJ266" s="268"/>
      <c r="AK266" s="47">
        <v>0</v>
      </c>
      <c r="AL266" s="47">
        <v>0</v>
      </c>
      <c r="AM266" s="47">
        <v>0</v>
      </c>
      <c r="AN266" s="4">
        <v>0</v>
      </c>
      <c r="AO266" s="4">
        <v>0</v>
      </c>
      <c r="AP266" s="418"/>
      <c r="AQ266" s="268"/>
    </row>
    <row r="267" spans="1:43" ht="15.75" x14ac:dyDescent="0.25">
      <c r="A267" s="1234"/>
      <c r="B267" s="47" t="s">
        <v>15</v>
      </c>
      <c r="C267" s="1236"/>
      <c r="D267" s="1236"/>
      <c r="E267" s="1236"/>
      <c r="F267" s="1236"/>
      <c r="G267" s="1236"/>
      <c r="H267" s="1236"/>
      <c r="I267" s="1493" t="s">
        <v>10</v>
      </c>
      <c r="J267" s="462"/>
      <c r="K267" s="47"/>
      <c r="L267" s="47">
        <v>2500</v>
      </c>
      <c r="M267" s="4"/>
      <c r="N267" s="4">
        <v>2500</v>
      </c>
      <c r="O267" s="4">
        <v>2500</v>
      </c>
      <c r="P267" s="4">
        <v>0</v>
      </c>
      <c r="Q267" s="4">
        <v>0</v>
      </c>
      <c r="R267" s="4">
        <v>0</v>
      </c>
      <c r="S267" s="4">
        <v>0</v>
      </c>
      <c r="T267" s="4"/>
      <c r="U267" s="4"/>
      <c r="V267" s="4"/>
      <c r="W267" s="4"/>
      <c r="X267" s="4"/>
      <c r="Y267" s="4"/>
      <c r="Z267" s="268"/>
      <c r="AA267" s="4">
        <v>0</v>
      </c>
      <c r="AB267" s="4">
        <v>0</v>
      </c>
      <c r="AC267" s="4"/>
      <c r="AD267" s="4"/>
      <c r="AE267" s="4"/>
      <c r="AF267" s="4">
        <v>0</v>
      </c>
      <c r="AG267" s="4">
        <v>0</v>
      </c>
      <c r="AH267" s="4"/>
      <c r="AI267" s="4"/>
      <c r="AJ267" s="4"/>
      <c r="AK267" s="47">
        <v>0</v>
      </c>
      <c r="AL267" s="47">
        <v>0</v>
      </c>
      <c r="AM267" s="47">
        <v>0</v>
      </c>
      <c r="AN267" s="4">
        <v>0</v>
      </c>
      <c r="AO267" s="4">
        <v>0</v>
      </c>
      <c r="AP267" s="417"/>
      <c r="AQ267" s="268"/>
    </row>
    <row r="268" spans="1:43" ht="15.75" x14ac:dyDescent="0.25">
      <c r="A268" s="1234"/>
      <c r="B268" s="1" t="s">
        <v>16</v>
      </c>
      <c r="C268" s="1236"/>
      <c r="D268" s="1236"/>
      <c r="E268" s="1236"/>
      <c r="F268" s="1236"/>
      <c r="G268" s="1236"/>
      <c r="H268" s="1236"/>
      <c r="I268" s="1494"/>
      <c r="J268" s="462"/>
      <c r="K268" s="47"/>
      <c r="L268" s="47">
        <v>31392.57</v>
      </c>
      <c r="M268" s="47">
        <v>31392.57</v>
      </c>
      <c r="N268" s="47">
        <v>31392.57</v>
      </c>
      <c r="O268" s="47">
        <v>31392.57</v>
      </c>
      <c r="P268" s="47">
        <v>0</v>
      </c>
      <c r="Q268" s="4">
        <v>0</v>
      </c>
      <c r="R268" s="4">
        <f t="shared" ref="R268:AI268" si="157">R269</f>
        <v>0</v>
      </c>
      <c r="S268" s="4">
        <f t="shared" si="157"/>
        <v>0</v>
      </c>
      <c r="T268" s="4">
        <f t="shared" si="157"/>
        <v>0</v>
      </c>
      <c r="U268" s="4">
        <f t="shared" si="157"/>
        <v>0</v>
      </c>
      <c r="V268" s="4">
        <f t="shared" si="157"/>
        <v>28677.305</v>
      </c>
      <c r="W268" s="4">
        <f t="shared" si="157"/>
        <v>28677.305</v>
      </c>
      <c r="X268" s="4">
        <f t="shared" si="157"/>
        <v>0</v>
      </c>
      <c r="Y268" s="4">
        <f t="shared" si="157"/>
        <v>0</v>
      </c>
      <c r="Z268" s="268"/>
      <c r="AA268" s="4">
        <v>0</v>
      </c>
      <c r="AB268" s="4">
        <f t="shared" si="157"/>
        <v>0</v>
      </c>
      <c r="AC268" s="4">
        <f t="shared" si="157"/>
        <v>14980.598</v>
      </c>
      <c r="AD268" s="4">
        <f t="shared" si="157"/>
        <v>19862.373</v>
      </c>
      <c r="AE268" s="4">
        <f t="shared" si="157"/>
        <v>0</v>
      </c>
      <c r="AF268" s="4">
        <f t="shared" si="157"/>
        <v>0</v>
      </c>
      <c r="AG268" s="4">
        <f t="shared" si="157"/>
        <v>0</v>
      </c>
      <c r="AH268" s="4">
        <f t="shared" si="157"/>
        <v>0</v>
      </c>
      <c r="AI268" s="4">
        <f t="shared" si="157"/>
        <v>0</v>
      </c>
      <c r="AJ268" s="4"/>
      <c r="AK268" s="47">
        <v>0</v>
      </c>
      <c r="AL268" s="47">
        <v>0</v>
      </c>
      <c r="AM268" s="47">
        <v>0</v>
      </c>
      <c r="AN268" s="4">
        <v>0</v>
      </c>
      <c r="AO268" s="4">
        <v>0</v>
      </c>
      <c r="AP268" s="417"/>
      <c r="AQ268" s="268"/>
    </row>
    <row r="269" spans="1:43" s="266" customFormat="1" ht="15.75" hidden="1" x14ac:dyDescent="0.25">
      <c r="A269" s="490"/>
      <c r="B269" s="102" t="s">
        <v>316</v>
      </c>
      <c r="C269" s="104"/>
      <c r="D269" s="104"/>
      <c r="E269" s="104"/>
      <c r="F269" s="104"/>
      <c r="G269" s="104"/>
      <c r="H269" s="104"/>
      <c r="I269" s="575"/>
      <c r="J269" s="442"/>
      <c r="K269" s="96"/>
      <c r="L269" s="96"/>
      <c r="M269" s="268"/>
      <c r="N269" s="268"/>
      <c r="O269" s="268"/>
      <c r="P269" s="268"/>
      <c r="Q269" s="268">
        <f>W269</f>
        <v>28677.305</v>
      </c>
      <c r="R269" s="268"/>
      <c r="S269" s="268"/>
      <c r="T269" s="268"/>
      <c r="U269" s="268"/>
      <c r="V269" s="268">
        <f>W269</f>
        <v>28677.305</v>
      </c>
      <c r="W269" s="268">
        <v>28677.305</v>
      </c>
      <c r="X269" s="268"/>
      <c r="Y269" s="268"/>
      <c r="Z269" s="268"/>
      <c r="AA269" s="268">
        <f>AC269+AD269</f>
        <v>34842.970999999998</v>
      </c>
      <c r="AB269" s="268"/>
      <c r="AC269" s="268">
        <v>14980.598</v>
      </c>
      <c r="AD269" s="268">
        <v>19862.373</v>
      </c>
      <c r="AE269" s="268"/>
      <c r="AF269" s="268"/>
      <c r="AG269" s="268"/>
      <c r="AH269" s="268"/>
      <c r="AI269" s="268"/>
      <c r="AJ269" s="268"/>
      <c r="AK269" s="96"/>
      <c r="AL269" s="96"/>
      <c r="AM269" s="96"/>
      <c r="AN269" s="268"/>
      <c r="AO269" s="268"/>
      <c r="AP269" s="418"/>
      <c r="AQ269" s="268"/>
    </row>
    <row r="270" spans="1:43" s="327" customFormat="1" ht="18.75" customHeight="1" x14ac:dyDescent="0.25">
      <c r="A270" s="1358" t="s">
        <v>189</v>
      </c>
      <c r="B270" s="609" t="s">
        <v>35</v>
      </c>
      <c r="C270" s="1661">
        <v>500</v>
      </c>
      <c r="D270" s="1661" t="s">
        <v>43</v>
      </c>
      <c r="E270" s="1661">
        <v>850</v>
      </c>
      <c r="F270" s="1660">
        <v>20400</v>
      </c>
      <c r="G270" s="807"/>
      <c r="H270" s="807"/>
      <c r="I270" s="1326" t="s">
        <v>20</v>
      </c>
      <c r="J270" s="1622">
        <v>6942.46</v>
      </c>
      <c r="K270" s="3">
        <v>0</v>
      </c>
      <c r="L270" s="3">
        <f>L271</f>
        <v>6462.97</v>
      </c>
      <c r="M270" s="318">
        <f>M271</f>
        <v>0</v>
      </c>
      <c r="N270" s="318">
        <f>N271</f>
        <v>0</v>
      </c>
      <c r="O270" s="318">
        <f>O271</f>
        <v>6942.46</v>
      </c>
      <c r="P270" s="318">
        <v>0</v>
      </c>
      <c r="Q270" s="318">
        <v>0</v>
      </c>
      <c r="R270" s="318">
        <v>0</v>
      </c>
      <c r="S270" s="318">
        <v>0</v>
      </c>
      <c r="T270" s="318">
        <v>0</v>
      </c>
      <c r="U270" s="318">
        <v>0</v>
      </c>
      <c r="V270" s="318">
        <v>0</v>
      </c>
      <c r="W270" s="318">
        <v>0</v>
      </c>
      <c r="X270" s="318">
        <v>0</v>
      </c>
      <c r="Y270" s="318">
        <v>0</v>
      </c>
      <c r="Z270" s="372">
        <v>0</v>
      </c>
      <c r="AA270" s="318">
        <v>0</v>
      </c>
      <c r="AB270" s="318">
        <v>0</v>
      </c>
      <c r="AC270" s="318">
        <v>0</v>
      </c>
      <c r="AD270" s="318">
        <v>0</v>
      </c>
      <c r="AE270" s="318">
        <v>0</v>
      </c>
      <c r="AF270" s="318">
        <v>0</v>
      </c>
      <c r="AG270" s="318">
        <v>0</v>
      </c>
      <c r="AH270" s="318">
        <v>0</v>
      </c>
      <c r="AI270" s="318">
        <v>0</v>
      </c>
      <c r="AJ270" s="318">
        <v>0</v>
      </c>
      <c r="AK270" s="3">
        <f>P270-Q270</f>
        <v>0</v>
      </c>
      <c r="AL270" s="3">
        <f>AK270</f>
        <v>0</v>
      </c>
      <c r="AM270" s="3">
        <v>0</v>
      </c>
      <c r="AN270" s="318">
        <v>0</v>
      </c>
      <c r="AO270" s="318">
        <v>0</v>
      </c>
      <c r="AP270" s="833"/>
      <c r="AQ270" s="372">
        <v>0</v>
      </c>
    </row>
    <row r="271" spans="1:43" ht="15" hidden="1" customHeight="1" x14ac:dyDescent="0.25">
      <c r="A271" s="1361"/>
      <c r="B271" s="1" t="s">
        <v>15</v>
      </c>
      <c r="C271" s="1661"/>
      <c r="D271" s="1661"/>
      <c r="E271" s="1661"/>
      <c r="F271" s="1661"/>
      <c r="G271" s="1236">
        <v>2021</v>
      </c>
      <c r="H271" s="1236">
        <v>2021</v>
      </c>
      <c r="I271" s="1328"/>
      <c r="J271" s="1624"/>
      <c r="K271" s="47"/>
      <c r="L271" s="47">
        <v>6462.97</v>
      </c>
      <c r="M271" s="47">
        <v>0</v>
      </c>
      <c r="N271" s="47">
        <v>0</v>
      </c>
      <c r="O271" s="47">
        <v>6942.46</v>
      </c>
      <c r="P271" s="47">
        <v>6462.97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96"/>
      <c r="AA271" s="47">
        <v>0</v>
      </c>
      <c r="AB271" s="47">
        <v>0</v>
      </c>
      <c r="AC271" s="47">
        <v>0</v>
      </c>
      <c r="AD271" s="47">
        <v>0</v>
      </c>
      <c r="AE271" s="47">
        <v>0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0</v>
      </c>
      <c r="AO271" s="47">
        <v>0</v>
      </c>
      <c r="AP271" s="419"/>
      <c r="AQ271" s="96"/>
    </row>
    <row r="272" spans="1:43" s="327" customFormat="1" ht="28.5" customHeight="1" x14ac:dyDescent="0.25">
      <c r="A272" s="1358" t="s">
        <v>190</v>
      </c>
      <c r="B272" s="780" t="s">
        <v>191</v>
      </c>
      <c r="C272" s="1660"/>
      <c r="D272" s="1660"/>
      <c r="E272" s="1660"/>
      <c r="F272" s="1660">
        <v>80</v>
      </c>
      <c r="G272" s="807"/>
      <c r="H272" s="807"/>
      <c r="I272" s="1326" t="s">
        <v>20</v>
      </c>
      <c r="J272" s="52">
        <f>L272</f>
        <v>45265.81</v>
      </c>
      <c r="K272" s="52"/>
      <c r="L272" s="3">
        <f t="shared" ref="L272:AO272" si="158">L273+L275</f>
        <v>45265.81</v>
      </c>
      <c r="M272" s="3">
        <f t="shared" si="158"/>
        <v>33.479999999999997</v>
      </c>
      <c r="N272" s="3">
        <f t="shared" si="158"/>
        <v>7044.44</v>
      </c>
      <c r="O272" s="3">
        <f t="shared" si="158"/>
        <v>11467.37</v>
      </c>
      <c r="P272" s="3">
        <f>P273+P275</f>
        <v>40219.919999999998</v>
      </c>
      <c r="Q272" s="3">
        <f>Q273+Q275</f>
        <v>169.92805999999999</v>
      </c>
      <c r="R272" s="3">
        <f t="shared" si="158"/>
        <v>0</v>
      </c>
      <c r="S272" s="3">
        <f t="shared" si="158"/>
        <v>0</v>
      </c>
      <c r="T272" s="3">
        <f t="shared" si="158"/>
        <v>27</v>
      </c>
      <c r="U272" s="3">
        <f t="shared" si="158"/>
        <v>27</v>
      </c>
      <c r="V272" s="3">
        <f t="shared" si="158"/>
        <v>0</v>
      </c>
      <c r="W272" s="3">
        <f t="shared" si="158"/>
        <v>0</v>
      </c>
      <c r="X272" s="3">
        <f t="shared" si="158"/>
        <v>0</v>
      </c>
      <c r="Y272" s="3">
        <f t="shared" si="158"/>
        <v>0</v>
      </c>
      <c r="Z272" s="95">
        <v>0</v>
      </c>
      <c r="AA272" s="3">
        <f t="shared" si="158"/>
        <v>0</v>
      </c>
      <c r="AB272" s="3">
        <f>AB273+AB275</f>
        <v>0</v>
      </c>
      <c r="AC272" s="3">
        <f>AC273+AC275</f>
        <v>0</v>
      </c>
      <c r="AD272" s="3">
        <f>AD273+AD275</f>
        <v>27</v>
      </c>
      <c r="AE272" s="3">
        <f>AE273+AE275</f>
        <v>0</v>
      </c>
      <c r="AF272" s="3">
        <f t="shared" si="158"/>
        <v>0</v>
      </c>
      <c r="AG272" s="3">
        <f t="shared" si="158"/>
        <v>0</v>
      </c>
      <c r="AH272" s="3">
        <f t="shared" si="158"/>
        <v>0</v>
      </c>
      <c r="AI272" s="3">
        <f t="shared" si="158"/>
        <v>0</v>
      </c>
      <c r="AJ272" s="3">
        <f t="shared" si="158"/>
        <v>0</v>
      </c>
      <c r="AK272" s="3">
        <f>P272-Q272</f>
        <v>40049.99194</v>
      </c>
      <c r="AL272" s="3">
        <f>AK272</f>
        <v>40049.99194</v>
      </c>
      <c r="AM272" s="318">
        <v>0</v>
      </c>
      <c r="AN272" s="3">
        <f t="shared" si="158"/>
        <v>0</v>
      </c>
      <c r="AO272" s="3">
        <f t="shared" si="158"/>
        <v>0</v>
      </c>
      <c r="AP272" s="834"/>
      <c r="AQ272" s="95">
        <v>0</v>
      </c>
    </row>
    <row r="273" spans="1:43" ht="17.25" customHeight="1" x14ac:dyDescent="0.25">
      <c r="A273" s="1359"/>
      <c r="B273" s="1" t="s">
        <v>15</v>
      </c>
      <c r="C273" s="1661"/>
      <c r="D273" s="1661"/>
      <c r="E273" s="1661"/>
      <c r="F273" s="1661"/>
      <c r="G273" s="1236">
        <v>2019</v>
      </c>
      <c r="H273" s="1236">
        <v>2019</v>
      </c>
      <c r="I273" s="1327"/>
      <c r="J273" s="6">
        <f>L273</f>
        <v>7077.92</v>
      </c>
      <c r="K273" s="6"/>
      <c r="L273" s="47">
        <v>7077.92</v>
      </c>
      <c r="M273" s="47">
        <v>33.479999999999997</v>
      </c>
      <c r="N273" s="47">
        <v>7044.44</v>
      </c>
      <c r="O273" s="47">
        <v>0</v>
      </c>
      <c r="P273" s="47">
        <v>0</v>
      </c>
      <c r="Q273" s="47">
        <f>Q274</f>
        <v>169.92805999999999</v>
      </c>
      <c r="R273" s="47">
        <f t="shared" ref="R273:AD273" si="159">SUM(R274)</f>
        <v>0</v>
      </c>
      <c r="S273" s="47">
        <f t="shared" si="159"/>
        <v>0</v>
      </c>
      <c r="T273" s="47">
        <f t="shared" si="159"/>
        <v>27</v>
      </c>
      <c r="U273" s="47">
        <f t="shared" si="159"/>
        <v>27</v>
      </c>
      <c r="V273" s="47">
        <f t="shared" si="159"/>
        <v>0</v>
      </c>
      <c r="W273" s="47">
        <f t="shared" si="159"/>
        <v>0</v>
      </c>
      <c r="X273" s="47">
        <f t="shared" si="159"/>
        <v>0</v>
      </c>
      <c r="Y273" s="47">
        <f t="shared" si="159"/>
        <v>0</v>
      </c>
      <c r="Z273" s="96"/>
      <c r="AA273" s="47">
        <v>0</v>
      </c>
      <c r="AB273" s="47">
        <f t="shared" si="159"/>
        <v>0</v>
      </c>
      <c r="AC273" s="47">
        <f t="shared" si="159"/>
        <v>0</v>
      </c>
      <c r="AD273" s="47">
        <f t="shared" si="159"/>
        <v>27</v>
      </c>
      <c r="AE273" s="47">
        <v>0</v>
      </c>
      <c r="AF273" s="47">
        <f>AF274</f>
        <v>0</v>
      </c>
      <c r="AG273" s="47">
        <f>AG274</f>
        <v>0</v>
      </c>
      <c r="AH273" s="47">
        <f>AH274</f>
        <v>0</v>
      </c>
      <c r="AI273" s="47">
        <f>AI274</f>
        <v>0</v>
      </c>
      <c r="AJ273" s="47">
        <f>AJ274</f>
        <v>0</v>
      </c>
      <c r="AK273" s="47">
        <v>0</v>
      </c>
      <c r="AL273" s="47">
        <v>0</v>
      </c>
      <c r="AM273" s="47">
        <v>0</v>
      </c>
      <c r="AN273" s="47">
        <v>0</v>
      </c>
      <c r="AO273" s="47">
        <v>0</v>
      </c>
      <c r="AP273" s="419"/>
      <c r="AQ273" s="96"/>
    </row>
    <row r="274" spans="1:43" s="266" customFormat="1" ht="25.5" customHeight="1" x14ac:dyDescent="0.25">
      <c r="A274" s="1359"/>
      <c r="B274" s="102" t="s">
        <v>267</v>
      </c>
      <c r="C274" s="576"/>
      <c r="D274" s="576"/>
      <c r="E274" s="576"/>
      <c r="F274" s="576"/>
      <c r="G274" s="104"/>
      <c r="H274" s="104"/>
      <c r="I274" s="1327"/>
      <c r="J274" s="106"/>
      <c r="K274" s="106"/>
      <c r="L274" s="96"/>
      <c r="M274" s="96"/>
      <c r="N274" s="96"/>
      <c r="O274" s="96"/>
      <c r="P274" s="96">
        <f>R274</f>
        <v>0</v>
      </c>
      <c r="Q274" s="96">
        <v>169.92805999999999</v>
      </c>
      <c r="R274" s="96">
        <v>0</v>
      </c>
      <c r="S274" s="96">
        <v>0</v>
      </c>
      <c r="T274" s="96">
        <f>U274</f>
        <v>27</v>
      </c>
      <c r="U274" s="96">
        <f>ROUND((32.4/1.2),2)</f>
        <v>27</v>
      </c>
      <c r="V274" s="96"/>
      <c r="W274" s="96"/>
      <c r="X274" s="96"/>
      <c r="Y274" s="96"/>
      <c r="Z274" s="96"/>
      <c r="AA274" s="96">
        <v>0</v>
      </c>
      <c r="AB274" s="96">
        <v>0</v>
      </c>
      <c r="AC274" s="96"/>
      <c r="AD274" s="96">
        <v>27</v>
      </c>
      <c r="AE274" s="96"/>
      <c r="AF274" s="96">
        <f>SUM(AG274:AG274)</f>
        <v>0</v>
      </c>
      <c r="AG274" s="96"/>
      <c r="AH274" s="96"/>
      <c r="AI274" s="96"/>
      <c r="AJ274" s="96"/>
      <c r="AK274" s="96"/>
      <c r="AL274" s="96"/>
      <c r="AM274" s="96"/>
      <c r="AN274" s="96"/>
      <c r="AO274" s="96"/>
      <c r="AP274" s="421"/>
      <c r="AQ274" s="96"/>
    </row>
    <row r="275" spans="1:43" ht="17.25" customHeight="1" x14ac:dyDescent="0.25">
      <c r="A275" s="1361"/>
      <c r="B275" s="1" t="s">
        <v>16</v>
      </c>
      <c r="C275" s="1243"/>
      <c r="D275" s="1243"/>
      <c r="E275" s="1243"/>
      <c r="F275" s="1243"/>
      <c r="G275" s="1236">
        <v>2020</v>
      </c>
      <c r="H275" s="1236">
        <v>2021</v>
      </c>
      <c r="I275" s="1328"/>
      <c r="J275" s="6">
        <f>L275</f>
        <v>38187.89</v>
      </c>
      <c r="K275" s="6"/>
      <c r="L275" s="47">
        <v>38187.89</v>
      </c>
      <c r="M275" s="47">
        <v>0</v>
      </c>
      <c r="N275" s="47">
        <v>0</v>
      </c>
      <c r="O275" s="47">
        <v>11467.37</v>
      </c>
      <c r="P275" s="47">
        <v>40219.919999999998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96"/>
      <c r="AA275" s="47">
        <v>0</v>
      </c>
      <c r="AB275" s="47">
        <v>0</v>
      </c>
      <c r="AC275" s="47">
        <v>0</v>
      </c>
      <c r="AD275" s="47">
        <v>0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0</v>
      </c>
      <c r="AO275" s="47">
        <v>0</v>
      </c>
      <c r="AP275" s="419"/>
      <c r="AQ275" s="96"/>
    </row>
    <row r="276" spans="1:43" s="327" customFormat="1" ht="39.75" customHeight="1" x14ac:dyDescent="0.25">
      <c r="A276" s="1358" t="s">
        <v>192</v>
      </c>
      <c r="B276" s="772" t="s">
        <v>166</v>
      </c>
      <c r="C276" s="1660"/>
      <c r="D276" s="1660"/>
      <c r="E276" s="1660"/>
      <c r="F276" s="1660">
        <v>80</v>
      </c>
      <c r="G276" s="807"/>
      <c r="H276" s="807"/>
      <c r="I276" s="1326" t="s">
        <v>20</v>
      </c>
      <c r="J276" s="52">
        <f>L276</f>
        <v>94875.549999999988</v>
      </c>
      <c r="K276" s="52"/>
      <c r="L276" s="3">
        <f t="shared" ref="L276:O276" si="160">L277+L280</f>
        <v>94875.549999999988</v>
      </c>
      <c r="M276" s="3">
        <f t="shared" si="160"/>
        <v>2761.44</v>
      </c>
      <c r="N276" s="3">
        <f t="shared" si="160"/>
        <v>9629.68</v>
      </c>
      <c r="O276" s="3">
        <f t="shared" si="160"/>
        <v>22469.279999999999</v>
      </c>
      <c r="P276" s="3">
        <v>3907.02</v>
      </c>
      <c r="Q276" s="3">
        <v>0</v>
      </c>
      <c r="R276" s="3">
        <f t="shared" ref="R276:Y276" si="161">R277+R280</f>
        <v>646.02599999999995</v>
      </c>
      <c r="S276" s="3">
        <f t="shared" si="161"/>
        <v>646.02599999999995</v>
      </c>
      <c r="T276" s="3">
        <f t="shared" si="161"/>
        <v>872.63599999999997</v>
      </c>
      <c r="U276" s="3">
        <f t="shared" si="161"/>
        <v>872.63599999999997</v>
      </c>
      <c r="V276" s="3">
        <f t="shared" si="161"/>
        <v>0</v>
      </c>
      <c r="W276" s="3">
        <f t="shared" si="161"/>
        <v>0</v>
      </c>
      <c r="X276" s="3">
        <f t="shared" si="161"/>
        <v>0</v>
      </c>
      <c r="Y276" s="3">
        <f t="shared" si="161"/>
        <v>0</v>
      </c>
      <c r="Z276" s="3">
        <v>0</v>
      </c>
      <c r="AA276" s="3">
        <f>AA277+AA280</f>
        <v>0</v>
      </c>
      <c r="AB276" s="3">
        <f>AB277+AB280</f>
        <v>0</v>
      </c>
      <c r="AC276" s="3">
        <f t="shared" ref="AC276:AJ276" si="162">AC277+AC280</f>
        <v>0</v>
      </c>
      <c r="AD276" s="3">
        <f t="shared" si="162"/>
        <v>0</v>
      </c>
      <c r="AE276" s="3">
        <f t="shared" si="162"/>
        <v>0</v>
      </c>
      <c r="AF276" s="3">
        <f t="shared" si="162"/>
        <v>0</v>
      </c>
      <c r="AG276" s="3">
        <f t="shared" si="162"/>
        <v>0</v>
      </c>
      <c r="AH276" s="3">
        <f t="shared" si="162"/>
        <v>0</v>
      </c>
      <c r="AI276" s="3">
        <f t="shared" si="162"/>
        <v>0</v>
      </c>
      <c r="AJ276" s="3">
        <f t="shared" si="162"/>
        <v>0</v>
      </c>
      <c r="AK276" s="3">
        <f>P276-Q276</f>
        <v>3907.02</v>
      </c>
      <c r="AL276" s="3">
        <f>AK276</f>
        <v>3907.02</v>
      </c>
      <c r="AM276" s="3">
        <f>ROUND((Q276*100%/P276*100),2)</f>
        <v>0</v>
      </c>
      <c r="AN276" s="3">
        <f>AN277+AN280</f>
        <v>0</v>
      </c>
      <c r="AO276" s="3">
        <f>AO277+AO280</f>
        <v>0</v>
      </c>
      <c r="AP276" s="633" t="s">
        <v>256</v>
      </c>
      <c r="AQ276" s="3">
        <v>0</v>
      </c>
    </row>
    <row r="277" spans="1:43" ht="16.5" hidden="1" customHeight="1" x14ac:dyDescent="0.25">
      <c r="A277" s="1359"/>
      <c r="B277" s="42" t="s">
        <v>15</v>
      </c>
      <c r="C277" s="1661"/>
      <c r="D277" s="1661"/>
      <c r="E277" s="1661"/>
      <c r="F277" s="1661"/>
      <c r="G277" s="313"/>
      <c r="H277" s="1252"/>
      <c r="I277" s="1327"/>
      <c r="J277" s="1246"/>
      <c r="K277" s="47"/>
      <c r="L277" s="47">
        <v>5734.87</v>
      </c>
      <c r="M277" s="47">
        <v>2761.44</v>
      </c>
      <c r="N277" s="47">
        <v>105.99</v>
      </c>
      <c r="O277" s="47">
        <v>0</v>
      </c>
      <c r="P277" s="47">
        <v>0</v>
      </c>
      <c r="Q277" s="47">
        <f>SUM(Q278:Q280)</f>
        <v>1518.6619999999998</v>
      </c>
      <c r="R277" s="47">
        <f>S277</f>
        <v>646.02599999999995</v>
      </c>
      <c r="S277" s="47">
        <f>SUM(S278:S280)</f>
        <v>646.02599999999995</v>
      </c>
      <c r="T277" s="47">
        <f>SUM(T278:T280)</f>
        <v>872.63599999999997</v>
      </c>
      <c r="U277" s="47">
        <f>SUM(U278:U280)</f>
        <v>872.63599999999997</v>
      </c>
      <c r="V277" s="47">
        <f>SUM(V278:V280)</f>
        <v>0</v>
      </c>
      <c r="W277" s="47">
        <f>SUM(W278:W280)</f>
        <v>0</v>
      </c>
      <c r="X277" s="47">
        <v>0</v>
      </c>
      <c r="Y277" s="47">
        <f t="shared" ref="Y277:AE277" si="163">SUM(Y278:Y280)</f>
        <v>0</v>
      </c>
      <c r="Z277" s="96"/>
      <c r="AA277" s="47">
        <f t="shared" si="163"/>
        <v>0</v>
      </c>
      <c r="AB277" s="47">
        <f t="shared" si="163"/>
        <v>0</v>
      </c>
      <c r="AC277" s="47">
        <f t="shared" si="163"/>
        <v>0</v>
      </c>
      <c r="AD277" s="47">
        <f t="shared" si="163"/>
        <v>0</v>
      </c>
      <c r="AE277" s="47">
        <f t="shared" si="163"/>
        <v>0</v>
      </c>
      <c r="AF277" s="47">
        <f>SUM(AF278)</f>
        <v>0</v>
      </c>
      <c r="AG277" s="47">
        <f>SUM(AG278)</f>
        <v>0</v>
      </c>
      <c r="AH277" s="47">
        <f>SUM(AH278)</f>
        <v>0</v>
      </c>
      <c r="AI277" s="47">
        <f>SUM(AI278)</f>
        <v>0</v>
      </c>
      <c r="AJ277" s="47">
        <f>SUM(AJ278)</f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397"/>
      <c r="AQ277" s="96"/>
    </row>
    <row r="278" spans="1:43" s="266" customFormat="1" ht="16.5" hidden="1" customHeight="1" x14ac:dyDescent="0.25">
      <c r="A278" s="1359"/>
      <c r="B278" s="252" t="s">
        <v>228</v>
      </c>
      <c r="C278" s="363"/>
      <c r="D278" s="363"/>
      <c r="E278" s="363"/>
      <c r="F278" s="363"/>
      <c r="G278" s="363"/>
      <c r="H278" s="364"/>
      <c r="I278" s="1327"/>
      <c r="J278" s="258"/>
      <c r="K278" s="96"/>
      <c r="L278" s="96"/>
      <c r="M278" s="96"/>
      <c r="N278" s="96"/>
      <c r="O278" s="96"/>
      <c r="P278" s="47"/>
      <c r="Q278" s="96">
        <f>S278+U278</f>
        <v>1518.6619999999998</v>
      </c>
      <c r="R278" s="96">
        <v>0</v>
      </c>
      <c r="S278" s="96">
        <v>646.02599999999995</v>
      </c>
      <c r="T278" s="96">
        <f>U278</f>
        <v>872.63599999999997</v>
      </c>
      <c r="U278" s="96">
        <v>872.63599999999997</v>
      </c>
      <c r="V278" s="96"/>
      <c r="W278" s="96"/>
      <c r="X278" s="96">
        <v>0</v>
      </c>
      <c r="Y278" s="96">
        <v>0</v>
      </c>
      <c r="Z278" s="96"/>
      <c r="AA278" s="96">
        <v>0</v>
      </c>
      <c r="AB278" s="96">
        <v>0</v>
      </c>
      <c r="AC278" s="96"/>
      <c r="AD278" s="96"/>
      <c r="AE278" s="96">
        <v>0</v>
      </c>
      <c r="AF278" s="96">
        <f>SUM(AG278:AG278)</f>
        <v>0</v>
      </c>
      <c r="AG278" s="96"/>
      <c r="AH278" s="96"/>
      <c r="AI278" s="96"/>
      <c r="AJ278" s="96"/>
      <c r="AK278" s="96">
        <v>0</v>
      </c>
      <c r="AL278" s="96">
        <v>0</v>
      </c>
      <c r="AM278" s="96">
        <v>0</v>
      </c>
      <c r="AN278" s="96">
        <v>0</v>
      </c>
      <c r="AO278" s="96">
        <v>0</v>
      </c>
      <c r="AP278" s="405"/>
      <c r="AQ278" s="96"/>
    </row>
    <row r="279" spans="1:43" s="266" customFormat="1" ht="16.5" hidden="1" customHeight="1" x14ac:dyDescent="0.25">
      <c r="A279" s="1359"/>
      <c r="B279" s="252" t="s">
        <v>267</v>
      </c>
      <c r="C279" s="363"/>
      <c r="D279" s="363"/>
      <c r="E279" s="363"/>
      <c r="F279" s="363"/>
      <c r="G279" s="363"/>
      <c r="H279" s="364"/>
      <c r="I279" s="1327"/>
      <c r="J279" s="258"/>
      <c r="K279" s="96"/>
      <c r="L279" s="96"/>
      <c r="M279" s="96"/>
      <c r="N279" s="96"/>
      <c r="O279" s="96"/>
      <c r="P279" s="96">
        <f>R279+T279</f>
        <v>0</v>
      </c>
      <c r="Q279" s="96">
        <f>S279+U279</f>
        <v>0</v>
      </c>
      <c r="R279" s="96">
        <v>0</v>
      </c>
      <c r="S279" s="96">
        <v>0</v>
      </c>
      <c r="T279" s="96">
        <f>U279</f>
        <v>0</v>
      </c>
      <c r="U279" s="96">
        <v>0</v>
      </c>
      <c r="V279" s="96"/>
      <c r="W279" s="96"/>
      <c r="X279" s="96"/>
      <c r="Y279" s="96"/>
      <c r="Z279" s="96"/>
      <c r="AA279" s="96">
        <f>SUM(AB279:AD279)</f>
        <v>0</v>
      </c>
      <c r="AB279" s="96"/>
      <c r="AC279" s="96">
        <v>0</v>
      </c>
      <c r="AD279" s="96">
        <v>0</v>
      </c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405"/>
      <c r="AQ279" s="96"/>
    </row>
    <row r="280" spans="1:43" ht="0.75" hidden="1" customHeight="1" x14ac:dyDescent="0.25">
      <c r="A280" s="1361"/>
      <c r="B280" s="1" t="s">
        <v>16</v>
      </c>
      <c r="C280" s="1243"/>
      <c r="D280" s="1243"/>
      <c r="E280" s="1243"/>
      <c r="F280" s="1243"/>
      <c r="G280" s="1236">
        <v>2020</v>
      </c>
      <c r="H280" s="1236">
        <v>2021</v>
      </c>
      <c r="I280" s="1328"/>
      <c r="J280" s="6">
        <f>L280</f>
        <v>89140.68</v>
      </c>
      <c r="K280" s="6"/>
      <c r="L280" s="47">
        <v>89140.68</v>
      </c>
      <c r="M280" s="47">
        <v>0</v>
      </c>
      <c r="N280" s="47">
        <v>9523.69</v>
      </c>
      <c r="O280" s="47">
        <v>22469.279999999999</v>
      </c>
      <c r="P280" s="47">
        <v>2605.9899999999998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0</v>
      </c>
      <c r="X280" s="47">
        <v>0</v>
      </c>
      <c r="Y280" s="47">
        <v>0</v>
      </c>
      <c r="Z280" s="96"/>
      <c r="AA280" s="47">
        <v>0</v>
      </c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19"/>
      <c r="AQ280" s="96"/>
    </row>
    <row r="281" spans="1:43" s="327" customFormat="1" ht="41.25" customHeight="1" x14ac:dyDescent="0.25">
      <c r="A281" s="1358" t="s">
        <v>193</v>
      </c>
      <c r="B281" s="772" t="s">
        <v>163</v>
      </c>
      <c r="C281" s="1660"/>
      <c r="D281" s="1660"/>
      <c r="E281" s="1660"/>
      <c r="F281" s="1660">
        <v>81</v>
      </c>
      <c r="G281" s="807"/>
      <c r="H281" s="807"/>
      <c r="I281" s="1326" t="s">
        <v>20</v>
      </c>
      <c r="J281" s="52">
        <f>L281</f>
        <v>5513.9</v>
      </c>
      <c r="K281" s="52"/>
      <c r="L281" s="3">
        <f t="shared" ref="L281:AA281" si="164">L282+L287</f>
        <v>5513.9</v>
      </c>
      <c r="M281" s="3">
        <f t="shared" si="164"/>
        <v>297.18</v>
      </c>
      <c r="N281" s="3">
        <f t="shared" si="164"/>
        <v>1639.85</v>
      </c>
      <c r="O281" s="3">
        <f t="shared" si="164"/>
        <v>0</v>
      </c>
      <c r="P281" s="3">
        <f t="shared" si="164"/>
        <v>0</v>
      </c>
      <c r="Q281" s="3">
        <f t="shared" si="164"/>
        <v>0</v>
      </c>
      <c r="R281" s="3">
        <f t="shared" si="164"/>
        <v>0</v>
      </c>
      <c r="S281" s="3">
        <f t="shared" si="164"/>
        <v>0</v>
      </c>
      <c r="T281" s="3">
        <f t="shared" si="164"/>
        <v>0</v>
      </c>
      <c r="U281" s="3">
        <f t="shared" si="164"/>
        <v>0</v>
      </c>
      <c r="V281" s="3">
        <f t="shared" si="164"/>
        <v>0</v>
      </c>
      <c r="W281" s="3">
        <f t="shared" si="164"/>
        <v>0</v>
      </c>
      <c r="X281" s="3">
        <f t="shared" si="164"/>
        <v>0</v>
      </c>
      <c r="Y281" s="3">
        <f t="shared" si="164"/>
        <v>0</v>
      </c>
      <c r="Z281" s="95">
        <v>0</v>
      </c>
      <c r="AA281" s="3">
        <f t="shared" si="164"/>
        <v>0</v>
      </c>
      <c r="AB281" s="3">
        <f>AB282+AB287</f>
        <v>0</v>
      </c>
      <c r="AC281" s="3">
        <f t="shared" ref="AC281:AJ281" si="165">AC282+AC287</f>
        <v>0</v>
      </c>
      <c r="AD281" s="3">
        <f t="shared" si="165"/>
        <v>0</v>
      </c>
      <c r="AE281" s="3">
        <f t="shared" si="165"/>
        <v>0</v>
      </c>
      <c r="AF281" s="3">
        <f t="shared" si="165"/>
        <v>0</v>
      </c>
      <c r="AG281" s="3">
        <f t="shared" si="165"/>
        <v>0</v>
      </c>
      <c r="AH281" s="3">
        <f t="shared" si="165"/>
        <v>0</v>
      </c>
      <c r="AI281" s="3">
        <f t="shared" si="165"/>
        <v>0</v>
      </c>
      <c r="AJ281" s="3">
        <f t="shared" si="165"/>
        <v>0</v>
      </c>
      <c r="AK281" s="3">
        <f>P281-Q281</f>
        <v>0</v>
      </c>
      <c r="AL281" s="3">
        <f>AK281</f>
        <v>0</v>
      </c>
      <c r="AM281" s="3">
        <v>0</v>
      </c>
      <c r="AN281" s="3">
        <f>AN282+AN287</f>
        <v>0</v>
      </c>
      <c r="AO281" s="3">
        <f>AO282+AO287</f>
        <v>0</v>
      </c>
      <c r="AP281" s="633" t="s">
        <v>256</v>
      </c>
      <c r="AQ281" s="95">
        <v>0</v>
      </c>
    </row>
    <row r="282" spans="1:43" ht="17.25" hidden="1" customHeight="1" x14ac:dyDescent="0.25">
      <c r="A282" s="1359"/>
      <c r="B282" s="1" t="s">
        <v>15</v>
      </c>
      <c r="C282" s="1661"/>
      <c r="D282" s="1661"/>
      <c r="E282" s="1661"/>
      <c r="F282" s="1661"/>
      <c r="G282" s="1236">
        <v>2021</v>
      </c>
      <c r="H282" s="1236">
        <v>2023</v>
      </c>
      <c r="I282" s="1327"/>
      <c r="J282" s="6">
        <f>L282</f>
        <v>594.36</v>
      </c>
      <c r="K282" s="6"/>
      <c r="L282" s="47">
        <v>594.36</v>
      </c>
      <c r="M282" s="47">
        <v>297.18</v>
      </c>
      <c r="N282" s="47">
        <v>0</v>
      </c>
      <c r="O282" s="47">
        <v>0</v>
      </c>
      <c r="P282" s="47">
        <v>0</v>
      </c>
      <c r="Q282" s="47">
        <f>SUM(Q284:Q286)</f>
        <v>0</v>
      </c>
      <c r="R282" s="47">
        <f t="shared" ref="R282:AE282" si="166">SUM(R284:R286)</f>
        <v>0</v>
      </c>
      <c r="S282" s="47">
        <f t="shared" si="166"/>
        <v>0</v>
      </c>
      <c r="T282" s="47">
        <f t="shared" si="166"/>
        <v>0</v>
      </c>
      <c r="U282" s="47">
        <f t="shared" si="166"/>
        <v>0</v>
      </c>
      <c r="V282" s="47">
        <f t="shared" si="166"/>
        <v>0</v>
      </c>
      <c r="W282" s="47">
        <f t="shared" si="166"/>
        <v>0</v>
      </c>
      <c r="X282" s="47">
        <v>0</v>
      </c>
      <c r="Y282" s="47">
        <f t="shared" si="166"/>
        <v>0</v>
      </c>
      <c r="Z282" s="96"/>
      <c r="AA282" s="47">
        <f t="shared" si="166"/>
        <v>0</v>
      </c>
      <c r="AB282" s="47">
        <f t="shared" si="166"/>
        <v>0</v>
      </c>
      <c r="AC282" s="47">
        <f t="shared" si="166"/>
        <v>0</v>
      </c>
      <c r="AD282" s="47">
        <f t="shared" si="166"/>
        <v>0</v>
      </c>
      <c r="AE282" s="47">
        <f t="shared" si="166"/>
        <v>0</v>
      </c>
      <c r="AF282" s="47">
        <f>AF286</f>
        <v>0</v>
      </c>
      <c r="AG282" s="47">
        <f>AG286</f>
        <v>0</v>
      </c>
      <c r="AH282" s="47">
        <f>AH286</f>
        <v>0</v>
      </c>
      <c r="AI282" s="47">
        <f>AI286</f>
        <v>0</v>
      </c>
      <c r="AJ282" s="47">
        <f>AJ286</f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19"/>
      <c r="AQ282" s="96"/>
    </row>
    <row r="283" spans="1:43" s="266" customFormat="1" ht="17.25" hidden="1" customHeight="1" x14ac:dyDescent="0.25">
      <c r="A283" s="1359"/>
      <c r="B283" s="102" t="s">
        <v>93</v>
      </c>
      <c r="C283" s="576"/>
      <c r="D283" s="576"/>
      <c r="E283" s="576"/>
      <c r="F283" s="576"/>
      <c r="G283" s="104"/>
      <c r="H283" s="104"/>
      <c r="I283" s="1327"/>
      <c r="J283" s="106"/>
      <c r="K283" s="106"/>
      <c r="L283" s="96"/>
      <c r="M283" s="96"/>
      <c r="N283" s="96"/>
      <c r="O283" s="96"/>
      <c r="P283" s="96">
        <f>R283</f>
        <v>0</v>
      </c>
      <c r="Q283" s="96">
        <f>S283</f>
        <v>0</v>
      </c>
      <c r="R283" s="96">
        <f>S283</f>
        <v>0</v>
      </c>
      <c r="S283" s="96">
        <v>0</v>
      </c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21"/>
      <c r="AQ283" s="96"/>
    </row>
    <row r="284" spans="1:43" s="266" customFormat="1" ht="17.25" hidden="1" customHeight="1" x14ac:dyDescent="0.25">
      <c r="A284" s="1359"/>
      <c r="B284" s="252" t="s">
        <v>225</v>
      </c>
      <c r="C284" s="363"/>
      <c r="D284" s="363"/>
      <c r="E284" s="363"/>
      <c r="F284" s="363"/>
      <c r="G284" s="363"/>
      <c r="H284" s="364"/>
      <c r="I284" s="1327"/>
      <c r="J284" s="258"/>
      <c r="K284" s="96"/>
      <c r="L284" s="96"/>
      <c r="M284" s="96"/>
      <c r="N284" s="96"/>
      <c r="O284" s="96"/>
      <c r="P284" s="47"/>
      <c r="Q284" s="96">
        <f>Y284</f>
        <v>0</v>
      </c>
      <c r="R284" s="96"/>
      <c r="S284" s="96"/>
      <c r="T284" s="96"/>
      <c r="U284" s="96"/>
      <c r="V284" s="96"/>
      <c r="W284" s="96"/>
      <c r="X284" s="96">
        <v>0</v>
      </c>
      <c r="Y284" s="96">
        <v>0</v>
      </c>
      <c r="Z284" s="96"/>
      <c r="AA284" s="96">
        <v>0</v>
      </c>
      <c r="AB284" s="96">
        <v>0</v>
      </c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405"/>
      <c r="AQ284" s="96"/>
    </row>
    <row r="285" spans="1:43" s="266" customFormat="1" ht="17.25" hidden="1" customHeight="1" x14ac:dyDescent="0.25">
      <c r="A285" s="1359"/>
      <c r="B285" s="252" t="s">
        <v>226</v>
      </c>
      <c r="C285" s="363"/>
      <c r="D285" s="363"/>
      <c r="E285" s="363"/>
      <c r="F285" s="363"/>
      <c r="G285" s="363"/>
      <c r="H285" s="364"/>
      <c r="I285" s="1327"/>
      <c r="J285" s="258"/>
      <c r="K285" s="96"/>
      <c r="L285" s="96"/>
      <c r="M285" s="96"/>
      <c r="N285" s="96"/>
      <c r="O285" s="96"/>
      <c r="P285" s="47"/>
      <c r="Q285" s="96">
        <f>S285</f>
        <v>0</v>
      </c>
      <c r="R285" s="96">
        <f>S285</f>
        <v>0</v>
      </c>
      <c r="S285" s="96">
        <v>0</v>
      </c>
      <c r="T285" s="96"/>
      <c r="U285" s="96"/>
      <c r="V285" s="96"/>
      <c r="W285" s="96"/>
      <c r="X285" s="96">
        <v>0</v>
      </c>
      <c r="Y285" s="96">
        <v>0</v>
      </c>
      <c r="Z285" s="96"/>
      <c r="AA285" s="96">
        <f>AB285</f>
        <v>0</v>
      </c>
      <c r="AB285" s="96">
        <v>0</v>
      </c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405"/>
      <c r="AQ285" s="96"/>
    </row>
    <row r="286" spans="1:43" s="266" customFormat="1" ht="17.25" hidden="1" customHeight="1" x14ac:dyDescent="0.25">
      <c r="A286" s="1359"/>
      <c r="B286" s="252" t="s">
        <v>227</v>
      </c>
      <c r="C286" s="363"/>
      <c r="D286" s="363"/>
      <c r="E286" s="363"/>
      <c r="F286" s="363"/>
      <c r="G286" s="363"/>
      <c r="H286" s="364"/>
      <c r="I286" s="1327"/>
      <c r="J286" s="258"/>
      <c r="K286" s="96"/>
      <c r="L286" s="96"/>
      <c r="M286" s="96"/>
      <c r="N286" s="96"/>
      <c r="O286" s="96"/>
      <c r="P286" s="47"/>
      <c r="Q286" s="96">
        <f>Y286</f>
        <v>0</v>
      </c>
      <c r="R286" s="96"/>
      <c r="S286" s="96"/>
      <c r="T286" s="96"/>
      <c r="U286" s="96"/>
      <c r="V286" s="96"/>
      <c r="W286" s="96"/>
      <c r="X286" s="96">
        <v>0</v>
      </c>
      <c r="Y286" s="96">
        <v>0</v>
      </c>
      <c r="Z286" s="96"/>
      <c r="AA286" s="96">
        <v>0</v>
      </c>
      <c r="AB286" s="96">
        <v>0</v>
      </c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405"/>
      <c r="AQ286" s="96"/>
    </row>
    <row r="287" spans="1:43" ht="15.75" hidden="1" customHeight="1" x14ac:dyDescent="0.25">
      <c r="A287" s="1361"/>
      <c r="B287" s="1" t="s">
        <v>32</v>
      </c>
      <c r="C287" s="1243"/>
      <c r="D287" s="1243"/>
      <c r="E287" s="1243"/>
      <c r="F287" s="1243"/>
      <c r="G287" s="1236">
        <v>2022</v>
      </c>
      <c r="H287" s="1236">
        <v>2025</v>
      </c>
      <c r="I287" s="1328"/>
      <c r="J287" s="6">
        <f>L287</f>
        <v>4919.54</v>
      </c>
      <c r="K287" s="6"/>
      <c r="L287" s="47">
        <v>4919.54</v>
      </c>
      <c r="M287" s="47">
        <v>0</v>
      </c>
      <c r="N287" s="47">
        <v>1639.85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3" s="327" customFormat="1" ht="22.5" customHeight="1" x14ac:dyDescent="0.25">
      <c r="A288" s="1358" t="s">
        <v>194</v>
      </c>
      <c r="B288" s="780" t="s">
        <v>196</v>
      </c>
      <c r="C288" s="1240"/>
      <c r="D288" s="1240"/>
      <c r="E288" s="1240"/>
      <c r="F288" s="1240">
        <v>82</v>
      </c>
      <c r="G288" s="807"/>
      <c r="H288" s="807"/>
      <c r="I288" s="1326" t="s">
        <v>20</v>
      </c>
      <c r="J288" s="52">
        <f>L288</f>
        <v>12299.37</v>
      </c>
      <c r="K288" s="52"/>
      <c r="L288" s="3">
        <f>L290</f>
        <v>12299.37</v>
      </c>
      <c r="M288" s="3">
        <f t="shared" ref="M288:AO288" si="167">M290</f>
        <v>0</v>
      </c>
      <c r="N288" s="3">
        <f t="shared" si="167"/>
        <v>0</v>
      </c>
      <c r="O288" s="3">
        <f t="shared" si="167"/>
        <v>5371.98</v>
      </c>
      <c r="P288" s="3">
        <f t="shared" si="167"/>
        <v>0</v>
      </c>
      <c r="Q288" s="3">
        <f>Q289+Q290</f>
        <v>1818.26</v>
      </c>
      <c r="R288" s="3">
        <f t="shared" ref="R288:AA288" si="168">R289+R290</f>
        <v>0</v>
      </c>
      <c r="S288" s="3">
        <f t="shared" si="168"/>
        <v>0</v>
      </c>
      <c r="T288" s="3">
        <f t="shared" si="168"/>
        <v>0</v>
      </c>
      <c r="U288" s="3">
        <f t="shared" si="168"/>
        <v>0</v>
      </c>
      <c r="V288" s="3">
        <f t="shared" si="168"/>
        <v>0</v>
      </c>
      <c r="W288" s="3">
        <f t="shared" si="168"/>
        <v>0</v>
      </c>
      <c r="X288" s="3">
        <f t="shared" si="168"/>
        <v>0</v>
      </c>
      <c r="Y288" s="3">
        <f t="shared" si="168"/>
        <v>0</v>
      </c>
      <c r="Z288" s="3">
        <f t="shared" si="168"/>
        <v>0</v>
      </c>
      <c r="AA288" s="3">
        <f t="shared" si="168"/>
        <v>1870</v>
      </c>
      <c r="AB288" s="3">
        <f t="shared" si="167"/>
        <v>0</v>
      </c>
      <c r="AC288" s="3">
        <f t="shared" si="167"/>
        <v>0</v>
      </c>
      <c r="AD288" s="3">
        <f t="shared" si="167"/>
        <v>0</v>
      </c>
      <c r="AE288" s="3">
        <f t="shared" si="167"/>
        <v>0</v>
      </c>
      <c r="AF288" s="3">
        <f t="shared" si="167"/>
        <v>0</v>
      </c>
      <c r="AG288" s="3">
        <f t="shared" si="167"/>
        <v>0</v>
      </c>
      <c r="AH288" s="3">
        <f t="shared" si="167"/>
        <v>0</v>
      </c>
      <c r="AI288" s="3">
        <f t="shared" si="167"/>
        <v>0</v>
      </c>
      <c r="AJ288" s="3">
        <f t="shared" si="167"/>
        <v>0</v>
      </c>
      <c r="AK288" s="3">
        <f t="shared" si="167"/>
        <v>0</v>
      </c>
      <c r="AL288" s="3">
        <f t="shared" si="167"/>
        <v>0</v>
      </c>
      <c r="AM288" s="3">
        <f t="shared" si="167"/>
        <v>0</v>
      </c>
      <c r="AN288" s="3">
        <f t="shared" si="167"/>
        <v>0</v>
      </c>
      <c r="AO288" s="3">
        <f t="shared" si="167"/>
        <v>0</v>
      </c>
      <c r="AP288" s="834"/>
      <c r="AQ288" s="95">
        <v>0</v>
      </c>
    </row>
    <row r="289" spans="1:79" ht="15.75" customHeight="1" x14ac:dyDescent="0.25">
      <c r="A289" s="1359"/>
      <c r="B289" s="1" t="s">
        <v>39</v>
      </c>
      <c r="C289" s="1244"/>
      <c r="D289" s="1244"/>
      <c r="E289" s="1244"/>
      <c r="F289" s="1244"/>
      <c r="G289" s="1236"/>
      <c r="H289" s="1236"/>
      <c r="I289" s="1327"/>
      <c r="J289" s="6"/>
      <c r="K289" s="6"/>
      <c r="L289" s="47"/>
      <c r="M289" s="47"/>
      <c r="N289" s="47"/>
      <c r="O289" s="47"/>
      <c r="P289" s="47">
        <f>R289</f>
        <v>0</v>
      </c>
      <c r="Q289" s="47">
        <f>1205.01+613.25</f>
        <v>1818.26</v>
      </c>
      <c r="R289" s="47">
        <f>S289</f>
        <v>0</v>
      </c>
      <c r="S289" s="47">
        <v>0</v>
      </c>
      <c r="T289" s="47"/>
      <c r="U289" s="47"/>
      <c r="V289" s="47"/>
      <c r="W289" s="47"/>
      <c r="X289" s="47"/>
      <c r="Y289" s="47"/>
      <c r="Z289" s="47"/>
      <c r="AA289" s="47">
        <v>1870</v>
      </c>
      <c r="AB289" s="47">
        <v>0</v>
      </c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19"/>
      <c r="AQ289" s="47"/>
    </row>
    <row r="290" spans="1:79" ht="19.5" customHeight="1" x14ac:dyDescent="0.25">
      <c r="A290" s="1361"/>
      <c r="B290" s="1" t="s">
        <v>213</v>
      </c>
      <c r="C290" s="1243"/>
      <c r="D290" s="1243"/>
      <c r="E290" s="1243"/>
      <c r="F290" s="1243"/>
      <c r="G290" s="1236">
        <v>2024</v>
      </c>
      <c r="H290" s="1236">
        <v>2029</v>
      </c>
      <c r="I290" s="1328"/>
      <c r="J290" s="6">
        <f>L290</f>
        <v>12299.37</v>
      </c>
      <c r="K290" s="6"/>
      <c r="L290" s="47">
        <v>12299.37</v>
      </c>
      <c r="M290" s="47">
        <v>0</v>
      </c>
      <c r="N290" s="47">
        <v>0</v>
      </c>
      <c r="O290" s="47">
        <v>5371.98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96"/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19"/>
      <c r="AQ290" s="96"/>
    </row>
    <row r="291" spans="1:79" s="327" customFormat="1" ht="24" customHeight="1" x14ac:dyDescent="0.25">
      <c r="A291" s="1358" t="s">
        <v>195</v>
      </c>
      <c r="B291" s="780" t="s">
        <v>197</v>
      </c>
      <c r="C291" s="1240"/>
      <c r="D291" s="1240"/>
      <c r="E291" s="1240"/>
      <c r="F291" s="1240">
        <v>83</v>
      </c>
      <c r="G291" s="807"/>
      <c r="H291" s="807"/>
      <c r="I291" s="1233"/>
      <c r="J291" s="52">
        <f>L291</f>
        <v>264150.86</v>
      </c>
      <c r="K291" s="52"/>
      <c r="L291" s="3">
        <f t="shared" ref="L291:Z291" si="169">L292+L296</f>
        <v>264150.86</v>
      </c>
      <c r="M291" s="3">
        <f t="shared" si="169"/>
        <v>263850.07</v>
      </c>
      <c r="N291" s="3">
        <f t="shared" si="169"/>
        <v>263850.07</v>
      </c>
      <c r="O291" s="3">
        <f t="shared" si="169"/>
        <v>263850.07</v>
      </c>
      <c r="P291" s="3">
        <f t="shared" si="169"/>
        <v>3.4</v>
      </c>
      <c r="Q291" s="3">
        <f t="shared" si="169"/>
        <v>99541.70541000001</v>
      </c>
      <c r="R291" s="3">
        <f t="shared" si="169"/>
        <v>21705.95</v>
      </c>
      <c r="S291" s="3">
        <f t="shared" si="169"/>
        <v>21705.95</v>
      </c>
      <c r="T291" s="3">
        <f t="shared" si="169"/>
        <v>21705.95</v>
      </c>
      <c r="U291" s="3">
        <f t="shared" si="169"/>
        <v>21709.350000000002</v>
      </c>
      <c r="V291" s="3">
        <f t="shared" si="169"/>
        <v>21705.95</v>
      </c>
      <c r="W291" s="3">
        <f t="shared" si="169"/>
        <v>21705.95</v>
      </c>
      <c r="X291" s="3">
        <f t="shared" si="169"/>
        <v>21705.95</v>
      </c>
      <c r="Y291" s="3">
        <f t="shared" si="169"/>
        <v>21705.95</v>
      </c>
      <c r="Z291" s="3">
        <f t="shared" si="169"/>
        <v>21705.95</v>
      </c>
      <c r="AA291" s="3">
        <f>AA292+AA296</f>
        <v>114314.38928</v>
      </c>
      <c r="AB291" s="3">
        <f>AB292+AB296</f>
        <v>17522.268</v>
      </c>
      <c r="AC291" s="3">
        <f>AC292+AC296</f>
        <v>17119.198000000004</v>
      </c>
      <c r="AD291" s="3">
        <f t="shared" ref="AD291:AO291" si="170">AD292</f>
        <v>63735.476889999998</v>
      </c>
      <c r="AE291" s="3">
        <f t="shared" si="170"/>
        <v>0</v>
      </c>
      <c r="AF291" s="3">
        <f t="shared" si="170"/>
        <v>0</v>
      </c>
      <c r="AG291" s="3">
        <f t="shared" si="170"/>
        <v>0</v>
      </c>
      <c r="AH291" s="3">
        <f t="shared" si="170"/>
        <v>0</v>
      </c>
      <c r="AI291" s="3">
        <f t="shared" si="170"/>
        <v>0</v>
      </c>
      <c r="AJ291" s="3">
        <f t="shared" si="170"/>
        <v>0</v>
      </c>
      <c r="AK291" s="3">
        <f t="shared" si="170"/>
        <v>0</v>
      </c>
      <c r="AL291" s="3">
        <f t="shared" si="170"/>
        <v>0</v>
      </c>
      <c r="AM291" s="3">
        <v>7.79</v>
      </c>
      <c r="AN291" s="3">
        <f t="shared" si="170"/>
        <v>0</v>
      </c>
      <c r="AO291" s="3">
        <f t="shared" si="170"/>
        <v>0</v>
      </c>
      <c r="AP291" s="834"/>
      <c r="AQ291" s="95">
        <f>116.245</f>
        <v>116.245</v>
      </c>
      <c r="AR291" s="835"/>
    </row>
    <row r="292" spans="1:79" ht="14.25" customHeight="1" x14ac:dyDescent="0.25">
      <c r="A292" s="1359"/>
      <c r="B292" s="1" t="s">
        <v>213</v>
      </c>
      <c r="C292" s="1243"/>
      <c r="D292" s="1243"/>
      <c r="E292" s="1243"/>
      <c r="F292" s="1243"/>
      <c r="G292" s="1236">
        <v>2026</v>
      </c>
      <c r="H292" s="1236">
        <v>2033</v>
      </c>
      <c r="I292" s="1236" t="s">
        <v>20</v>
      </c>
      <c r="J292" s="6">
        <f>L292</f>
        <v>300.79000000000002</v>
      </c>
      <c r="K292" s="6"/>
      <c r="L292" s="47">
        <v>300.79000000000002</v>
      </c>
      <c r="M292" s="47">
        <v>0</v>
      </c>
      <c r="N292" s="47">
        <v>0</v>
      </c>
      <c r="O292" s="47">
        <v>0</v>
      </c>
      <c r="P292" s="47">
        <v>3.4</v>
      </c>
      <c r="Q292" s="47">
        <f>SUM(Q293:Q295)</f>
        <v>133.19185999999999</v>
      </c>
      <c r="R292" s="47">
        <f t="shared" ref="R292:AA292" si="171">SUM(R293:R295)</f>
        <v>0</v>
      </c>
      <c r="S292" s="47">
        <f t="shared" si="171"/>
        <v>0</v>
      </c>
      <c r="T292" s="47">
        <f t="shared" si="171"/>
        <v>0</v>
      </c>
      <c r="U292" s="47">
        <f t="shared" si="171"/>
        <v>3.4</v>
      </c>
      <c r="V292" s="47">
        <f t="shared" si="171"/>
        <v>0</v>
      </c>
      <c r="W292" s="47">
        <f t="shared" si="171"/>
        <v>0</v>
      </c>
      <c r="X292" s="47">
        <f t="shared" si="171"/>
        <v>0</v>
      </c>
      <c r="Y292" s="47">
        <f t="shared" si="171"/>
        <v>0</v>
      </c>
      <c r="Z292" s="47">
        <f t="shared" si="171"/>
        <v>0</v>
      </c>
      <c r="AA292" s="47">
        <f t="shared" si="171"/>
        <v>133.19202999999999</v>
      </c>
      <c r="AB292" s="47">
        <v>0</v>
      </c>
      <c r="AC292" s="47">
        <v>0</v>
      </c>
      <c r="AD292" s="47">
        <f>SUM(AD293:AD296)</f>
        <v>63735.476889999998</v>
      </c>
      <c r="AE292" s="47">
        <f>SUM(AE293:AE296)</f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19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00"/>
    </row>
    <row r="293" spans="1:79" s="266" customFormat="1" ht="15" customHeight="1" x14ac:dyDescent="0.25">
      <c r="A293" s="1664"/>
      <c r="B293" s="92" t="s">
        <v>454</v>
      </c>
      <c r="C293" s="653"/>
      <c r="D293" s="653"/>
      <c r="E293" s="653"/>
      <c r="F293" s="653"/>
      <c r="G293" s="262"/>
      <c r="H293" s="262"/>
      <c r="I293" s="368"/>
      <c r="J293" s="442"/>
      <c r="K293" s="442"/>
      <c r="L293" s="268"/>
      <c r="M293" s="268"/>
      <c r="N293" s="268"/>
      <c r="O293" s="268"/>
      <c r="P293" s="268">
        <f>R293</f>
        <v>0</v>
      </c>
      <c r="Q293" s="268">
        <v>10.39</v>
      </c>
      <c r="R293" s="268">
        <f>S293</f>
        <v>0</v>
      </c>
      <c r="S293" s="268">
        <v>0</v>
      </c>
      <c r="T293" s="268"/>
      <c r="U293" s="268"/>
      <c r="V293" s="268"/>
      <c r="W293" s="268"/>
      <c r="X293" s="268"/>
      <c r="Y293" s="268"/>
      <c r="Z293" s="268"/>
      <c r="AA293" s="96">
        <v>10.390169999999999</v>
      </c>
      <c r="AB293" s="268">
        <v>0</v>
      </c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418"/>
      <c r="AQ293" s="268"/>
      <c r="AR293" s="602"/>
      <c r="AS293" s="602"/>
      <c r="AT293" s="602"/>
      <c r="AU293" s="602"/>
      <c r="AV293" s="602"/>
      <c r="AW293" s="602"/>
      <c r="AX293" s="602"/>
      <c r="AY293" s="602"/>
      <c r="AZ293" s="602"/>
      <c r="BA293" s="602"/>
      <c r="BB293" s="602"/>
      <c r="BC293" s="602"/>
      <c r="BD293" s="602"/>
      <c r="BE293" s="602"/>
      <c r="BF293" s="602"/>
      <c r="BG293" s="602"/>
      <c r="BH293" s="602"/>
      <c r="BI293" s="602"/>
      <c r="BJ293" s="602"/>
      <c r="BK293" s="602"/>
      <c r="BL293" s="602"/>
      <c r="BM293" s="602"/>
      <c r="BN293" s="602"/>
      <c r="BO293" s="602"/>
      <c r="BP293" s="602"/>
      <c r="BQ293" s="602"/>
      <c r="BR293" s="602"/>
      <c r="BS293" s="602"/>
      <c r="BT293" s="602"/>
      <c r="BU293" s="602"/>
      <c r="BV293" s="602"/>
      <c r="BW293" s="602"/>
      <c r="BX293" s="602"/>
      <c r="BY293" s="602"/>
      <c r="BZ293" s="602"/>
      <c r="CA293" s="602"/>
    </row>
    <row r="294" spans="1:79" s="544" customFormat="1" x14ac:dyDescent="0.25">
      <c r="A294" s="1664"/>
      <c r="B294" s="102" t="s">
        <v>152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v>60</v>
      </c>
      <c r="R294" s="96"/>
      <c r="S294" s="96">
        <v>0</v>
      </c>
      <c r="T294" s="96"/>
      <c r="U294" s="96">
        <v>3.4</v>
      </c>
      <c r="V294" s="96"/>
      <c r="W294" s="96"/>
      <c r="X294" s="96"/>
      <c r="Y294" s="96"/>
      <c r="Z294" s="96"/>
      <c r="AA294" s="96">
        <v>60</v>
      </c>
      <c r="AB294" s="96">
        <v>0</v>
      </c>
      <c r="AC294" s="96">
        <v>3.4</v>
      </c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48" customFormat="1" ht="12.75" customHeight="1" x14ac:dyDescent="0.25">
      <c r="A295" s="1664"/>
      <c r="B295" s="102" t="s">
        <v>470</v>
      </c>
      <c r="C295" s="576"/>
      <c r="D295" s="576"/>
      <c r="E295" s="576"/>
      <c r="F295" s="576"/>
      <c r="G295" s="104"/>
      <c r="H295" s="104"/>
      <c r="I295" s="619"/>
      <c r="J295" s="106"/>
      <c r="K295" s="106"/>
      <c r="L295" s="96"/>
      <c r="M295" s="96"/>
      <c r="N295" s="96"/>
      <c r="O295" s="96"/>
      <c r="P295" s="96">
        <f>R295+T295</f>
        <v>0</v>
      </c>
      <c r="Q295" s="96">
        <v>62.801859999999998</v>
      </c>
      <c r="R295" s="96"/>
      <c r="S295" s="96"/>
      <c r="T295" s="96">
        <v>0</v>
      </c>
      <c r="U295" s="96">
        <v>0</v>
      </c>
      <c r="V295" s="96">
        <f>W295</f>
        <v>0</v>
      </c>
      <c r="W295" s="96">
        <v>0</v>
      </c>
      <c r="X295" s="96"/>
      <c r="Y295" s="96">
        <v>0</v>
      </c>
      <c r="Z295" s="96"/>
      <c r="AA295" s="96">
        <v>62.801859999999998</v>
      </c>
      <c r="AB295" s="96"/>
      <c r="AC295" s="96">
        <v>0</v>
      </c>
      <c r="AD295" s="96">
        <v>0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0"/>
      <c r="AS295" s="600"/>
      <c r="AT295" s="600"/>
      <c r="AU295" s="600"/>
      <c r="AV295" s="600"/>
      <c r="AW295" s="600"/>
      <c r="AX295" s="600"/>
      <c r="AY295" s="600"/>
      <c r="AZ295" s="600"/>
      <c r="BA295" s="600"/>
      <c r="BB295" s="600"/>
      <c r="BC295" s="600"/>
      <c r="BD295" s="600"/>
      <c r="BE295" s="600"/>
      <c r="BF295" s="600"/>
      <c r="BG295" s="600"/>
      <c r="BH295" s="600"/>
      <c r="BI295" s="600"/>
      <c r="BJ295" s="600"/>
      <c r="BK295" s="600"/>
      <c r="BL295" s="600"/>
      <c r="BM295" s="600"/>
      <c r="BN295" s="600"/>
      <c r="BO295" s="600"/>
      <c r="BP295" s="600"/>
      <c r="BQ295" s="600"/>
      <c r="BR295" s="600"/>
      <c r="BS295" s="600"/>
      <c r="BT295" s="600"/>
      <c r="BU295" s="600"/>
      <c r="BV295" s="600"/>
      <c r="BW295" s="600"/>
      <c r="BX295" s="600"/>
      <c r="BY295" s="600"/>
      <c r="BZ295" s="600"/>
      <c r="CA295" s="621"/>
    </row>
    <row r="296" spans="1:79" s="48" customFormat="1" ht="15.75" customHeight="1" x14ac:dyDescent="0.25">
      <c r="A296" s="1664"/>
      <c r="B296" s="1" t="s">
        <v>415</v>
      </c>
      <c r="C296" s="1244"/>
      <c r="D296" s="1244"/>
      <c r="E296" s="1244"/>
      <c r="F296" s="1244"/>
      <c r="G296" s="1236"/>
      <c r="H296" s="1236"/>
      <c r="I296" s="23" t="s">
        <v>10</v>
      </c>
      <c r="J296" s="6"/>
      <c r="K296" s="6"/>
      <c r="L296" s="47">
        <v>263850.07</v>
      </c>
      <c r="M296" s="47">
        <v>263850.07</v>
      </c>
      <c r="N296" s="47">
        <v>263850.07</v>
      </c>
      <c r="O296" s="47">
        <v>263850.07</v>
      </c>
      <c r="P296" s="47">
        <v>0</v>
      </c>
      <c r="Q296" s="47">
        <f>SUM(Q297:Q300)</f>
        <v>99408.513550000003</v>
      </c>
      <c r="R296" s="47">
        <v>21705.95</v>
      </c>
      <c r="S296" s="47">
        <v>21705.95</v>
      </c>
      <c r="T296" s="47">
        <v>21705.95</v>
      </c>
      <c r="U296" s="47">
        <v>21705.95</v>
      </c>
      <c r="V296" s="47">
        <v>21705.95</v>
      </c>
      <c r="W296" s="47">
        <v>21705.95</v>
      </c>
      <c r="X296" s="47">
        <v>21705.95</v>
      </c>
      <c r="Y296" s="47">
        <v>21705.95</v>
      </c>
      <c r="Z296" s="47">
        <v>21705.95</v>
      </c>
      <c r="AA296" s="47">
        <f>SUM(AA297:AA300)</f>
        <v>114181.19725</v>
      </c>
      <c r="AB296" s="47">
        <f t="shared" ref="AB296:AJ296" si="172">SUM(AB297:AB300)</f>
        <v>17522.268</v>
      </c>
      <c r="AC296" s="47">
        <f t="shared" si="172"/>
        <v>17119.198000000004</v>
      </c>
      <c r="AD296" s="47">
        <f t="shared" si="172"/>
        <v>63735.476889999998</v>
      </c>
      <c r="AE296" s="47">
        <f t="shared" si="172"/>
        <v>0</v>
      </c>
      <c r="AF296" s="47">
        <f t="shared" si="172"/>
        <v>0</v>
      </c>
      <c r="AG296" s="47">
        <f t="shared" si="172"/>
        <v>0</v>
      </c>
      <c r="AH296" s="47">
        <f t="shared" si="172"/>
        <v>0</v>
      </c>
      <c r="AI296" s="47">
        <f t="shared" si="172"/>
        <v>0</v>
      </c>
      <c r="AJ296" s="47">
        <f t="shared" si="172"/>
        <v>0</v>
      </c>
      <c r="AK296" s="47">
        <f>AK297</f>
        <v>0</v>
      </c>
      <c r="AL296" s="47">
        <v>0</v>
      </c>
      <c r="AM296" s="47">
        <v>0</v>
      </c>
      <c r="AN296" s="47">
        <v>0</v>
      </c>
      <c r="AO296" s="47">
        <v>0</v>
      </c>
      <c r="AP296" s="419"/>
      <c r="AQ296" s="96"/>
      <c r="AR296" s="600"/>
      <c r="AS296" s="600"/>
      <c r="AT296" s="600"/>
      <c r="AU296" s="600"/>
      <c r="AV296" s="600"/>
      <c r="AW296" s="600"/>
      <c r="AX296" s="600"/>
      <c r="AY296" s="600"/>
      <c r="AZ296" s="600"/>
      <c r="BA296" s="600"/>
      <c r="BB296" s="600"/>
      <c r="BC296" s="600"/>
      <c r="BD296" s="600"/>
      <c r="BE296" s="600"/>
      <c r="BF296" s="600"/>
      <c r="BG296" s="600"/>
      <c r="BH296" s="600"/>
      <c r="BI296" s="600"/>
      <c r="BJ296" s="600"/>
      <c r="BK296" s="600"/>
      <c r="BL296" s="600"/>
      <c r="BM296" s="600"/>
      <c r="BN296" s="600"/>
      <c r="BO296" s="600"/>
      <c r="BP296" s="600"/>
      <c r="BQ296" s="600"/>
      <c r="BR296" s="600"/>
      <c r="BS296" s="600"/>
      <c r="BT296" s="600"/>
      <c r="BU296" s="600"/>
      <c r="BV296" s="600"/>
      <c r="BW296" s="600"/>
      <c r="BX296" s="600"/>
      <c r="BY296" s="600"/>
      <c r="BZ296" s="600"/>
      <c r="CA296" s="621"/>
    </row>
    <row r="297" spans="1:79" s="544" customFormat="1" x14ac:dyDescent="0.25">
      <c r="A297" s="1664"/>
      <c r="B297" s="102" t="s">
        <v>304</v>
      </c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f>21662.59874+8211.12924+16706.17315+24031.27674+18770.21849</f>
        <v>89381.396359999999</v>
      </c>
      <c r="R297" s="96"/>
      <c r="S297" s="96">
        <v>17505.331999999999</v>
      </c>
      <c r="T297" s="96"/>
      <c r="U297" s="96">
        <v>17063.596000000001</v>
      </c>
      <c r="V297" s="96"/>
      <c r="W297" s="96">
        <v>63608.259890000001</v>
      </c>
      <c r="X297" s="96"/>
      <c r="Y297" s="96"/>
      <c r="Z297" s="96"/>
      <c r="AA297" s="96">
        <f>21662.59874+8211.12924+16706.17315+24031.27674+18770.21849</f>
        <v>89381.396359999999</v>
      </c>
      <c r="AB297" s="96">
        <v>17505.331999999999</v>
      </c>
      <c r="AC297" s="96">
        <v>17063.596000000001</v>
      </c>
      <c r="AD297" s="96">
        <v>63608.259890000001</v>
      </c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544" customFormat="1" x14ac:dyDescent="0.25">
      <c r="A298" s="1664"/>
      <c r="B298" s="102" t="s">
        <v>305</v>
      </c>
      <c r="C298" s="576"/>
      <c r="D298" s="576"/>
      <c r="E298" s="576"/>
      <c r="F298" s="576"/>
      <c r="G298" s="104"/>
      <c r="H298" s="104"/>
      <c r="I298" s="443"/>
      <c r="J298" s="106"/>
      <c r="K298" s="106"/>
      <c r="L298" s="96"/>
      <c r="M298" s="96"/>
      <c r="N298" s="96"/>
      <c r="O298" s="96"/>
      <c r="P298" s="96"/>
      <c r="Q298" s="96">
        <f>43.3252+16.42226+33.41235+48.06255+37.44108</f>
        <v>178.66344000000001</v>
      </c>
      <c r="R298" s="96"/>
      <c r="S298" s="96">
        <v>16.936</v>
      </c>
      <c r="T298" s="96"/>
      <c r="U298" s="96">
        <v>35.421999999999997</v>
      </c>
      <c r="V298" s="96"/>
      <c r="W298" s="96">
        <f>127.21652+16.78083</f>
        <v>143.99735000000001</v>
      </c>
      <c r="X298" s="96"/>
      <c r="Y298" s="96"/>
      <c r="Z298" s="96"/>
      <c r="AA298" s="96">
        <f>43.3252+16.42226+33.41235+48.06255+37.44108</f>
        <v>178.66344000000001</v>
      </c>
      <c r="AB298" s="96">
        <v>16.936</v>
      </c>
      <c r="AC298" s="96">
        <v>52.201999999999998</v>
      </c>
      <c r="AD298" s="96">
        <v>127.217</v>
      </c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421"/>
      <c r="AQ298" s="96"/>
      <c r="AR298" s="602"/>
      <c r="AS298" s="602"/>
      <c r="AT298" s="602"/>
      <c r="AU298" s="602"/>
      <c r="AV298" s="602"/>
      <c r="AW298" s="602"/>
      <c r="AX298" s="602"/>
      <c r="AY298" s="602"/>
      <c r="AZ298" s="602"/>
      <c r="BA298" s="602"/>
      <c r="BB298" s="602"/>
      <c r="BC298" s="602"/>
      <c r="BD298" s="602"/>
      <c r="BE298" s="602"/>
      <c r="BF298" s="602"/>
      <c r="BG298" s="602"/>
      <c r="BH298" s="602"/>
      <c r="BI298" s="602"/>
      <c r="BJ298" s="602"/>
      <c r="BK298" s="602"/>
      <c r="BL298" s="602"/>
      <c r="BM298" s="602"/>
      <c r="BN298" s="602"/>
      <c r="BO298" s="602"/>
      <c r="BP298" s="602"/>
      <c r="BQ298" s="602"/>
      <c r="BR298" s="602"/>
      <c r="BS298" s="602"/>
      <c r="BT298" s="602"/>
      <c r="BU298" s="602"/>
      <c r="BV298" s="602"/>
      <c r="BW298" s="602"/>
      <c r="BX298" s="602"/>
      <c r="BY298" s="602"/>
      <c r="BZ298" s="602"/>
      <c r="CA298" s="622"/>
    </row>
    <row r="299" spans="1:79" s="544" customFormat="1" x14ac:dyDescent="0.25">
      <c r="A299" s="1664"/>
      <c r="B299" s="102" t="s">
        <v>317</v>
      </c>
      <c r="C299" s="576"/>
      <c r="D299" s="576"/>
      <c r="E299" s="576"/>
      <c r="F299" s="576"/>
      <c r="G299" s="104"/>
      <c r="H299" s="104"/>
      <c r="I299" s="443"/>
      <c r="J299" s="106"/>
      <c r="K299" s="106"/>
      <c r="L299" s="96"/>
      <c r="M299" s="96"/>
      <c r="N299" s="96"/>
      <c r="O299" s="96"/>
      <c r="P299" s="96"/>
      <c r="Q299" s="96">
        <f>7386.34+2462.11375</f>
        <v>9848.4537500000006</v>
      </c>
      <c r="R299" s="96"/>
      <c r="S299" s="96"/>
      <c r="T299" s="96"/>
      <c r="U299" s="96">
        <v>9848.4549999999999</v>
      </c>
      <c r="V299" s="96"/>
      <c r="W299" s="96"/>
      <c r="X299" s="96"/>
      <c r="Y299" s="96"/>
      <c r="Z299" s="96"/>
      <c r="AA299" s="96">
        <f>14772.68247+9848.45498</f>
        <v>24621.137450000002</v>
      </c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421"/>
      <c r="AQ299" s="96"/>
      <c r="AR299" s="602"/>
      <c r="AS299" s="602"/>
      <c r="AT299" s="602"/>
      <c r="AU299" s="602"/>
      <c r="AV299" s="602"/>
      <c r="AW299" s="602"/>
      <c r="AX299" s="602"/>
      <c r="AY299" s="602"/>
      <c r="AZ299" s="602"/>
      <c r="BA299" s="602"/>
      <c r="BB299" s="602"/>
      <c r="BC299" s="602"/>
      <c r="BD299" s="602"/>
      <c r="BE299" s="602"/>
      <c r="BF299" s="602"/>
      <c r="BG299" s="602"/>
      <c r="BH299" s="602"/>
      <c r="BI299" s="602"/>
      <c r="BJ299" s="602"/>
      <c r="BK299" s="602"/>
      <c r="BL299" s="602"/>
      <c r="BM299" s="602"/>
      <c r="BN299" s="602"/>
      <c r="BO299" s="602"/>
      <c r="BP299" s="602"/>
      <c r="BQ299" s="602"/>
      <c r="BR299" s="602"/>
      <c r="BS299" s="602"/>
      <c r="BT299" s="602"/>
      <c r="BU299" s="602"/>
      <c r="BV299" s="602"/>
      <c r="BW299" s="602"/>
      <c r="BX299" s="602"/>
      <c r="BY299" s="602"/>
      <c r="BZ299" s="602"/>
      <c r="CA299" s="622"/>
    </row>
    <row r="300" spans="1:79" s="544" customFormat="1" x14ac:dyDescent="0.25">
      <c r="A300" s="1665"/>
      <c r="B300" s="102"/>
      <c r="C300" s="576"/>
      <c r="D300" s="576"/>
      <c r="E300" s="576"/>
      <c r="F300" s="576"/>
      <c r="G300" s="104"/>
      <c r="H300" s="104"/>
      <c r="I300" s="443"/>
      <c r="J300" s="106"/>
      <c r="K300" s="106"/>
      <c r="L300" s="96"/>
      <c r="M300" s="96"/>
      <c r="N300" s="96"/>
      <c r="O300" s="96"/>
      <c r="P300" s="96"/>
      <c r="Q300" s="96">
        <v>0</v>
      </c>
      <c r="R300" s="96"/>
      <c r="S300" s="96">
        <v>0</v>
      </c>
      <c r="T300" s="96"/>
      <c r="U300" s="96">
        <v>3.4</v>
      </c>
      <c r="V300" s="96"/>
      <c r="W300" s="96"/>
      <c r="X300" s="96"/>
      <c r="Y300" s="96"/>
      <c r="Z300" s="96"/>
      <c r="AA300" s="96">
        <v>0</v>
      </c>
      <c r="AB300" s="96">
        <v>0</v>
      </c>
      <c r="AC300" s="96">
        <v>3.4</v>
      </c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421"/>
      <c r="AQ300" s="96"/>
      <c r="AR300" s="602"/>
      <c r="AS300" s="602"/>
      <c r="AT300" s="602"/>
      <c r="AU300" s="602"/>
      <c r="AV300" s="602"/>
      <c r="AW300" s="602"/>
      <c r="AX300" s="602"/>
      <c r="AY300" s="602"/>
      <c r="AZ300" s="602"/>
      <c r="BA300" s="602"/>
      <c r="BB300" s="602"/>
      <c r="BC300" s="602"/>
      <c r="BD300" s="602"/>
      <c r="BE300" s="602"/>
      <c r="BF300" s="602"/>
      <c r="BG300" s="602"/>
      <c r="BH300" s="602"/>
      <c r="BI300" s="602"/>
      <c r="BJ300" s="602"/>
      <c r="BK300" s="602"/>
      <c r="BL300" s="602"/>
      <c r="BM300" s="602"/>
      <c r="BN300" s="602"/>
      <c r="BO300" s="602"/>
      <c r="BP300" s="602"/>
      <c r="BQ300" s="602"/>
      <c r="BR300" s="602"/>
      <c r="BS300" s="602"/>
      <c r="BT300" s="602"/>
      <c r="BU300" s="602"/>
      <c r="BV300" s="602"/>
      <c r="BW300" s="602"/>
      <c r="BX300" s="602"/>
      <c r="BY300" s="602"/>
      <c r="BZ300" s="602"/>
      <c r="CA300" s="622"/>
    </row>
    <row r="301" spans="1:79" s="327" customFormat="1" ht="33" customHeight="1" x14ac:dyDescent="0.25">
      <c r="A301" s="1358" t="s">
        <v>194</v>
      </c>
      <c r="B301" s="780" t="s">
        <v>393</v>
      </c>
      <c r="C301" s="1240"/>
      <c r="D301" s="1240"/>
      <c r="E301" s="1240"/>
      <c r="F301" s="1240">
        <v>82</v>
      </c>
      <c r="G301" s="807"/>
      <c r="H301" s="807"/>
      <c r="I301" s="1326" t="s">
        <v>20</v>
      </c>
      <c r="J301" s="52">
        <f>L301</f>
        <v>12299.37</v>
      </c>
      <c r="K301" s="52"/>
      <c r="L301" s="3">
        <f>L303</f>
        <v>12299.37</v>
      </c>
      <c r="M301" s="3">
        <f t="shared" ref="M301:Y301" si="173">M303</f>
        <v>0</v>
      </c>
      <c r="N301" s="3">
        <f t="shared" si="173"/>
        <v>0</v>
      </c>
      <c r="O301" s="3">
        <f t="shared" si="173"/>
        <v>5371.98</v>
      </c>
      <c r="P301" s="3">
        <f>P302+P303</f>
        <v>2400.44</v>
      </c>
      <c r="Q301" s="3">
        <f t="shared" si="173"/>
        <v>0</v>
      </c>
      <c r="R301" s="3">
        <f t="shared" si="173"/>
        <v>0</v>
      </c>
      <c r="S301" s="3">
        <f t="shared" si="173"/>
        <v>0</v>
      </c>
      <c r="T301" s="3">
        <f t="shared" si="173"/>
        <v>0</v>
      </c>
      <c r="U301" s="3">
        <f t="shared" si="173"/>
        <v>0</v>
      </c>
      <c r="V301" s="3">
        <f t="shared" si="173"/>
        <v>0</v>
      </c>
      <c r="W301" s="3">
        <f t="shared" si="173"/>
        <v>0</v>
      </c>
      <c r="X301" s="3">
        <f t="shared" si="173"/>
        <v>0</v>
      </c>
      <c r="Y301" s="3">
        <f t="shared" si="173"/>
        <v>0</v>
      </c>
      <c r="Z301" s="95">
        <v>0</v>
      </c>
      <c r="AA301" s="3">
        <f t="shared" ref="AA301:AO301" si="174">AA303</f>
        <v>0</v>
      </c>
      <c r="AB301" s="3">
        <f t="shared" si="174"/>
        <v>0</v>
      </c>
      <c r="AC301" s="3">
        <f t="shared" si="174"/>
        <v>0</v>
      </c>
      <c r="AD301" s="3">
        <f t="shared" si="174"/>
        <v>0</v>
      </c>
      <c r="AE301" s="3">
        <f t="shared" si="174"/>
        <v>0</v>
      </c>
      <c r="AF301" s="3">
        <f t="shared" si="174"/>
        <v>0</v>
      </c>
      <c r="AG301" s="3">
        <f t="shared" si="174"/>
        <v>0</v>
      </c>
      <c r="AH301" s="3">
        <f t="shared" si="174"/>
        <v>0</v>
      </c>
      <c r="AI301" s="3">
        <f t="shared" si="174"/>
        <v>0</v>
      </c>
      <c r="AJ301" s="3">
        <f t="shared" si="174"/>
        <v>0</v>
      </c>
      <c r="AK301" s="3">
        <f t="shared" si="174"/>
        <v>0</v>
      </c>
      <c r="AL301" s="3">
        <f t="shared" si="174"/>
        <v>0</v>
      </c>
      <c r="AM301" s="3">
        <f t="shared" si="174"/>
        <v>0</v>
      </c>
      <c r="AN301" s="3">
        <f t="shared" si="174"/>
        <v>0</v>
      </c>
      <c r="AO301" s="3">
        <f t="shared" si="174"/>
        <v>0</v>
      </c>
      <c r="AP301" s="834"/>
      <c r="AQ301" s="95">
        <v>0</v>
      </c>
    </row>
    <row r="302" spans="1:79" ht="15.75" customHeight="1" x14ac:dyDescent="0.25">
      <c r="A302" s="1359"/>
      <c r="B302" s="1" t="s">
        <v>39</v>
      </c>
      <c r="C302" s="1244"/>
      <c r="D302" s="1244"/>
      <c r="E302" s="1244"/>
      <c r="F302" s="1244"/>
      <c r="G302" s="1236"/>
      <c r="H302" s="1236"/>
      <c r="I302" s="1327"/>
      <c r="J302" s="6"/>
      <c r="K302" s="6"/>
      <c r="L302" s="47"/>
      <c r="M302" s="47"/>
      <c r="N302" s="47"/>
      <c r="O302" s="47"/>
      <c r="P302" s="47">
        <v>2400.44</v>
      </c>
      <c r="Q302" s="47">
        <f>S302</f>
        <v>0</v>
      </c>
      <c r="R302" s="47">
        <f>S302</f>
        <v>0</v>
      </c>
      <c r="S302" s="47">
        <v>0</v>
      </c>
      <c r="T302" s="47"/>
      <c r="U302" s="47"/>
      <c r="V302" s="47"/>
      <c r="W302" s="47"/>
      <c r="X302" s="47"/>
      <c r="Y302" s="47"/>
      <c r="Z302" s="47"/>
      <c r="AA302" s="47">
        <v>0</v>
      </c>
      <c r="AB302" s="47">
        <v>0</v>
      </c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19"/>
      <c r="AQ302" s="47"/>
    </row>
    <row r="303" spans="1:79" ht="18.75" customHeight="1" x14ac:dyDescent="0.25">
      <c r="A303" s="1361"/>
      <c r="B303" s="1" t="s">
        <v>213</v>
      </c>
      <c r="C303" s="1243"/>
      <c r="D303" s="1243"/>
      <c r="E303" s="1243"/>
      <c r="F303" s="1243"/>
      <c r="G303" s="1236">
        <v>2024</v>
      </c>
      <c r="H303" s="1236">
        <v>2029</v>
      </c>
      <c r="I303" s="1328"/>
      <c r="J303" s="6">
        <f>L303</f>
        <v>12299.37</v>
      </c>
      <c r="K303" s="6"/>
      <c r="L303" s="47">
        <v>12299.37</v>
      </c>
      <c r="M303" s="47">
        <v>0</v>
      </c>
      <c r="N303" s="47">
        <v>0</v>
      </c>
      <c r="O303" s="47">
        <v>5371.98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>
        <v>0</v>
      </c>
      <c r="X303" s="47">
        <v>0</v>
      </c>
      <c r="Y303" s="47">
        <v>0</v>
      </c>
      <c r="Z303" s="96"/>
      <c r="AA303" s="47">
        <v>0</v>
      </c>
      <c r="AB303" s="47">
        <v>0</v>
      </c>
      <c r="AC303" s="47">
        <v>0</v>
      </c>
      <c r="AD303" s="47">
        <v>0</v>
      </c>
      <c r="AE303" s="47">
        <v>0</v>
      </c>
      <c r="AF303" s="47">
        <v>0</v>
      </c>
      <c r="AG303" s="47">
        <v>0</v>
      </c>
      <c r="AH303" s="47">
        <v>0</v>
      </c>
      <c r="AI303" s="47">
        <v>0</v>
      </c>
      <c r="AJ303" s="47">
        <v>0</v>
      </c>
      <c r="AK303" s="47">
        <v>0</v>
      </c>
      <c r="AL303" s="47">
        <v>0</v>
      </c>
      <c r="AM303" s="47">
        <v>0</v>
      </c>
      <c r="AN303" s="47">
        <v>0</v>
      </c>
      <c r="AO303" s="47">
        <v>0</v>
      </c>
      <c r="AP303" s="419"/>
      <c r="AQ303" s="96"/>
    </row>
    <row r="304" spans="1:79" ht="15.75" hidden="1" x14ac:dyDescent="0.25">
      <c r="B304" s="623" t="s">
        <v>96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97</v>
      </c>
      <c r="U304" s="623"/>
      <c r="V304" s="623"/>
      <c r="W304" s="623"/>
      <c r="AB304" s="623" t="s">
        <v>97</v>
      </c>
      <c r="AO304" s="623"/>
      <c r="AP304" s="623"/>
    </row>
    <row r="305" spans="1:43" ht="15.75" hidden="1" x14ac:dyDescent="0.25">
      <c r="B305" s="623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  <c r="O305" s="623"/>
      <c r="P305" s="624"/>
      <c r="Q305" s="623"/>
      <c r="S305" s="623"/>
      <c r="T305" s="623"/>
      <c r="U305" s="623"/>
      <c r="AB305" s="623"/>
      <c r="AC305" s="626" t="s">
        <v>98</v>
      </c>
      <c r="AD305" s="623"/>
      <c r="AE305" s="623"/>
      <c r="AF305" s="623"/>
      <c r="AG305" s="623"/>
      <c r="AH305" s="623"/>
      <c r="AI305" s="623"/>
      <c r="AJ305" s="623"/>
      <c r="AK305" s="623"/>
      <c r="AL305" s="623"/>
      <c r="AM305" s="623" t="s">
        <v>99</v>
      </c>
      <c r="AN305" s="623"/>
      <c r="AO305" s="623"/>
      <c r="AP305" s="623"/>
    </row>
    <row r="306" spans="1:43" ht="15.75" hidden="1" x14ac:dyDescent="0.25">
      <c r="B306" s="623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  <c r="O306" s="623"/>
      <c r="P306" s="624"/>
      <c r="Q306" s="623"/>
      <c r="S306" s="623"/>
      <c r="T306" s="623"/>
      <c r="W306" s="623" t="s">
        <v>98</v>
      </c>
      <c r="AB306" s="623"/>
      <c r="AD306" s="623"/>
      <c r="AE306" s="623"/>
      <c r="AF306" s="623"/>
      <c r="AG306" s="623"/>
      <c r="AH306" s="623"/>
      <c r="AI306" s="623"/>
      <c r="AJ306" s="623"/>
      <c r="AK306" s="623"/>
      <c r="AL306" s="623"/>
      <c r="AM306" s="623"/>
      <c r="AN306" s="623"/>
      <c r="AO306" s="623"/>
      <c r="AP306" s="623"/>
    </row>
    <row r="307" spans="1:43" ht="15.75" hidden="1" x14ac:dyDescent="0.25">
      <c r="B307" s="623" t="s">
        <v>94</v>
      </c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  <c r="O307" s="623"/>
      <c r="P307" s="624"/>
      <c r="Q307" s="623"/>
      <c r="S307" s="623"/>
      <c r="T307" s="623" t="s">
        <v>95</v>
      </c>
      <c r="W307" s="623"/>
      <c r="AB307" s="623" t="s">
        <v>95</v>
      </c>
      <c r="AC307" s="626" t="s">
        <v>100</v>
      </c>
      <c r="AD307" s="623"/>
      <c r="AE307" s="623"/>
      <c r="AF307" s="623"/>
      <c r="AG307" s="623"/>
      <c r="AH307" s="623"/>
      <c r="AI307" s="623"/>
      <c r="AJ307" s="623"/>
      <c r="AK307" s="623"/>
      <c r="AL307" s="623"/>
      <c r="AM307" s="623" t="s">
        <v>101</v>
      </c>
      <c r="AN307" s="623"/>
    </row>
    <row r="308" spans="1:43" ht="15.75" hidden="1" x14ac:dyDescent="0.25">
      <c r="W308" s="623"/>
      <c r="AJ308" s="623"/>
    </row>
    <row r="309" spans="1:43" ht="15.75" hidden="1" x14ac:dyDescent="0.25">
      <c r="W309" s="623" t="s">
        <v>100</v>
      </c>
      <c r="AJ309" s="623" t="s">
        <v>101</v>
      </c>
    </row>
    <row r="310" spans="1:43" s="624" customFormat="1" ht="4.5" hidden="1" customHeight="1" x14ac:dyDescent="0.25">
      <c r="B310" s="624" t="s">
        <v>242</v>
      </c>
      <c r="T310" s="624" t="s">
        <v>151</v>
      </c>
      <c r="X310" s="627"/>
      <c r="Y310" s="627"/>
      <c r="Z310" s="627"/>
      <c r="AB310" s="624" t="s">
        <v>151</v>
      </c>
      <c r="AP310" s="628"/>
      <c r="AQ310" s="627"/>
    </row>
    <row r="311" spans="1:43" s="327" customFormat="1" ht="29.25" customHeight="1" x14ac:dyDescent="0.25">
      <c r="A311" s="1358" t="s">
        <v>194</v>
      </c>
      <c r="B311" s="780" t="s">
        <v>394</v>
      </c>
      <c r="C311" s="1240"/>
      <c r="D311" s="1240"/>
      <c r="E311" s="1240"/>
      <c r="F311" s="1240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75">M313</f>
        <v>0</v>
      </c>
      <c r="N311" s="3">
        <f t="shared" si="175"/>
        <v>0</v>
      </c>
      <c r="O311" s="3">
        <f t="shared" si="175"/>
        <v>5371.98</v>
      </c>
      <c r="P311" s="3">
        <f>P312+P313</f>
        <v>2804.27</v>
      </c>
      <c r="Q311" s="3">
        <f t="shared" si="175"/>
        <v>0</v>
      </c>
      <c r="R311" s="3">
        <f t="shared" si="175"/>
        <v>0</v>
      </c>
      <c r="S311" s="3">
        <f t="shared" si="175"/>
        <v>0</v>
      </c>
      <c r="T311" s="3">
        <f t="shared" si="175"/>
        <v>0</v>
      </c>
      <c r="U311" s="3">
        <f t="shared" si="175"/>
        <v>0</v>
      </c>
      <c r="V311" s="3">
        <f t="shared" si="175"/>
        <v>0</v>
      </c>
      <c r="W311" s="3">
        <f t="shared" si="175"/>
        <v>0</v>
      </c>
      <c r="X311" s="3">
        <f t="shared" si="175"/>
        <v>0</v>
      </c>
      <c r="Y311" s="3">
        <f t="shared" si="175"/>
        <v>0</v>
      </c>
      <c r="Z311" s="95">
        <v>0</v>
      </c>
      <c r="AA311" s="3">
        <f t="shared" ref="AA311:AO311" si="176">AA313</f>
        <v>0</v>
      </c>
      <c r="AB311" s="3">
        <f t="shared" si="176"/>
        <v>0</v>
      </c>
      <c r="AC311" s="3">
        <f t="shared" si="176"/>
        <v>0</v>
      </c>
      <c r="AD311" s="3">
        <f t="shared" si="176"/>
        <v>0</v>
      </c>
      <c r="AE311" s="3">
        <f t="shared" si="176"/>
        <v>0</v>
      </c>
      <c r="AF311" s="3">
        <f t="shared" si="176"/>
        <v>0</v>
      </c>
      <c r="AG311" s="3">
        <f t="shared" si="176"/>
        <v>0</v>
      </c>
      <c r="AH311" s="3">
        <f t="shared" si="176"/>
        <v>0</v>
      </c>
      <c r="AI311" s="3">
        <f t="shared" si="176"/>
        <v>0</v>
      </c>
      <c r="AJ311" s="3">
        <f t="shared" si="176"/>
        <v>0</v>
      </c>
      <c r="AK311" s="3">
        <f t="shared" si="176"/>
        <v>0</v>
      </c>
      <c r="AL311" s="3">
        <f t="shared" si="176"/>
        <v>0</v>
      </c>
      <c r="AM311" s="3">
        <f t="shared" si="176"/>
        <v>0</v>
      </c>
      <c r="AN311" s="3">
        <f t="shared" si="176"/>
        <v>0</v>
      </c>
      <c r="AO311" s="3">
        <f t="shared" si="176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1244"/>
      <c r="D312" s="1244"/>
      <c r="E312" s="1244"/>
      <c r="F312" s="1244"/>
      <c r="G312" s="1236"/>
      <c r="H312" s="1236"/>
      <c r="I312" s="1327"/>
      <c r="J312" s="6"/>
      <c r="K312" s="6"/>
      <c r="L312" s="47"/>
      <c r="M312" s="47"/>
      <c r="N312" s="47"/>
      <c r="O312" s="47"/>
      <c r="P312" s="47">
        <v>2804.27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1243"/>
      <c r="D313" s="1243"/>
      <c r="E313" s="1243"/>
      <c r="F313" s="1243"/>
      <c r="G313" s="1236">
        <v>2024</v>
      </c>
      <c r="H313" s="1236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  <row r="314" spans="1:43" s="327" customFormat="1" ht="29.25" customHeight="1" x14ac:dyDescent="0.25">
      <c r="A314" s="1358" t="s">
        <v>194</v>
      </c>
      <c r="B314" s="780" t="s">
        <v>459</v>
      </c>
      <c r="C314" s="1240"/>
      <c r="D314" s="1240"/>
      <c r="E314" s="1240"/>
      <c r="F314" s="1240">
        <v>82</v>
      </c>
      <c r="G314" s="807"/>
      <c r="H314" s="807"/>
      <c r="I314" s="1326" t="s">
        <v>20</v>
      </c>
      <c r="J314" s="52">
        <f>L314</f>
        <v>12299.37</v>
      </c>
      <c r="K314" s="52"/>
      <c r="L314" s="3">
        <f>L316</f>
        <v>12299.37</v>
      </c>
      <c r="M314" s="3">
        <f t="shared" ref="M314:Y314" si="177">M316</f>
        <v>0</v>
      </c>
      <c r="N314" s="3">
        <f t="shared" si="177"/>
        <v>0</v>
      </c>
      <c r="O314" s="3">
        <f t="shared" si="177"/>
        <v>5371.98</v>
      </c>
      <c r="P314" s="3">
        <f>P315+P316</f>
        <v>377.92</v>
      </c>
      <c r="Q314" s="3">
        <f t="shared" si="177"/>
        <v>0</v>
      </c>
      <c r="R314" s="3">
        <f t="shared" si="177"/>
        <v>0</v>
      </c>
      <c r="S314" s="3">
        <f t="shared" si="177"/>
        <v>0</v>
      </c>
      <c r="T314" s="3">
        <f t="shared" si="177"/>
        <v>0</v>
      </c>
      <c r="U314" s="3">
        <f t="shared" si="177"/>
        <v>0</v>
      </c>
      <c r="V314" s="3">
        <f t="shared" si="177"/>
        <v>0</v>
      </c>
      <c r="W314" s="3">
        <f t="shared" si="177"/>
        <v>0</v>
      </c>
      <c r="X314" s="3">
        <f t="shared" si="177"/>
        <v>0</v>
      </c>
      <c r="Y314" s="3">
        <f t="shared" si="177"/>
        <v>0</v>
      </c>
      <c r="Z314" s="95">
        <v>0</v>
      </c>
      <c r="AA314" s="3">
        <f t="shared" ref="AA314:AO314" si="178">AA316</f>
        <v>0</v>
      </c>
      <c r="AB314" s="3">
        <f t="shared" si="178"/>
        <v>0</v>
      </c>
      <c r="AC314" s="3">
        <f t="shared" si="178"/>
        <v>0</v>
      </c>
      <c r="AD314" s="3">
        <f t="shared" si="178"/>
        <v>0</v>
      </c>
      <c r="AE314" s="3">
        <f t="shared" si="178"/>
        <v>0</v>
      </c>
      <c r="AF314" s="3">
        <f t="shared" si="178"/>
        <v>0</v>
      </c>
      <c r="AG314" s="3">
        <f t="shared" si="178"/>
        <v>0</v>
      </c>
      <c r="AH314" s="3">
        <f t="shared" si="178"/>
        <v>0</v>
      </c>
      <c r="AI314" s="3">
        <f t="shared" si="178"/>
        <v>0</v>
      </c>
      <c r="AJ314" s="3">
        <f t="shared" si="178"/>
        <v>0</v>
      </c>
      <c r="AK314" s="3">
        <f t="shared" si="178"/>
        <v>0</v>
      </c>
      <c r="AL314" s="3">
        <f t="shared" si="178"/>
        <v>0</v>
      </c>
      <c r="AM314" s="3">
        <f t="shared" si="178"/>
        <v>0</v>
      </c>
      <c r="AN314" s="3">
        <f t="shared" si="178"/>
        <v>0</v>
      </c>
      <c r="AO314" s="3">
        <f t="shared" si="178"/>
        <v>0</v>
      </c>
      <c r="AP314" s="834"/>
      <c r="AQ314" s="95">
        <v>0</v>
      </c>
    </row>
    <row r="315" spans="1:43" ht="15.75" customHeight="1" x14ac:dyDescent="0.25">
      <c r="A315" s="1359"/>
      <c r="B315" s="1" t="s">
        <v>39</v>
      </c>
      <c r="C315" s="1244"/>
      <c r="D315" s="1244"/>
      <c r="E315" s="1244"/>
      <c r="F315" s="1244"/>
      <c r="G315" s="1236"/>
      <c r="H315" s="1236"/>
      <c r="I315" s="1327"/>
      <c r="J315" s="6"/>
      <c r="K315" s="6"/>
      <c r="L315" s="47"/>
      <c r="M315" s="47"/>
      <c r="N315" s="47"/>
      <c r="O315" s="47"/>
      <c r="P315" s="47">
        <v>377.92</v>
      </c>
      <c r="Q315" s="47">
        <f>S315</f>
        <v>0</v>
      </c>
      <c r="R315" s="47">
        <f>S315</f>
        <v>0</v>
      </c>
      <c r="S315" s="47">
        <v>0</v>
      </c>
      <c r="T315" s="47"/>
      <c r="U315" s="47"/>
      <c r="V315" s="47"/>
      <c r="W315" s="47"/>
      <c r="X315" s="47"/>
      <c r="Y315" s="47"/>
      <c r="Z315" s="47"/>
      <c r="AA315" s="47">
        <v>0</v>
      </c>
      <c r="AB315" s="47">
        <v>0</v>
      </c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19"/>
      <c r="AQ315" s="47"/>
    </row>
    <row r="316" spans="1:43" ht="19.5" customHeight="1" x14ac:dyDescent="0.25">
      <c r="A316" s="1361"/>
      <c r="B316" s="1" t="s">
        <v>213</v>
      </c>
      <c r="C316" s="1243"/>
      <c r="D316" s="1243"/>
      <c r="E316" s="1243"/>
      <c r="F316" s="1243"/>
      <c r="G316" s="1236">
        <v>2024</v>
      </c>
      <c r="H316" s="1236">
        <v>2029</v>
      </c>
      <c r="I316" s="1328"/>
      <c r="J316" s="6">
        <f>L316</f>
        <v>12299.37</v>
      </c>
      <c r="K316" s="6"/>
      <c r="L316" s="47">
        <v>12299.37</v>
      </c>
      <c r="M316" s="47">
        <v>0</v>
      </c>
      <c r="N316" s="47">
        <v>0</v>
      </c>
      <c r="O316" s="47">
        <v>5371.98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96"/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>
        <v>0</v>
      </c>
      <c r="AP316" s="419"/>
      <c r="AQ316" s="96"/>
    </row>
  </sheetData>
  <mergeCells count="199">
    <mergeCell ref="A314:A316"/>
    <mergeCell ref="I314:I316"/>
    <mergeCell ref="A288:A290"/>
    <mergeCell ref="I288:I290"/>
    <mergeCell ref="A291:A300"/>
    <mergeCell ref="A301:A303"/>
    <mergeCell ref="I301:I303"/>
    <mergeCell ref="A311:A313"/>
    <mergeCell ref="I311:I313"/>
    <mergeCell ref="A281:A287"/>
    <mergeCell ref="C281:C282"/>
    <mergeCell ref="D281:D282"/>
    <mergeCell ref="E281:E282"/>
    <mergeCell ref="F281:F282"/>
    <mergeCell ref="I281:I287"/>
    <mergeCell ref="A276:A280"/>
    <mergeCell ref="C276:C277"/>
    <mergeCell ref="D276:D277"/>
    <mergeCell ref="E276:E277"/>
    <mergeCell ref="F276:F277"/>
    <mergeCell ref="I276:I280"/>
    <mergeCell ref="I270:I271"/>
    <mergeCell ref="J270:J271"/>
    <mergeCell ref="A272:A275"/>
    <mergeCell ref="C272:C273"/>
    <mergeCell ref="D272:D273"/>
    <mergeCell ref="E272:E273"/>
    <mergeCell ref="F272:F273"/>
    <mergeCell ref="I272:I275"/>
    <mergeCell ref="A255:A259"/>
    <mergeCell ref="I255:I259"/>
    <mergeCell ref="A260:A261"/>
    <mergeCell ref="I260:I261"/>
    <mergeCell ref="I267:I268"/>
    <mergeCell ref="A270:A271"/>
    <mergeCell ref="C270:C271"/>
    <mergeCell ref="D270:D271"/>
    <mergeCell ref="E270:E271"/>
    <mergeCell ref="F270:F271"/>
    <mergeCell ref="H241:H244"/>
    <mergeCell ref="I241:I244"/>
    <mergeCell ref="J241:J244"/>
    <mergeCell ref="A248:A251"/>
    <mergeCell ref="B248:H251"/>
    <mergeCell ref="A252:A254"/>
    <mergeCell ref="I252:I253"/>
    <mergeCell ref="I232:I233"/>
    <mergeCell ref="A234:A237"/>
    <mergeCell ref="B234:H237"/>
    <mergeCell ref="I238:I239"/>
    <mergeCell ref="A241:A244"/>
    <mergeCell ref="C241:C244"/>
    <mergeCell ref="D241:D244"/>
    <mergeCell ref="E241:E244"/>
    <mergeCell ref="F241:F244"/>
    <mergeCell ref="G241:G244"/>
    <mergeCell ref="J211:J215"/>
    <mergeCell ref="A216:A217"/>
    <mergeCell ref="I216:I217"/>
    <mergeCell ref="I222:I223"/>
    <mergeCell ref="I228:I229"/>
    <mergeCell ref="I230:I231"/>
    <mergeCell ref="A211:A215"/>
    <mergeCell ref="C211:C215"/>
    <mergeCell ref="D211:D215"/>
    <mergeCell ref="E211:E215"/>
    <mergeCell ref="F211:F215"/>
    <mergeCell ref="I211:I215"/>
    <mergeCell ref="A187:A188"/>
    <mergeCell ref="I187:I188"/>
    <mergeCell ref="A190:A191"/>
    <mergeCell ref="I190:I191"/>
    <mergeCell ref="A207:A210"/>
    <mergeCell ref="B207:H210"/>
    <mergeCell ref="H174:H175"/>
    <mergeCell ref="I174:I175"/>
    <mergeCell ref="J174:J175"/>
    <mergeCell ref="K174:K175"/>
    <mergeCell ref="A183:A184"/>
    <mergeCell ref="I183:I184"/>
    <mergeCell ref="A174:A175"/>
    <mergeCell ref="C174:C175"/>
    <mergeCell ref="D174:D175"/>
    <mergeCell ref="E174:E175"/>
    <mergeCell ref="F174:F175"/>
    <mergeCell ref="G174:G175"/>
    <mergeCell ref="H167:H168"/>
    <mergeCell ref="I167:I168"/>
    <mergeCell ref="J167:J168"/>
    <mergeCell ref="K167:K168"/>
    <mergeCell ref="A170:A173"/>
    <mergeCell ref="F170:F173"/>
    <mergeCell ref="I170:I173"/>
    <mergeCell ref="A167:A168"/>
    <mergeCell ref="C167:C168"/>
    <mergeCell ref="D167:D168"/>
    <mergeCell ref="E167:E168"/>
    <mergeCell ref="F167:F168"/>
    <mergeCell ref="G167:G168"/>
    <mergeCell ref="A151:A155"/>
    <mergeCell ref="I151:I155"/>
    <mergeCell ref="J151:J155"/>
    <mergeCell ref="A158:H162"/>
    <mergeCell ref="A163:A166"/>
    <mergeCell ref="B163:H166"/>
    <mergeCell ref="A141:A145"/>
    <mergeCell ref="I141:I145"/>
    <mergeCell ref="J141:J145"/>
    <mergeCell ref="A146:A150"/>
    <mergeCell ref="I146:I150"/>
    <mergeCell ref="J146:J150"/>
    <mergeCell ref="A121:A125"/>
    <mergeCell ref="I121:I125"/>
    <mergeCell ref="A126:A127"/>
    <mergeCell ref="I126:I127"/>
    <mergeCell ref="A129:A132"/>
    <mergeCell ref="B129:H132"/>
    <mergeCell ref="A109:A113"/>
    <mergeCell ref="I109:I113"/>
    <mergeCell ref="A114:A115"/>
    <mergeCell ref="I114:I115"/>
    <mergeCell ref="A117:A120"/>
    <mergeCell ref="I117:I120"/>
    <mergeCell ref="A97:A99"/>
    <mergeCell ref="I97:I98"/>
    <mergeCell ref="A100:A101"/>
    <mergeCell ref="I100:I101"/>
    <mergeCell ref="A103:A108"/>
    <mergeCell ref="I103:I108"/>
    <mergeCell ref="C87:C92"/>
    <mergeCell ref="D87:D92"/>
    <mergeCell ref="E87:E92"/>
    <mergeCell ref="F87:F92"/>
    <mergeCell ref="I87:I92"/>
    <mergeCell ref="A94:A96"/>
    <mergeCell ref="I94:I95"/>
    <mergeCell ref="I68:I71"/>
    <mergeCell ref="J68:J71"/>
    <mergeCell ref="A79:A82"/>
    <mergeCell ref="B79:H82"/>
    <mergeCell ref="A83:A84"/>
    <mergeCell ref="I83:I84"/>
    <mergeCell ref="A65:A67"/>
    <mergeCell ref="B65:H67"/>
    <mergeCell ref="A68:A71"/>
    <mergeCell ref="C68:C71"/>
    <mergeCell ref="D68:D71"/>
    <mergeCell ref="E68:E71"/>
    <mergeCell ref="F68:F7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1:AP1"/>
    <mergeCell ref="E3:F3"/>
    <mergeCell ref="M3:O3"/>
    <mergeCell ref="R3:S3"/>
    <mergeCell ref="T3:U3"/>
    <mergeCell ref="V3:W3"/>
    <mergeCell ref="X3:Y3"/>
    <mergeCell ref="AF3:AJ3"/>
    <mergeCell ref="AL3:AO3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6" max="16383" man="1"/>
    <brk id="254" max="16383" man="1"/>
  </rowBreaks>
  <colBreaks count="1" manualBreakCount="1">
    <brk id="4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6"/>
  <sheetViews>
    <sheetView topLeftCell="B1" zoomScale="140" zoomScaleNormal="140" zoomScaleSheetLayoutView="140" workbookViewId="0">
      <pane xSplit="14" ySplit="9" topLeftCell="P88" activePane="bottomRight" state="frozen"/>
      <selection activeCell="B1" sqref="B1"/>
      <selection pane="topRight" activeCell="P1" sqref="P1"/>
      <selection pane="bottomLeft" activeCell="B10" sqref="B10"/>
      <selection pane="bottomRight" activeCell="B297" sqref="A297:XFD300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489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1325" t="s">
        <v>3</v>
      </c>
      <c r="B3" s="1325" t="s">
        <v>4</v>
      </c>
      <c r="C3" s="1287" t="s">
        <v>6</v>
      </c>
      <c r="D3" s="1287" t="s">
        <v>14</v>
      </c>
      <c r="E3" s="1530" t="s">
        <v>5</v>
      </c>
      <c r="F3" s="1532"/>
      <c r="G3" s="1287" t="s">
        <v>1</v>
      </c>
      <c r="H3" s="1287" t="s">
        <v>2</v>
      </c>
      <c r="I3" s="1287" t="s">
        <v>0</v>
      </c>
      <c r="J3" s="1287" t="s">
        <v>51</v>
      </c>
      <c r="K3" s="1287" t="s">
        <v>52</v>
      </c>
      <c r="L3" s="1287" t="s">
        <v>275</v>
      </c>
      <c r="M3" s="1530" t="s">
        <v>8</v>
      </c>
      <c r="N3" s="1531"/>
      <c r="O3" s="1532"/>
      <c r="P3" s="1299" t="s">
        <v>437</v>
      </c>
      <c r="Q3" s="1299" t="s">
        <v>490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491</v>
      </c>
      <c r="AB3" s="1299"/>
      <c r="AC3" s="1299"/>
      <c r="AD3" s="1299"/>
      <c r="AE3" s="1299"/>
      <c r="AF3" s="1508" t="s">
        <v>307</v>
      </c>
      <c r="AG3" s="1515"/>
      <c r="AH3" s="1515"/>
      <c r="AI3" s="1515"/>
      <c r="AJ3" s="1516"/>
      <c r="AK3" s="1300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1301">
        <v>3</v>
      </c>
      <c r="Q4" s="606">
        <v>4</v>
      </c>
      <c r="R4" s="1301">
        <v>7</v>
      </c>
      <c r="S4" s="1301">
        <v>8</v>
      </c>
      <c r="T4" s="606">
        <v>9</v>
      </c>
      <c r="U4" s="606">
        <v>10</v>
      </c>
      <c r="V4" s="606">
        <v>11</v>
      </c>
      <c r="W4" s="606">
        <v>12</v>
      </c>
      <c r="X4" s="1301">
        <v>13</v>
      </c>
      <c r="Y4" s="1301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E9" si="1">P10+P158</f>
        <v>518864.81400000007</v>
      </c>
      <c r="Q5" s="679">
        <f t="shared" si="1"/>
        <v>110005.17274000001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125820.02711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317110.91194000002</v>
      </c>
      <c r="AL5" s="679">
        <f t="shared" si="2"/>
        <v>317110.91194000002</v>
      </c>
      <c r="AM5" s="679">
        <f>ROUND((Q5*100%/P5*100),2)</f>
        <v>21.2</v>
      </c>
      <c r="AN5" s="679">
        <f t="shared" si="2"/>
        <v>0</v>
      </c>
      <c r="AO5" s="679">
        <f t="shared" si="2"/>
        <v>0</v>
      </c>
      <c r="AP5" s="938"/>
      <c r="AQ5" s="679">
        <f>AQ10+AQ158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J11+J159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si="1"/>
        <v>264162.01</v>
      </c>
      <c r="Q6" s="3">
        <f t="shared" si="1"/>
        <v>0</v>
      </c>
      <c r="R6" s="3">
        <f t="shared" si="1"/>
        <v>1128.182</v>
      </c>
      <c r="S6" s="3">
        <f t="shared" si="1"/>
        <v>4128.1819999999998</v>
      </c>
      <c r="T6" s="3">
        <f t="shared" si="1"/>
        <v>31.5</v>
      </c>
      <c r="U6" s="3">
        <f t="shared" si="1"/>
        <v>2236.8380000000002</v>
      </c>
      <c r="V6" s="3">
        <f t="shared" si="1"/>
        <v>0</v>
      </c>
      <c r="W6" s="3">
        <f t="shared" si="1"/>
        <v>0</v>
      </c>
      <c r="X6" s="3">
        <f t="shared" si="1"/>
        <v>0</v>
      </c>
      <c r="Y6" s="3">
        <f t="shared" si="1"/>
        <v>0</v>
      </c>
      <c r="Z6" s="95">
        <f t="shared" si="1"/>
        <v>0</v>
      </c>
      <c r="AA6" s="3">
        <f t="shared" si="1"/>
        <v>0</v>
      </c>
      <c r="AB6" s="3">
        <f t="shared" si="1"/>
        <v>3015.1369999999997</v>
      </c>
      <c r="AC6" s="3">
        <f t="shared" si="1"/>
        <v>0</v>
      </c>
      <c r="AD6" s="3">
        <f t="shared" si="1"/>
        <v>31.5</v>
      </c>
      <c r="AE6" s="3">
        <f t="shared" si="1"/>
        <v>0</v>
      </c>
      <c r="AF6" s="3">
        <f t="shared" ref="AF6:AL9" si="4">AF11+AF159</f>
        <v>0</v>
      </c>
      <c r="AG6" s="3">
        <f t="shared" si="4"/>
        <v>0</v>
      </c>
      <c r="AH6" s="3">
        <f t="shared" si="4"/>
        <v>0</v>
      </c>
      <c r="AI6" s="3">
        <f t="shared" si="4"/>
        <v>0</v>
      </c>
      <c r="AJ6" s="3">
        <f t="shared" si="4"/>
        <v>0</v>
      </c>
      <c r="AK6" s="3">
        <f t="shared" si="4"/>
        <v>192946.75</v>
      </c>
      <c r="AL6" s="3">
        <f t="shared" si="4"/>
        <v>192946.75</v>
      </c>
      <c r="AM6" s="385">
        <f>ROUND((Q6*100%/P6*100),2)</f>
        <v>0</v>
      </c>
      <c r="AN6" s="3">
        <f t="shared" ref="AN6:AO9" si="5">AN11+AN159</f>
        <v>0</v>
      </c>
      <c r="AO6" s="3">
        <f t="shared" si="5"/>
        <v>0</v>
      </c>
      <c r="AP6" s="632"/>
      <c r="AQ6" s="95">
        <f>AQ11+AQ159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si="1"/>
        <v>175498.53000000003</v>
      </c>
      <c r="Q7" s="3">
        <f t="shared" si="1"/>
        <v>2731.0799199999997</v>
      </c>
      <c r="R7" s="3">
        <f t="shared" si="1"/>
        <v>12156.708000000001</v>
      </c>
      <c r="S7" s="3">
        <f t="shared" si="1"/>
        <v>12573.374</v>
      </c>
      <c r="T7" s="3">
        <f t="shared" si="1"/>
        <v>22089.049000000003</v>
      </c>
      <c r="U7" s="3">
        <f t="shared" si="1"/>
        <v>21847.228999999999</v>
      </c>
      <c r="V7" s="3">
        <f t="shared" si="1"/>
        <v>6338.5969999999998</v>
      </c>
      <c r="W7" s="3">
        <f t="shared" si="1"/>
        <v>7317.3669999999993</v>
      </c>
      <c r="X7" s="3">
        <f t="shared" si="1"/>
        <v>0</v>
      </c>
      <c r="Y7" s="3">
        <f t="shared" si="1"/>
        <v>0</v>
      </c>
      <c r="Z7" s="95">
        <f t="shared" si="1"/>
        <v>0</v>
      </c>
      <c r="AA7" s="3">
        <f t="shared" si="1"/>
        <v>2588.1920300000002</v>
      </c>
      <c r="AB7" s="3">
        <f t="shared" si="1"/>
        <v>40.5</v>
      </c>
      <c r="AC7" s="3">
        <f t="shared" si="1"/>
        <v>4148.6930000000002</v>
      </c>
      <c r="AD7" s="3">
        <f t="shared" si="1"/>
        <v>72764.314890000009</v>
      </c>
      <c r="AE7" s="3">
        <f t="shared" si="1"/>
        <v>0</v>
      </c>
      <c r="AF7" s="3">
        <f t="shared" si="4"/>
        <v>0</v>
      </c>
      <c r="AG7" s="3">
        <f t="shared" si="4"/>
        <v>0</v>
      </c>
      <c r="AH7" s="3">
        <f t="shared" si="4"/>
        <v>0</v>
      </c>
      <c r="AI7" s="3">
        <f t="shared" si="4"/>
        <v>0</v>
      </c>
      <c r="AJ7" s="3">
        <f t="shared" si="4"/>
        <v>0</v>
      </c>
      <c r="AK7" s="3">
        <f t="shared" si="4"/>
        <v>124164.16194000002</v>
      </c>
      <c r="AL7" s="3">
        <f t="shared" si="4"/>
        <v>124164.16194000002</v>
      </c>
      <c r="AM7" s="385">
        <f>ROUND((Q7*100%/P7*100),2)</f>
        <v>1.56</v>
      </c>
      <c r="AN7" s="3">
        <f t="shared" si="5"/>
        <v>0</v>
      </c>
      <c r="AO7" s="3">
        <f t="shared" si="5"/>
        <v>0</v>
      </c>
      <c r="AP7" s="632"/>
      <c r="AQ7" s="95">
        <f>AQ12+AQ160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si="1"/>
        <v>0</v>
      </c>
      <c r="Q8" s="3">
        <f t="shared" si="1"/>
        <v>99508.413549999997</v>
      </c>
      <c r="R8" s="3">
        <f t="shared" si="1"/>
        <v>21705.95</v>
      </c>
      <c r="S8" s="3">
        <f t="shared" si="1"/>
        <v>21705.95</v>
      </c>
      <c r="T8" s="3">
        <f t="shared" si="1"/>
        <v>67610.615609999993</v>
      </c>
      <c r="U8" s="3">
        <f t="shared" si="1"/>
        <v>67610.615609999993</v>
      </c>
      <c r="V8" s="3">
        <f t="shared" si="1"/>
        <v>50383.255000000005</v>
      </c>
      <c r="W8" s="3">
        <f t="shared" si="1"/>
        <v>50383.255000000005</v>
      </c>
      <c r="X8" s="3">
        <f t="shared" si="1"/>
        <v>21705.95</v>
      </c>
      <c r="Y8" s="3">
        <f t="shared" si="1"/>
        <v>21705.95</v>
      </c>
      <c r="Z8" s="95">
        <f t="shared" si="1"/>
        <v>0</v>
      </c>
      <c r="AA8" s="3">
        <f t="shared" si="1"/>
        <v>114281.09724999999</v>
      </c>
      <c r="AB8" s="3">
        <f t="shared" si="1"/>
        <v>17522.268</v>
      </c>
      <c r="AC8" s="3">
        <f t="shared" si="1"/>
        <v>32106.996000000003</v>
      </c>
      <c r="AD8" s="3">
        <f t="shared" si="1"/>
        <v>0</v>
      </c>
      <c r="AE8" s="3">
        <f t="shared" si="1"/>
        <v>0</v>
      </c>
      <c r="AF8" s="3">
        <f t="shared" si="4"/>
        <v>0</v>
      </c>
      <c r="AG8" s="3">
        <f t="shared" si="4"/>
        <v>0</v>
      </c>
      <c r="AH8" s="3">
        <f t="shared" si="4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85">
        <v>0</v>
      </c>
      <c r="AN8" s="3">
        <f t="shared" si="5"/>
        <v>0</v>
      </c>
      <c r="AO8" s="3">
        <f t="shared" si="5"/>
        <v>0</v>
      </c>
      <c r="AP8" s="632"/>
      <c r="AQ8" s="95">
        <f>AQ13+AQ161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si="1"/>
        <v>0</v>
      </c>
      <c r="Q9" s="3">
        <f t="shared" si="1"/>
        <v>0</v>
      </c>
      <c r="R9" s="3">
        <f t="shared" si="1"/>
        <v>37814.324000000001</v>
      </c>
      <c r="S9" s="3">
        <f t="shared" si="1"/>
        <v>37814.324000000001</v>
      </c>
      <c r="T9" s="3">
        <f t="shared" si="1"/>
        <v>0</v>
      </c>
      <c r="U9" s="3">
        <f t="shared" si="1"/>
        <v>0</v>
      </c>
      <c r="V9" s="3">
        <f t="shared" si="1"/>
        <v>0</v>
      </c>
      <c r="W9" s="3">
        <f t="shared" si="1"/>
        <v>0</v>
      </c>
      <c r="X9" s="3">
        <f t="shared" si="1"/>
        <v>0</v>
      </c>
      <c r="Y9" s="3">
        <f t="shared" si="1"/>
        <v>0</v>
      </c>
      <c r="Z9" s="95">
        <f t="shared" si="1"/>
        <v>0</v>
      </c>
      <c r="AA9" s="3">
        <f t="shared" si="1"/>
        <v>0</v>
      </c>
      <c r="AB9" s="3">
        <f t="shared" si="1"/>
        <v>0</v>
      </c>
      <c r="AC9" s="3">
        <f t="shared" si="1"/>
        <v>0</v>
      </c>
      <c r="AD9" s="3">
        <f t="shared" si="1"/>
        <v>0</v>
      </c>
      <c r="AE9" s="3">
        <f t="shared" si="1"/>
        <v>0</v>
      </c>
      <c r="AF9" s="3">
        <f t="shared" si="4"/>
        <v>0</v>
      </c>
      <c r="AG9" s="3">
        <f t="shared" si="4"/>
        <v>0</v>
      </c>
      <c r="AH9" s="3">
        <f t="shared" si="4"/>
        <v>0</v>
      </c>
      <c r="AI9" s="3">
        <f t="shared" si="4"/>
        <v>0</v>
      </c>
      <c r="AJ9" s="3">
        <f t="shared" si="4"/>
        <v>0</v>
      </c>
      <c r="AK9" s="3">
        <f t="shared" si="4"/>
        <v>0</v>
      </c>
      <c r="AL9" s="3">
        <f t="shared" si="4"/>
        <v>0</v>
      </c>
      <c r="AM9" s="385">
        <v>0</v>
      </c>
      <c r="AN9" s="3">
        <f t="shared" si="5"/>
        <v>0</v>
      </c>
      <c r="AO9" s="3">
        <f t="shared" si="5"/>
        <v>0</v>
      </c>
      <c r="AP9" s="632"/>
      <c r="AQ9" s="95">
        <f>AQ14+AQ162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6">J11+J12+J13+J14</f>
        <v>1940430.69</v>
      </c>
      <c r="K10" s="922">
        <f t="shared" si="6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6"/>
        <v>363282.47</v>
      </c>
      <c r="O10" s="922">
        <f t="shared" si="6"/>
        <v>116582.55</v>
      </c>
      <c r="P10" s="923">
        <f>P19+P33+P36+P47+P58+P68+P83+P87+P94+P97+P100+P103+P109+P114+P117+P121+P126+P141+P40+P62+P133+P137+P72+P77+P146+P151</f>
        <v>226122.614</v>
      </c>
      <c r="Q10" s="923">
        <f t="shared" ref="Q10:Z10" si="7">Q19+Q33+Q36+Q47+Q58+Q68+Q83+Q87+Q94+Q97+Q100+Q103+Q109+Q114+Q117+Q121+Q126+Q141+Q40+Q62+Q133+Q137+Q72+Q77+Q146+Q151</f>
        <v>7507.3792699999995</v>
      </c>
      <c r="R10" s="923">
        <f t="shared" si="7"/>
        <v>49571.563999999998</v>
      </c>
      <c r="S10" s="923">
        <f t="shared" si="7"/>
        <v>49988.229999999996</v>
      </c>
      <c r="T10" s="923">
        <f t="shared" si="7"/>
        <v>65950.61860999999</v>
      </c>
      <c r="U10" s="923">
        <f t="shared" si="7"/>
        <v>65705.398609999989</v>
      </c>
      <c r="V10" s="923">
        <f t="shared" si="7"/>
        <v>2007.1869999999999</v>
      </c>
      <c r="W10" s="923">
        <f t="shared" si="7"/>
        <v>2047.0429999999999</v>
      </c>
      <c r="X10" s="923">
        <f t="shared" si="7"/>
        <v>0</v>
      </c>
      <c r="Y10" s="923">
        <f t="shared" si="7"/>
        <v>0</v>
      </c>
      <c r="Z10" s="923">
        <f t="shared" si="7"/>
        <v>0</v>
      </c>
      <c r="AA10" s="923">
        <f>AA19+AA33+AA36+AA47+AA58+AA68+AA83+AA87+AA94+AA97+AA100+AA103+AA109+AA114+AA117+AA121+AA126+AA141+AA40+AA62+AA133+AA137+AA72+AA77+AA146+AA151</f>
        <v>8667.73783</v>
      </c>
      <c r="AB10" s="923">
        <f t="shared" ref="AB10:AO10" si="8">AB11+AB12+AB13+AB14</f>
        <v>106.83</v>
      </c>
      <c r="AC10" s="923">
        <f t="shared" si="8"/>
        <v>914.28300000000002</v>
      </c>
      <c r="AD10" s="923">
        <f t="shared" si="8"/>
        <v>3005.3339999999998</v>
      </c>
      <c r="AE10" s="923">
        <f t="shared" si="8"/>
        <v>0</v>
      </c>
      <c r="AF10" s="923">
        <f t="shared" si="8"/>
        <v>0</v>
      </c>
      <c r="AG10" s="923">
        <f t="shared" si="8"/>
        <v>0</v>
      </c>
      <c r="AH10" s="923">
        <f t="shared" si="8"/>
        <v>0</v>
      </c>
      <c r="AI10" s="923">
        <f t="shared" si="8"/>
        <v>0</v>
      </c>
      <c r="AJ10" s="923">
        <f t="shared" si="8"/>
        <v>0</v>
      </c>
      <c r="AK10" s="923">
        <f t="shared" si="8"/>
        <v>170027.6</v>
      </c>
      <c r="AL10" s="923">
        <f t="shared" si="8"/>
        <v>170027.6</v>
      </c>
      <c r="AM10" s="923" t="e">
        <f t="shared" si="8"/>
        <v>#DIV/0!</v>
      </c>
      <c r="AN10" s="923">
        <f t="shared" si="8"/>
        <v>0</v>
      </c>
      <c r="AO10" s="923">
        <f t="shared" si="8"/>
        <v>0</v>
      </c>
      <c r="AP10" s="924"/>
      <c r="AQ10" s="923">
        <f>AQ19+AQ33+AQ36+AQ47+AQ58+AQ68+AQ83+AQ87+AQ94+AQ97+AQ100+AQ103+AQ109+AQ114+AQ117+AQ121+AQ126+AQ141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9">J15+J129</f>
        <v>977955.46</v>
      </c>
      <c r="K11" s="47">
        <f t="shared" si="9"/>
        <v>251829.19999999995</v>
      </c>
      <c r="L11" s="47">
        <f t="shared" si="9"/>
        <v>750480.15999999992</v>
      </c>
      <c r="M11" s="47">
        <f t="shared" si="9"/>
        <v>96658.23</v>
      </c>
      <c r="N11" s="47">
        <f t="shared" si="9"/>
        <v>83716.939999999988</v>
      </c>
      <c r="O11" s="47">
        <f t="shared" si="9"/>
        <v>78886.680000000008</v>
      </c>
      <c r="P11" s="47">
        <f t="shared" si="9"/>
        <v>164000</v>
      </c>
      <c r="Q11" s="47">
        <f t="shared" si="9"/>
        <v>0</v>
      </c>
      <c r="R11" s="47">
        <f t="shared" si="9"/>
        <v>384.71</v>
      </c>
      <c r="S11" s="47">
        <f t="shared" si="9"/>
        <v>384.71</v>
      </c>
      <c r="T11" s="47">
        <f t="shared" si="9"/>
        <v>0</v>
      </c>
      <c r="U11" s="47">
        <f t="shared" si="9"/>
        <v>0</v>
      </c>
      <c r="V11" s="47">
        <f t="shared" si="9"/>
        <v>0</v>
      </c>
      <c r="W11" s="47">
        <f t="shared" si="9"/>
        <v>0</v>
      </c>
      <c r="X11" s="47">
        <f t="shared" si="9"/>
        <v>0</v>
      </c>
      <c r="Y11" s="47">
        <f t="shared" si="9"/>
        <v>0</v>
      </c>
      <c r="Z11" s="96"/>
      <c r="AA11" s="47">
        <f t="shared" ref="AA11:AO11" si="10">AA15+AA129</f>
        <v>0</v>
      </c>
      <c r="AB11" s="47">
        <f t="shared" si="10"/>
        <v>66.33</v>
      </c>
      <c r="AC11" s="47">
        <f t="shared" si="10"/>
        <v>0</v>
      </c>
      <c r="AD11" s="47">
        <f t="shared" si="10"/>
        <v>0</v>
      </c>
      <c r="AE11" s="47">
        <f t="shared" si="10"/>
        <v>0</v>
      </c>
      <c r="AF11" s="47">
        <f t="shared" si="10"/>
        <v>0</v>
      </c>
      <c r="AG11" s="47">
        <f t="shared" si="10"/>
        <v>0</v>
      </c>
      <c r="AH11" s="47">
        <f t="shared" si="10"/>
        <v>0</v>
      </c>
      <c r="AI11" s="47">
        <f t="shared" si="10"/>
        <v>0</v>
      </c>
      <c r="AJ11" s="47">
        <f t="shared" si="10"/>
        <v>0</v>
      </c>
      <c r="AK11" s="47">
        <f t="shared" si="10"/>
        <v>164000</v>
      </c>
      <c r="AL11" s="47">
        <f t="shared" si="10"/>
        <v>164000</v>
      </c>
      <c r="AM11" s="47">
        <f t="shared" si="10"/>
        <v>0</v>
      </c>
      <c r="AN11" s="47">
        <f t="shared" si="10"/>
        <v>0</v>
      </c>
      <c r="AO11" s="47">
        <f t="shared" si="10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J16+J44+J52+J65+J80+J130</f>
        <v>236854.15</v>
      </c>
      <c r="K12" s="47">
        <f>K16+K65+K130</f>
        <v>0</v>
      </c>
      <c r="L12" s="47">
        <f t="shared" ref="L12:Y12" si="11">L16+L44+L52+L65+L80+L130</f>
        <v>230331.37</v>
      </c>
      <c r="M12" s="47">
        <f t="shared" si="11"/>
        <v>24568.73</v>
      </c>
      <c r="N12" s="47">
        <f t="shared" si="11"/>
        <v>46592.61</v>
      </c>
      <c r="O12" s="47">
        <f t="shared" si="11"/>
        <v>37695.869999999995</v>
      </c>
      <c r="P12" s="47">
        <f t="shared" si="11"/>
        <v>43488.07</v>
      </c>
      <c r="Q12" s="47">
        <f t="shared" si="11"/>
        <v>139.69999999999999</v>
      </c>
      <c r="R12" s="47">
        <f t="shared" si="11"/>
        <v>11372.53</v>
      </c>
      <c r="S12" s="47">
        <f t="shared" si="11"/>
        <v>11789.196</v>
      </c>
      <c r="T12" s="47">
        <f t="shared" si="11"/>
        <v>18085.953000000001</v>
      </c>
      <c r="U12" s="47">
        <f t="shared" si="11"/>
        <v>17840.733</v>
      </c>
      <c r="V12" s="47">
        <f t="shared" si="11"/>
        <v>2007.1869999999999</v>
      </c>
      <c r="W12" s="47">
        <f t="shared" si="11"/>
        <v>2047.0429999999999</v>
      </c>
      <c r="X12" s="47">
        <f t="shared" si="11"/>
        <v>0</v>
      </c>
      <c r="Y12" s="47">
        <f t="shared" si="11"/>
        <v>0</v>
      </c>
      <c r="Z12" s="96"/>
      <c r="AA12" s="47">
        <f t="shared" ref="AA12:AO12" si="12">AA16+AA44+AA52+AA65+AA80+AA130</f>
        <v>115</v>
      </c>
      <c r="AB12" s="47">
        <f t="shared" si="12"/>
        <v>40.5</v>
      </c>
      <c r="AC12" s="47">
        <f t="shared" si="12"/>
        <v>907.08299999999997</v>
      </c>
      <c r="AD12" s="47">
        <f t="shared" si="12"/>
        <v>3005.3339999999998</v>
      </c>
      <c r="AE12" s="47">
        <f t="shared" si="12"/>
        <v>0</v>
      </c>
      <c r="AF12" s="47">
        <f t="shared" si="12"/>
        <v>0</v>
      </c>
      <c r="AG12" s="47">
        <f t="shared" si="12"/>
        <v>0</v>
      </c>
      <c r="AH12" s="47">
        <f t="shared" si="12"/>
        <v>0</v>
      </c>
      <c r="AI12" s="47">
        <f t="shared" si="12"/>
        <v>0</v>
      </c>
      <c r="AJ12" s="47">
        <f t="shared" si="12"/>
        <v>0</v>
      </c>
      <c r="AK12" s="47">
        <f t="shared" si="12"/>
        <v>6027.6</v>
      </c>
      <c r="AL12" s="47">
        <f t="shared" si="12"/>
        <v>6027.6</v>
      </c>
      <c r="AM12" s="47" t="e">
        <f t="shared" si="12"/>
        <v>#DIV/0!</v>
      </c>
      <c r="AN12" s="47">
        <f t="shared" si="12"/>
        <v>0</v>
      </c>
      <c r="AO12" s="47">
        <f t="shared" si="12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13">J17+J66+J131+J45</f>
        <v>23417.360000000001</v>
      </c>
      <c r="K13" s="47">
        <f t="shared" si="13"/>
        <v>0</v>
      </c>
      <c r="L13" s="47">
        <f t="shared" si="13"/>
        <v>172003.82</v>
      </c>
      <c r="M13" s="47">
        <f t="shared" si="13"/>
        <v>135504.01</v>
      </c>
      <c r="N13" s="47">
        <f t="shared" si="13"/>
        <v>36499.81</v>
      </c>
      <c r="O13" s="47">
        <f t="shared" si="13"/>
        <v>0</v>
      </c>
      <c r="P13" s="47">
        <f t="shared" si="13"/>
        <v>0</v>
      </c>
      <c r="Q13" s="47">
        <f t="shared" si="13"/>
        <v>0</v>
      </c>
      <c r="R13" s="47">
        <f t="shared" si="13"/>
        <v>0</v>
      </c>
      <c r="S13" s="47">
        <f t="shared" si="13"/>
        <v>0</v>
      </c>
      <c r="T13" s="47">
        <f t="shared" si="13"/>
        <v>45904.665609999996</v>
      </c>
      <c r="U13" s="47">
        <f t="shared" si="13"/>
        <v>45904.665609999996</v>
      </c>
      <c r="V13" s="47">
        <f t="shared" si="13"/>
        <v>0</v>
      </c>
      <c r="W13" s="47">
        <f t="shared" si="13"/>
        <v>0</v>
      </c>
      <c r="X13" s="47">
        <f t="shared" si="13"/>
        <v>0</v>
      </c>
      <c r="Y13" s="47">
        <f t="shared" si="13"/>
        <v>0</v>
      </c>
      <c r="Z13" s="96"/>
      <c r="AA13" s="47">
        <f t="shared" ref="AA13:AO13" si="14">AA17+AA66+AA131+AA45</f>
        <v>0</v>
      </c>
      <c r="AB13" s="47">
        <f t="shared" si="14"/>
        <v>0</v>
      </c>
      <c r="AC13" s="47">
        <f t="shared" si="14"/>
        <v>7.2</v>
      </c>
      <c r="AD13" s="47">
        <f t="shared" si="14"/>
        <v>0</v>
      </c>
      <c r="AE13" s="47">
        <f t="shared" si="14"/>
        <v>0</v>
      </c>
      <c r="AF13" s="47">
        <f t="shared" si="14"/>
        <v>0</v>
      </c>
      <c r="AG13" s="47">
        <f t="shared" si="14"/>
        <v>0</v>
      </c>
      <c r="AH13" s="47">
        <f t="shared" si="14"/>
        <v>0</v>
      </c>
      <c r="AI13" s="47">
        <f t="shared" si="14"/>
        <v>0</v>
      </c>
      <c r="AJ13" s="47">
        <f t="shared" si="14"/>
        <v>0</v>
      </c>
      <c r="AK13" s="47">
        <f t="shared" si="14"/>
        <v>0</v>
      </c>
      <c r="AL13" s="47">
        <f t="shared" si="14"/>
        <v>0</v>
      </c>
      <c r="AM13" s="47">
        <f t="shared" si="14"/>
        <v>0</v>
      </c>
      <c r="AN13" s="47">
        <f t="shared" si="14"/>
        <v>0</v>
      </c>
      <c r="AO13" s="47">
        <f t="shared" si="14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15">J18+J67+J132</f>
        <v>702203.72</v>
      </c>
      <c r="K14" s="607">
        <f t="shared" si="15"/>
        <v>702203.72</v>
      </c>
      <c r="L14" s="607">
        <f t="shared" si="15"/>
        <v>789617.84</v>
      </c>
      <c r="M14" s="607">
        <f t="shared" si="15"/>
        <v>348941.19</v>
      </c>
      <c r="N14" s="607">
        <f t="shared" si="15"/>
        <v>196473.11</v>
      </c>
      <c r="O14" s="607">
        <f t="shared" si="15"/>
        <v>0</v>
      </c>
      <c r="P14" s="607">
        <f t="shared" si="15"/>
        <v>0</v>
      </c>
      <c r="Q14" s="607">
        <f t="shared" si="15"/>
        <v>0</v>
      </c>
      <c r="R14" s="607">
        <f t="shared" si="15"/>
        <v>37814.324000000001</v>
      </c>
      <c r="S14" s="607">
        <f t="shared" si="15"/>
        <v>37814.324000000001</v>
      </c>
      <c r="T14" s="607">
        <f t="shared" si="15"/>
        <v>0</v>
      </c>
      <c r="U14" s="607">
        <f t="shared" si="15"/>
        <v>0</v>
      </c>
      <c r="V14" s="607">
        <f t="shared" si="15"/>
        <v>0</v>
      </c>
      <c r="W14" s="607">
        <f t="shared" si="15"/>
        <v>0</v>
      </c>
      <c r="X14" s="607">
        <f t="shared" si="15"/>
        <v>0</v>
      </c>
      <c r="Y14" s="607">
        <f t="shared" si="15"/>
        <v>0</v>
      </c>
      <c r="Z14" s="674"/>
      <c r="AA14" s="607">
        <f t="shared" ref="AA14:AO14" si="16">AA18+AA67+AA132</f>
        <v>0</v>
      </c>
      <c r="AB14" s="607">
        <f t="shared" si="16"/>
        <v>0</v>
      </c>
      <c r="AC14" s="607">
        <f t="shared" si="16"/>
        <v>0</v>
      </c>
      <c r="AD14" s="607">
        <f t="shared" si="16"/>
        <v>0</v>
      </c>
      <c r="AE14" s="607">
        <f t="shared" si="16"/>
        <v>0</v>
      </c>
      <c r="AF14" s="607">
        <f t="shared" si="16"/>
        <v>0</v>
      </c>
      <c r="AG14" s="607">
        <f t="shared" si="16"/>
        <v>0</v>
      </c>
      <c r="AH14" s="607">
        <f t="shared" si="16"/>
        <v>0</v>
      </c>
      <c r="AI14" s="607">
        <f t="shared" si="16"/>
        <v>0</v>
      </c>
      <c r="AJ14" s="607">
        <f t="shared" si="16"/>
        <v>0</v>
      </c>
      <c r="AK14" s="607">
        <f t="shared" si="16"/>
        <v>0</v>
      </c>
      <c r="AL14" s="607">
        <f t="shared" si="16"/>
        <v>0</v>
      </c>
      <c r="AM14" s="607">
        <f t="shared" si="16"/>
        <v>0</v>
      </c>
      <c r="AN14" s="607">
        <f t="shared" si="16"/>
        <v>0</v>
      </c>
      <c r="AO14" s="607">
        <f t="shared" si="16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17">J20+J33+J36</f>
        <v>977955.46</v>
      </c>
      <c r="K15" s="47">
        <f t="shared" si="17"/>
        <v>251829.19999999995</v>
      </c>
      <c r="L15" s="47">
        <f t="shared" si="17"/>
        <v>750480.15999999992</v>
      </c>
      <c r="M15" s="47">
        <f t="shared" si="17"/>
        <v>96658.23</v>
      </c>
      <c r="N15" s="47">
        <f t="shared" si="17"/>
        <v>83716.939999999988</v>
      </c>
      <c r="O15" s="47">
        <f t="shared" si="17"/>
        <v>78886.680000000008</v>
      </c>
      <c r="P15" s="47">
        <f t="shared" si="17"/>
        <v>164000</v>
      </c>
      <c r="Q15" s="47">
        <f t="shared" si="17"/>
        <v>0</v>
      </c>
      <c r="R15" s="47">
        <f t="shared" si="17"/>
        <v>384.71</v>
      </c>
      <c r="S15" s="47">
        <f t="shared" si="17"/>
        <v>384.71</v>
      </c>
      <c r="T15" s="47">
        <f t="shared" si="17"/>
        <v>0</v>
      </c>
      <c r="U15" s="47">
        <f t="shared" si="17"/>
        <v>0</v>
      </c>
      <c r="V15" s="47">
        <f t="shared" si="17"/>
        <v>0</v>
      </c>
      <c r="W15" s="47">
        <f t="shared" si="17"/>
        <v>0</v>
      </c>
      <c r="X15" s="47">
        <f t="shared" si="17"/>
        <v>0</v>
      </c>
      <c r="Y15" s="47">
        <f t="shared" si="17"/>
        <v>0</v>
      </c>
      <c r="Z15" s="96"/>
      <c r="AA15" s="47">
        <f t="shared" ref="AA15:AO15" si="18">AA20+AA33+AA36</f>
        <v>0</v>
      </c>
      <c r="AB15" s="47">
        <f t="shared" si="18"/>
        <v>66.33</v>
      </c>
      <c r="AC15" s="47">
        <f t="shared" si="18"/>
        <v>0</v>
      </c>
      <c r="AD15" s="47">
        <f t="shared" si="18"/>
        <v>0</v>
      </c>
      <c r="AE15" s="47">
        <f t="shared" si="18"/>
        <v>0</v>
      </c>
      <c r="AF15" s="47">
        <f t="shared" si="18"/>
        <v>0</v>
      </c>
      <c r="AG15" s="47">
        <f t="shared" si="18"/>
        <v>0</v>
      </c>
      <c r="AH15" s="47">
        <f t="shared" si="18"/>
        <v>0</v>
      </c>
      <c r="AI15" s="47">
        <f t="shared" si="18"/>
        <v>0</v>
      </c>
      <c r="AJ15" s="47">
        <f t="shared" si="18"/>
        <v>0</v>
      </c>
      <c r="AK15" s="47">
        <f t="shared" si="18"/>
        <v>164000</v>
      </c>
      <c r="AL15" s="47">
        <f t="shared" si="18"/>
        <v>164000</v>
      </c>
      <c r="AM15" s="47">
        <f t="shared" si="18"/>
        <v>0</v>
      </c>
      <c r="AN15" s="47">
        <f t="shared" si="18"/>
        <v>0</v>
      </c>
      <c r="AO15" s="47">
        <f t="shared" si="18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19">R30</f>
        <v>0</v>
      </c>
      <c r="S17" s="47">
        <f t="shared" si="19"/>
        <v>0</v>
      </c>
      <c r="T17" s="47">
        <f t="shared" si="19"/>
        <v>45904.665609999996</v>
      </c>
      <c r="U17" s="47">
        <f>U30</f>
        <v>45904.665609999996</v>
      </c>
      <c r="V17" s="47">
        <f t="shared" si="19"/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  <c r="Z17" s="96"/>
      <c r="AA17" s="47">
        <f t="shared" si="19"/>
        <v>0</v>
      </c>
      <c r="AB17" s="47">
        <f t="shared" si="19"/>
        <v>0</v>
      </c>
      <c r="AC17" s="47">
        <f t="shared" si="19"/>
        <v>0</v>
      </c>
      <c r="AD17" s="47">
        <f t="shared" si="19"/>
        <v>0</v>
      </c>
      <c r="AE17" s="47">
        <f t="shared" si="19"/>
        <v>0</v>
      </c>
      <c r="AF17" s="47">
        <f t="shared" si="19"/>
        <v>0</v>
      </c>
      <c r="AG17" s="47">
        <f t="shared" si="19"/>
        <v>0</v>
      </c>
      <c r="AH17" s="47">
        <f t="shared" si="19"/>
        <v>0</v>
      </c>
      <c r="AI17" s="47">
        <f t="shared" si="19"/>
        <v>0</v>
      </c>
      <c r="AJ17" s="47">
        <f t="shared" si="19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0">J28</f>
        <v>702203.72</v>
      </c>
      <c r="K18" s="47">
        <f t="shared" si="20"/>
        <v>702203.72</v>
      </c>
      <c r="L18" s="47">
        <f t="shared" si="20"/>
        <v>789617.84</v>
      </c>
      <c r="M18" s="47">
        <f t="shared" si="20"/>
        <v>348941.19</v>
      </c>
      <c r="N18" s="47">
        <f t="shared" si="20"/>
        <v>196473.11</v>
      </c>
      <c r="O18" s="47">
        <f t="shared" si="20"/>
        <v>0</v>
      </c>
      <c r="P18" s="47">
        <f t="shared" si="20"/>
        <v>0</v>
      </c>
      <c r="Q18" s="47">
        <f t="shared" si="20"/>
        <v>0</v>
      </c>
      <c r="R18" s="47">
        <f t="shared" si="20"/>
        <v>37814.324000000001</v>
      </c>
      <c r="S18" s="47">
        <f t="shared" si="20"/>
        <v>37814.324000000001</v>
      </c>
      <c r="T18" s="47">
        <f t="shared" si="20"/>
        <v>0</v>
      </c>
      <c r="U18" s="47">
        <f t="shared" si="20"/>
        <v>0</v>
      </c>
      <c r="V18" s="47">
        <f t="shared" si="20"/>
        <v>0</v>
      </c>
      <c r="W18" s="47">
        <f t="shared" si="20"/>
        <v>0</v>
      </c>
      <c r="X18" s="47">
        <f t="shared" si="20"/>
        <v>0</v>
      </c>
      <c r="Y18" s="47">
        <f t="shared" si="20"/>
        <v>0</v>
      </c>
      <c r="Z18" s="96"/>
      <c r="AA18" s="47">
        <f t="shared" si="20"/>
        <v>0</v>
      </c>
      <c r="AB18" s="47">
        <f t="shared" si="20"/>
        <v>0</v>
      </c>
      <c r="AC18" s="47">
        <f t="shared" si="20"/>
        <v>0</v>
      </c>
      <c r="AD18" s="47">
        <f t="shared" si="20"/>
        <v>0</v>
      </c>
      <c r="AE18" s="47">
        <f t="shared" si="20"/>
        <v>0</v>
      </c>
      <c r="AF18" s="47">
        <f t="shared" si="20"/>
        <v>0</v>
      </c>
      <c r="AG18" s="47">
        <f t="shared" si="20"/>
        <v>0</v>
      </c>
      <c r="AH18" s="47">
        <f t="shared" si="20"/>
        <v>0</v>
      </c>
      <c r="AI18" s="47">
        <f t="shared" si="20"/>
        <v>0</v>
      </c>
      <c r="AJ18" s="47">
        <f t="shared" si="20"/>
        <v>0</v>
      </c>
      <c r="AK18" s="47">
        <f t="shared" si="20"/>
        <v>0</v>
      </c>
      <c r="AL18" s="47">
        <f t="shared" si="20"/>
        <v>0</v>
      </c>
      <c r="AM18" s="47">
        <f t="shared" si="20"/>
        <v>0</v>
      </c>
      <c r="AN18" s="47">
        <f t="shared" si="20"/>
        <v>0</v>
      </c>
      <c r="AO18" s="47">
        <f t="shared" si="20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1">L20+L28+L30</f>
        <v>1083165.3899999999</v>
      </c>
      <c r="M19" s="318">
        <f t="shared" si="21"/>
        <v>560860.31000000006</v>
      </c>
      <c r="N19" s="318">
        <f t="shared" si="21"/>
        <v>232972.91999999998</v>
      </c>
      <c r="O19" s="318">
        <f t="shared" si="21"/>
        <v>0</v>
      </c>
      <c r="P19" s="318">
        <f t="shared" si="21"/>
        <v>0</v>
      </c>
      <c r="Q19" s="318">
        <f>Q20+Q28+Q30</f>
        <v>0</v>
      </c>
      <c r="R19" s="318">
        <f t="shared" ref="R19:X19" si="22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2"/>
        <v>0</v>
      </c>
      <c r="W19" s="318">
        <f t="shared" si="22"/>
        <v>0</v>
      </c>
      <c r="X19" s="318">
        <f t="shared" si="22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23">AB20+AB28</f>
        <v>66.33</v>
      </c>
      <c r="AC19" s="318">
        <f t="shared" si="23"/>
        <v>0</v>
      </c>
      <c r="AD19" s="318">
        <f t="shared" si="23"/>
        <v>0</v>
      </c>
      <c r="AE19" s="318">
        <f t="shared" si="23"/>
        <v>0</v>
      </c>
      <c r="AF19" s="318">
        <f t="shared" si="23"/>
        <v>0</v>
      </c>
      <c r="AG19" s="318">
        <f t="shared" si="23"/>
        <v>0</v>
      </c>
      <c r="AH19" s="318">
        <f t="shared" si="23"/>
        <v>0</v>
      </c>
      <c r="AI19" s="318">
        <f t="shared" si="23"/>
        <v>0</v>
      </c>
      <c r="AJ19" s="318">
        <f t="shared" si="23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1297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24">SUM(R21:R27)</f>
        <v>384.71</v>
      </c>
      <c r="S20" s="47">
        <f t="shared" si="24"/>
        <v>384.71</v>
      </c>
      <c r="T20" s="47">
        <f t="shared" si="24"/>
        <v>0</v>
      </c>
      <c r="U20" s="47">
        <f t="shared" si="24"/>
        <v>0</v>
      </c>
      <c r="V20" s="47">
        <f t="shared" si="24"/>
        <v>0</v>
      </c>
      <c r="W20" s="47">
        <f>SUM(W21:W27)</f>
        <v>0</v>
      </c>
      <c r="X20" s="47">
        <f t="shared" si="24"/>
        <v>0</v>
      </c>
      <c r="Y20" s="47">
        <f t="shared" si="24"/>
        <v>0</v>
      </c>
      <c r="Z20" s="96"/>
      <c r="AA20" s="47">
        <f t="shared" ref="AA20:AJ20" si="25">SUM(AA21:AA27)</f>
        <v>0</v>
      </c>
      <c r="AB20" s="47">
        <f t="shared" si="25"/>
        <v>66.33</v>
      </c>
      <c r="AC20" s="47">
        <f t="shared" si="25"/>
        <v>0</v>
      </c>
      <c r="AD20" s="47">
        <f t="shared" si="25"/>
        <v>0</v>
      </c>
      <c r="AE20" s="47">
        <f t="shared" si="25"/>
        <v>0</v>
      </c>
      <c r="AF20" s="47">
        <f t="shared" si="25"/>
        <v>0</v>
      </c>
      <c r="AG20" s="47">
        <f t="shared" si="25"/>
        <v>0</v>
      </c>
      <c r="AH20" s="47">
        <f t="shared" si="25"/>
        <v>0</v>
      </c>
      <c r="AI20" s="47">
        <f t="shared" si="25"/>
        <v>0</v>
      </c>
      <c r="AJ20" s="47">
        <f t="shared" si="25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26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26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26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27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26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27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26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27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26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27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26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1273"/>
      <c r="D28" s="1273"/>
      <c r="E28" s="1273"/>
      <c r="F28" s="1312"/>
      <c r="G28" s="1273"/>
      <c r="H28" s="1273"/>
      <c r="I28" s="23" t="s">
        <v>9</v>
      </c>
      <c r="J28" s="1316">
        <f>K28</f>
        <v>702203.72</v>
      </c>
      <c r="K28" s="1316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28">SUM(T29:T29)</f>
        <v>0</v>
      </c>
      <c r="U28" s="71">
        <f t="shared" si="28"/>
        <v>0</v>
      </c>
      <c r="V28" s="71">
        <f t="shared" si="28"/>
        <v>0</v>
      </c>
      <c r="W28" s="71">
        <f t="shared" si="28"/>
        <v>0</v>
      </c>
      <c r="X28" s="71">
        <v>0</v>
      </c>
      <c r="Y28" s="71">
        <f t="shared" si="28"/>
        <v>0</v>
      </c>
      <c r="Z28" s="100"/>
      <c r="AA28" s="71">
        <f t="shared" si="28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28"/>
        <v>0</v>
      </c>
      <c r="AG28" s="71">
        <f t="shared" si="28"/>
        <v>0</v>
      </c>
      <c r="AH28" s="71">
        <f t="shared" si="28"/>
        <v>0</v>
      </c>
      <c r="AI28" s="71">
        <f t="shared" si="28"/>
        <v>0</v>
      </c>
      <c r="AJ28" s="71">
        <f t="shared" si="28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1309"/>
      <c r="B30" s="801"/>
      <c r="C30" s="1273"/>
      <c r="D30" s="1273"/>
      <c r="E30" s="1273"/>
      <c r="F30" s="1312"/>
      <c r="G30" s="1273"/>
      <c r="H30" s="1273"/>
      <c r="I30" s="1289" t="s">
        <v>10</v>
      </c>
      <c r="J30" s="1310"/>
      <c r="K30" s="1310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29">SUM(R31:R32)</f>
        <v>0</v>
      </c>
      <c r="S30" s="47">
        <f t="shared" si="29"/>
        <v>0</v>
      </c>
      <c r="T30" s="47">
        <f t="shared" si="29"/>
        <v>45904.665609999996</v>
      </c>
      <c r="U30" s="47">
        <f t="shared" si="29"/>
        <v>45904.665609999996</v>
      </c>
      <c r="V30" s="47">
        <f t="shared" si="29"/>
        <v>0</v>
      </c>
      <c r="W30" s="47">
        <f t="shared" si="29"/>
        <v>0</v>
      </c>
      <c r="X30" s="47">
        <v>0</v>
      </c>
      <c r="Y30" s="47">
        <f t="shared" si="29"/>
        <v>0</v>
      </c>
      <c r="Z30" s="96"/>
      <c r="AA30" s="47">
        <f t="shared" si="29"/>
        <v>0</v>
      </c>
      <c r="AB30" s="47">
        <f t="shared" si="29"/>
        <v>0</v>
      </c>
      <c r="AC30" s="47">
        <f t="shared" si="29"/>
        <v>0</v>
      </c>
      <c r="AD30" s="47">
        <f t="shared" si="29"/>
        <v>0</v>
      </c>
      <c r="AE30" s="47">
        <f t="shared" si="29"/>
        <v>0</v>
      </c>
      <c r="AF30" s="47">
        <f t="shared" si="29"/>
        <v>0</v>
      </c>
      <c r="AG30" s="47">
        <f t="shared" si="29"/>
        <v>0</v>
      </c>
      <c r="AH30" s="47">
        <f t="shared" si="29"/>
        <v>0</v>
      </c>
      <c r="AI30" s="47">
        <f t="shared" si="29"/>
        <v>0</v>
      </c>
      <c r="AJ30" s="47">
        <f t="shared" si="29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1309"/>
      <c r="B31" s="37" t="s">
        <v>219</v>
      </c>
      <c r="C31" s="1273"/>
      <c r="D31" s="1273"/>
      <c r="E31" s="1273"/>
      <c r="F31" s="1312"/>
      <c r="G31" s="1273"/>
      <c r="H31" s="1273"/>
      <c r="I31" s="1289"/>
      <c r="J31" s="1310"/>
      <c r="K31" s="1310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1309"/>
      <c r="B32" s="37" t="s">
        <v>220</v>
      </c>
      <c r="C32" s="1273"/>
      <c r="D32" s="1273"/>
      <c r="E32" s="1273"/>
      <c r="F32" s="1312"/>
      <c r="G32" s="1273"/>
      <c r="H32" s="1273"/>
      <c r="I32" s="1289"/>
      <c r="J32" s="1310"/>
      <c r="K32" s="1310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0">Q35</f>
        <v>0</v>
      </c>
      <c r="R33" s="70">
        <f t="shared" si="30"/>
        <v>0</v>
      </c>
      <c r="S33" s="70">
        <f t="shared" si="30"/>
        <v>0</v>
      </c>
      <c r="T33" s="70">
        <f t="shared" si="30"/>
        <v>0</v>
      </c>
      <c r="U33" s="70">
        <f t="shared" si="30"/>
        <v>0</v>
      </c>
      <c r="V33" s="70">
        <f t="shared" si="30"/>
        <v>0</v>
      </c>
      <c r="W33" s="70">
        <f t="shared" si="30"/>
        <v>0</v>
      </c>
      <c r="X33" s="70">
        <f t="shared" si="30"/>
        <v>0</v>
      </c>
      <c r="Y33" s="70">
        <f t="shared" si="30"/>
        <v>0</v>
      </c>
      <c r="Z33" s="679">
        <v>0</v>
      </c>
      <c r="AA33" s="70">
        <f t="shared" si="30"/>
        <v>0</v>
      </c>
      <c r="AB33" s="70">
        <f t="shared" si="30"/>
        <v>0</v>
      </c>
      <c r="AC33" s="70">
        <f t="shared" si="30"/>
        <v>0</v>
      </c>
      <c r="AD33" s="70">
        <f t="shared" si="30"/>
        <v>0</v>
      </c>
      <c r="AE33" s="70">
        <f t="shared" si="30"/>
        <v>0</v>
      </c>
      <c r="AF33" s="70">
        <f t="shared" si="30"/>
        <v>0</v>
      </c>
      <c r="AG33" s="70">
        <f t="shared" si="30"/>
        <v>0</v>
      </c>
      <c r="AH33" s="70">
        <f t="shared" si="30"/>
        <v>0</v>
      </c>
      <c r="AI33" s="70">
        <f t="shared" si="30"/>
        <v>0</v>
      </c>
      <c r="AJ33" s="70">
        <f t="shared" si="30"/>
        <v>0</v>
      </c>
      <c r="AK33" s="3">
        <f>P33-Q33</f>
        <v>74000</v>
      </c>
      <c r="AL33" s="3">
        <f>AK33</f>
        <v>74000</v>
      </c>
      <c r="AM33" s="70">
        <f t="shared" si="30"/>
        <v>0</v>
      </c>
      <c r="AN33" s="70">
        <f t="shared" si="30"/>
        <v>0</v>
      </c>
      <c r="AO33" s="70">
        <f t="shared" si="30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1295"/>
      <c r="H34" s="1295"/>
      <c r="I34" s="1327"/>
      <c r="J34" s="1628"/>
      <c r="K34" s="1628"/>
      <c r="L34" s="1308">
        <v>10164.5</v>
      </c>
      <c r="M34" s="1308">
        <v>0</v>
      </c>
      <c r="N34" s="1308">
        <v>4946.26</v>
      </c>
      <c r="O34" s="1308">
        <v>0</v>
      </c>
      <c r="P34" s="1308">
        <v>0</v>
      </c>
      <c r="Q34" s="1308">
        <v>0</v>
      </c>
      <c r="R34" s="1308">
        <v>0</v>
      </c>
      <c r="S34" s="1308">
        <v>0</v>
      </c>
      <c r="T34" s="1308">
        <v>0</v>
      </c>
      <c r="U34" s="1308">
        <v>0</v>
      </c>
      <c r="V34" s="1308">
        <v>0</v>
      </c>
      <c r="W34" s="1308">
        <v>0</v>
      </c>
      <c r="X34" s="1308">
        <v>0</v>
      </c>
      <c r="Y34" s="1308">
        <v>0</v>
      </c>
      <c r="Z34" s="258"/>
      <c r="AA34" s="1308">
        <v>0</v>
      </c>
      <c r="AB34" s="1308">
        <v>0</v>
      </c>
      <c r="AC34" s="1308">
        <v>0</v>
      </c>
      <c r="AD34" s="1308">
        <v>0</v>
      </c>
      <c r="AE34" s="1308">
        <v>0</v>
      </c>
      <c r="AF34" s="1308">
        <v>0</v>
      </c>
      <c r="AG34" s="1308">
        <v>0</v>
      </c>
      <c r="AH34" s="1308">
        <v>0</v>
      </c>
      <c r="AI34" s="1308">
        <v>0</v>
      </c>
      <c r="AJ34" s="1308">
        <v>0</v>
      </c>
      <c r="AK34" s="288">
        <v>0</v>
      </c>
      <c r="AL34" s="288">
        <v>0</v>
      </c>
      <c r="AM34" s="1308">
        <v>0</v>
      </c>
      <c r="AN34" s="1308">
        <v>0</v>
      </c>
      <c r="AO34" s="1308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1295">
        <v>2020</v>
      </c>
      <c r="H35" s="1295">
        <v>2021</v>
      </c>
      <c r="I35" s="1328"/>
      <c r="J35" s="1629"/>
      <c r="K35" s="1629"/>
      <c r="L35" s="1308">
        <v>250336.75</v>
      </c>
      <c r="M35" s="1308">
        <v>0</v>
      </c>
      <c r="N35" s="1308">
        <v>64997.45</v>
      </c>
      <c r="O35" s="1308">
        <v>69943.710000000006</v>
      </c>
      <c r="P35" s="1308">
        <v>74000</v>
      </c>
      <c r="Q35" s="1308">
        <v>0</v>
      </c>
      <c r="R35" s="1308">
        <v>0</v>
      </c>
      <c r="S35" s="1308">
        <v>0</v>
      </c>
      <c r="T35" s="1308">
        <v>0</v>
      </c>
      <c r="U35" s="1308">
        <v>0</v>
      </c>
      <c r="V35" s="1308">
        <v>0</v>
      </c>
      <c r="W35" s="1308">
        <v>0</v>
      </c>
      <c r="X35" s="1308">
        <v>0</v>
      </c>
      <c r="Y35" s="1308">
        <v>0</v>
      </c>
      <c r="Z35" s="258"/>
      <c r="AA35" s="1308">
        <v>0</v>
      </c>
      <c r="AB35" s="1308">
        <v>0</v>
      </c>
      <c r="AC35" s="1308">
        <v>0</v>
      </c>
      <c r="AD35" s="1308">
        <v>0</v>
      </c>
      <c r="AE35" s="1308">
        <v>0</v>
      </c>
      <c r="AF35" s="1308">
        <v>0</v>
      </c>
      <c r="AG35" s="1308">
        <v>0</v>
      </c>
      <c r="AH35" s="1308">
        <v>0</v>
      </c>
      <c r="AI35" s="1308">
        <v>0</v>
      </c>
      <c r="AJ35" s="1308">
        <v>0</v>
      </c>
      <c r="AK35" s="1308">
        <v>0</v>
      </c>
      <c r="AL35" s="1308">
        <v>0</v>
      </c>
      <c r="AM35" s="1308">
        <v>0</v>
      </c>
      <c r="AN35" s="1308">
        <v>0</v>
      </c>
      <c r="AO35" s="1308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1">M37+M39</f>
        <v>20243.12</v>
      </c>
      <c r="N36" s="318">
        <f t="shared" si="31"/>
        <v>13773.23</v>
      </c>
      <c r="O36" s="318">
        <f t="shared" si="31"/>
        <v>8942.9699999999993</v>
      </c>
      <c r="P36" s="318">
        <f t="shared" si="31"/>
        <v>90000</v>
      </c>
      <c r="Q36" s="318">
        <f t="shared" si="31"/>
        <v>0</v>
      </c>
      <c r="R36" s="318">
        <f t="shared" si="31"/>
        <v>0</v>
      </c>
      <c r="S36" s="318">
        <f t="shared" si="31"/>
        <v>0</v>
      </c>
      <c r="T36" s="318">
        <f t="shared" si="31"/>
        <v>0</v>
      </c>
      <c r="U36" s="318">
        <f t="shared" si="31"/>
        <v>0</v>
      </c>
      <c r="V36" s="318">
        <f t="shared" si="31"/>
        <v>0</v>
      </c>
      <c r="W36" s="318">
        <f t="shared" si="31"/>
        <v>0</v>
      </c>
      <c r="X36" s="318">
        <f t="shared" si="31"/>
        <v>0</v>
      </c>
      <c r="Y36" s="318">
        <f t="shared" si="31"/>
        <v>0</v>
      </c>
      <c r="Z36" s="372">
        <v>0</v>
      </c>
      <c r="AA36" s="318">
        <f t="shared" si="31"/>
        <v>0</v>
      </c>
      <c r="AB36" s="318">
        <f t="shared" si="31"/>
        <v>0</v>
      </c>
      <c r="AC36" s="318">
        <f t="shared" si="31"/>
        <v>0</v>
      </c>
      <c r="AD36" s="318">
        <f t="shared" si="31"/>
        <v>0</v>
      </c>
      <c r="AE36" s="318">
        <f t="shared" si="31"/>
        <v>0</v>
      </c>
      <c r="AF36" s="318">
        <f t="shared" si="31"/>
        <v>0</v>
      </c>
      <c r="AG36" s="318">
        <f t="shared" si="31"/>
        <v>0</v>
      </c>
      <c r="AH36" s="318">
        <f t="shared" si="31"/>
        <v>0</v>
      </c>
      <c r="AI36" s="318">
        <f t="shared" si="31"/>
        <v>0</v>
      </c>
      <c r="AJ36" s="318">
        <f t="shared" si="31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1"/>
        <v>0</v>
      </c>
      <c r="AO36" s="318">
        <f t="shared" si="31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1295">
        <v>2019</v>
      </c>
      <c r="H37" s="1295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1282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1295">
        <v>2020</v>
      </c>
      <c r="H39" s="1295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1279"/>
      <c r="J40" s="3"/>
      <c r="K40" s="1286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2">SUM(R41:R42)</f>
        <v>0</v>
      </c>
      <c r="S40" s="318">
        <f t="shared" si="32"/>
        <v>0</v>
      </c>
      <c r="T40" s="318">
        <f t="shared" si="32"/>
        <v>0</v>
      </c>
      <c r="U40" s="318">
        <f t="shared" si="32"/>
        <v>0</v>
      </c>
      <c r="V40" s="318">
        <f t="shared" si="32"/>
        <v>0</v>
      </c>
      <c r="W40" s="318">
        <f t="shared" si="32"/>
        <v>0</v>
      </c>
      <c r="X40" s="318">
        <f t="shared" si="32"/>
        <v>0</v>
      </c>
      <c r="Y40" s="318">
        <f t="shared" si="32"/>
        <v>0</v>
      </c>
      <c r="Z40" s="318">
        <f t="shared" si="32"/>
        <v>0</v>
      </c>
      <c r="AA40" s="318">
        <f t="shared" si="32"/>
        <v>1185.0595599999999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1309"/>
      <c r="B41" s="42" t="s">
        <v>15</v>
      </c>
      <c r="C41" s="768"/>
      <c r="D41" s="768"/>
      <c r="E41" s="768"/>
      <c r="F41" s="769"/>
      <c r="G41" s="335"/>
      <c r="H41" s="770"/>
      <c r="I41" s="1274"/>
      <c r="J41" s="47"/>
      <c r="K41" s="1308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1282"/>
      <c r="AQ41" s="268"/>
    </row>
    <row r="42" spans="1:43" ht="15" customHeight="1" x14ac:dyDescent="0.25">
      <c r="A42" s="1309"/>
      <c r="B42" s="42" t="s">
        <v>16</v>
      </c>
      <c r="C42" s="768"/>
      <c r="D42" s="768"/>
      <c r="E42" s="768"/>
      <c r="F42" s="769"/>
      <c r="G42" s="335"/>
      <c r="H42" s="770"/>
      <c r="I42" s="1274"/>
      <c r="J42" s="47"/>
      <c r="K42" s="1308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1185.0595599999999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1282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1282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33">M47</f>
        <v>0</v>
      </c>
      <c r="N44" s="47">
        <f t="shared" si="33"/>
        <v>0</v>
      </c>
      <c r="O44" s="47">
        <f t="shared" si="33"/>
        <v>0</v>
      </c>
      <c r="P44" s="47">
        <f t="shared" si="33"/>
        <v>0</v>
      </c>
      <c r="Q44" s="47">
        <f t="shared" si="33"/>
        <v>0</v>
      </c>
      <c r="R44" s="47">
        <f t="shared" si="33"/>
        <v>0</v>
      </c>
      <c r="S44" s="47">
        <f t="shared" si="33"/>
        <v>0</v>
      </c>
      <c r="T44" s="47">
        <f t="shared" si="33"/>
        <v>0</v>
      </c>
      <c r="U44" s="47">
        <f t="shared" si="33"/>
        <v>7.2</v>
      </c>
      <c r="V44" s="47">
        <f t="shared" si="33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1282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34">J47</f>
        <v>23417.360000000001</v>
      </c>
      <c r="K45" s="47">
        <f t="shared" si="34"/>
        <v>0</v>
      </c>
      <c r="L45" s="47">
        <v>0</v>
      </c>
      <c r="M45" s="4">
        <f t="shared" si="34"/>
        <v>0</v>
      </c>
      <c r="N45" s="4">
        <f t="shared" si="34"/>
        <v>0</v>
      </c>
      <c r="O45" s="4">
        <f t="shared" si="34"/>
        <v>0</v>
      </c>
      <c r="P45" s="4">
        <v>0</v>
      </c>
      <c r="Q45" s="4">
        <v>0</v>
      </c>
      <c r="R45" s="4">
        <f t="shared" si="34"/>
        <v>0</v>
      </c>
      <c r="S45" s="4">
        <f t="shared" si="34"/>
        <v>0</v>
      </c>
      <c r="T45" s="4">
        <f t="shared" si="34"/>
        <v>0</v>
      </c>
      <c r="U45" s="4">
        <v>0</v>
      </c>
      <c r="V45" s="4">
        <f t="shared" si="34"/>
        <v>0</v>
      </c>
      <c r="W45" s="4">
        <f t="shared" si="34"/>
        <v>0</v>
      </c>
      <c r="X45" s="4">
        <f t="shared" si="34"/>
        <v>0</v>
      </c>
      <c r="Y45" s="4">
        <f t="shared" si="34"/>
        <v>0</v>
      </c>
      <c r="Z45" s="268"/>
      <c r="AA45" s="4">
        <f t="shared" si="34"/>
        <v>0</v>
      </c>
      <c r="AB45" s="4">
        <f t="shared" si="34"/>
        <v>0</v>
      </c>
      <c r="AC45" s="4">
        <f t="shared" si="34"/>
        <v>7.2</v>
      </c>
      <c r="AD45" s="4">
        <f t="shared" si="34"/>
        <v>0</v>
      </c>
      <c r="AE45" s="4">
        <f t="shared" si="34"/>
        <v>0</v>
      </c>
      <c r="AF45" s="4">
        <f t="shared" si="34"/>
        <v>0</v>
      </c>
      <c r="AG45" s="4">
        <f t="shared" si="34"/>
        <v>0</v>
      </c>
      <c r="AH45" s="4">
        <f t="shared" si="34"/>
        <v>0</v>
      </c>
      <c r="AI45" s="4">
        <f t="shared" si="34"/>
        <v>0</v>
      </c>
      <c r="AJ45" s="4">
        <f t="shared" si="34"/>
        <v>0</v>
      </c>
      <c r="AK45" s="4">
        <f t="shared" si="34"/>
        <v>0</v>
      </c>
      <c r="AL45" s="4">
        <f t="shared" si="34"/>
        <v>0</v>
      </c>
      <c r="AM45" s="4">
        <f t="shared" si="34"/>
        <v>0</v>
      </c>
      <c r="AN45" s="4">
        <f t="shared" si="34"/>
        <v>0</v>
      </c>
      <c r="AO45" s="4">
        <f t="shared" si="34"/>
        <v>0</v>
      </c>
      <c r="AP45" s="1282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1282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1296">
        <v>900</v>
      </c>
      <c r="D47" s="35">
        <v>28000</v>
      </c>
      <c r="E47" s="1296"/>
      <c r="F47" s="1281"/>
      <c r="G47" s="1278"/>
      <c r="H47" s="1278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35">R48+R51</f>
        <v>0</v>
      </c>
      <c r="S47" s="70">
        <f t="shared" si="35"/>
        <v>0</v>
      </c>
      <c r="T47" s="70">
        <f t="shared" si="35"/>
        <v>0</v>
      </c>
      <c r="U47" s="70">
        <f t="shared" si="35"/>
        <v>7.2</v>
      </c>
      <c r="V47" s="70">
        <f t="shared" si="35"/>
        <v>0</v>
      </c>
      <c r="W47" s="70">
        <f t="shared" si="35"/>
        <v>0</v>
      </c>
      <c r="X47" s="70">
        <f t="shared" si="35"/>
        <v>0</v>
      </c>
      <c r="Y47" s="70">
        <f t="shared" si="35"/>
        <v>0</v>
      </c>
      <c r="Z47" s="679">
        <v>0</v>
      </c>
      <c r="AA47" s="70">
        <v>0</v>
      </c>
      <c r="AB47" s="70">
        <f t="shared" si="35"/>
        <v>0</v>
      </c>
      <c r="AC47" s="70">
        <f t="shared" si="35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1297" t="s">
        <v>15</v>
      </c>
      <c r="C48" s="1291"/>
      <c r="D48" s="577"/>
      <c r="E48" s="1291"/>
      <c r="F48" s="1325"/>
      <c r="G48" s="1272"/>
      <c r="H48" s="1272"/>
      <c r="I48" s="1448"/>
      <c r="J48" s="1628"/>
      <c r="K48" s="1628"/>
      <c r="L48" s="1308">
        <v>521.89</v>
      </c>
      <c r="M48" s="1308"/>
      <c r="N48" s="1308">
        <v>0</v>
      </c>
      <c r="O48" s="1315"/>
      <c r="P48" s="1308">
        <v>0</v>
      </c>
      <c r="Q48" s="1308">
        <v>0</v>
      </c>
      <c r="R48" s="1308">
        <f t="shared" ref="R48:Z48" si="36">R49+R50</f>
        <v>0</v>
      </c>
      <c r="S48" s="1308">
        <f t="shared" si="36"/>
        <v>0</v>
      </c>
      <c r="T48" s="1308">
        <f t="shared" si="36"/>
        <v>0</v>
      </c>
      <c r="U48" s="1308">
        <f t="shared" si="36"/>
        <v>7.2</v>
      </c>
      <c r="V48" s="1308">
        <f t="shared" si="36"/>
        <v>0</v>
      </c>
      <c r="W48" s="1308">
        <f t="shared" si="36"/>
        <v>0</v>
      </c>
      <c r="X48" s="1308">
        <f t="shared" si="36"/>
        <v>0</v>
      </c>
      <c r="Y48" s="1308">
        <f t="shared" si="36"/>
        <v>0</v>
      </c>
      <c r="Z48" s="1308">
        <f t="shared" si="36"/>
        <v>0</v>
      </c>
      <c r="AA48" s="1308">
        <v>0</v>
      </c>
      <c r="AB48" s="1308">
        <f t="shared" ref="AB48:AC48" si="37">AB49</f>
        <v>0</v>
      </c>
      <c r="AC48" s="1308">
        <f t="shared" si="37"/>
        <v>7.2</v>
      </c>
      <c r="AD48" s="1308"/>
      <c r="AE48" s="1308"/>
      <c r="AF48" s="1308"/>
      <c r="AG48" s="1308"/>
      <c r="AH48" s="1308"/>
      <c r="AI48" s="1308"/>
      <c r="AJ48" s="1308"/>
      <c r="AK48" s="288"/>
      <c r="AL48" s="288"/>
      <c r="AM48" s="1308"/>
      <c r="AN48" s="1308"/>
      <c r="AO48" s="1308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1297" t="s">
        <v>16</v>
      </c>
      <c r="C51" s="1291"/>
      <c r="D51" s="1291"/>
      <c r="E51" s="1291"/>
      <c r="F51" s="1325"/>
      <c r="G51" s="1272">
        <v>2020</v>
      </c>
      <c r="H51" s="1272">
        <v>2020</v>
      </c>
      <c r="I51" s="1449"/>
      <c r="J51" s="1629"/>
      <c r="K51" s="1629"/>
      <c r="L51" s="1308">
        <v>4152.18</v>
      </c>
      <c r="M51" s="1308">
        <v>0</v>
      </c>
      <c r="N51" s="1308">
        <v>0</v>
      </c>
      <c r="O51" s="1308">
        <v>0</v>
      </c>
      <c r="P51" s="1308">
        <v>0</v>
      </c>
      <c r="Q51" s="1308">
        <v>0</v>
      </c>
      <c r="R51" s="1308">
        <v>0</v>
      </c>
      <c r="S51" s="1308">
        <v>0</v>
      </c>
      <c r="T51" s="1308">
        <v>0</v>
      </c>
      <c r="U51" s="1308">
        <v>0</v>
      </c>
      <c r="V51" s="1308">
        <v>0</v>
      </c>
      <c r="W51" s="1308">
        <v>0</v>
      </c>
      <c r="X51" s="1308">
        <v>0</v>
      </c>
      <c r="Y51" s="1308">
        <v>0</v>
      </c>
      <c r="Z51" s="258"/>
      <c r="AA51" s="1308">
        <v>0</v>
      </c>
      <c r="AB51" s="1308">
        <v>0</v>
      </c>
      <c r="AC51" s="1308">
        <v>0</v>
      </c>
      <c r="AD51" s="1308">
        <v>0</v>
      </c>
      <c r="AE51" s="1308">
        <v>0</v>
      </c>
      <c r="AF51" s="1308">
        <v>0</v>
      </c>
      <c r="AG51" s="1308">
        <f t="shared" ref="AG51:AJ52" si="38">AG54+AG57</f>
        <v>0</v>
      </c>
      <c r="AH51" s="1308">
        <f t="shared" si="38"/>
        <v>0</v>
      </c>
      <c r="AI51" s="1308">
        <f t="shared" si="38"/>
        <v>0</v>
      </c>
      <c r="AJ51" s="1308">
        <f t="shared" si="38"/>
        <v>0</v>
      </c>
      <c r="AK51" s="1308">
        <v>0</v>
      </c>
      <c r="AL51" s="1308">
        <v>0</v>
      </c>
      <c r="AM51" s="1308">
        <v>0</v>
      </c>
      <c r="AN51" s="1308">
        <v>0</v>
      </c>
      <c r="AO51" s="1308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1311">
        <f>L52</f>
        <v>924.64</v>
      </c>
      <c r="K52" s="1311">
        <v>0</v>
      </c>
      <c r="L52" s="1308">
        <f>L58</f>
        <v>924.64</v>
      </c>
      <c r="M52" s="1308">
        <f t="shared" ref="M52:AO52" si="39">M55+M58</f>
        <v>0</v>
      </c>
      <c r="N52" s="1308">
        <f t="shared" si="39"/>
        <v>0</v>
      </c>
      <c r="O52" s="1308">
        <f t="shared" si="39"/>
        <v>0</v>
      </c>
      <c r="P52" s="1308">
        <f t="shared" si="39"/>
        <v>725.37</v>
      </c>
      <c r="Q52" s="1308">
        <f t="shared" si="39"/>
        <v>0</v>
      </c>
      <c r="R52" s="1308">
        <f t="shared" si="39"/>
        <v>0</v>
      </c>
      <c r="S52" s="1308">
        <f t="shared" si="39"/>
        <v>0</v>
      </c>
      <c r="T52" s="1308">
        <f t="shared" si="39"/>
        <v>0</v>
      </c>
      <c r="U52" s="1308">
        <f t="shared" si="39"/>
        <v>0</v>
      </c>
      <c r="V52" s="1308">
        <f t="shared" si="39"/>
        <v>131</v>
      </c>
      <c r="W52" s="1308">
        <f t="shared" si="39"/>
        <v>131</v>
      </c>
      <c r="X52" s="1308">
        <f t="shared" si="39"/>
        <v>0</v>
      </c>
      <c r="Y52" s="1308">
        <f t="shared" si="39"/>
        <v>0</v>
      </c>
      <c r="Z52" s="258"/>
      <c r="AA52" s="1308">
        <f t="shared" si="39"/>
        <v>0</v>
      </c>
      <c r="AB52" s="1308">
        <f t="shared" si="39"/>
        <v>0</v>
      </c>
      <c r="AC52" s="1308">
        <f t="shared" si="39"/>
        <v>0</v>
      </c>
      <c r="AD52" s="1308">
        <f t="shared" si="39"/>
        <v>200</v>
      </c>
      <c r="AE52" s="1308">
        <f t="shared" si="39"/>
        <v>0</v>
      </c>
      <c r="AF52" s="1308">
        <f t="shared" si="39"/>
        <v>0</v>
      </c>
      <c r="AG52" s="1308">
        <f t="shared" si="38"/>
        <v>0</v>
      </c>
      <c r="AH52" s="1308">
        <f t="shared" si="38"/>
        <v>0</v>
      </c>
      <c r="AI52" s="1308">
        <f t="shared" si="38"/>
        <v>0</v>
      </c>
      <c r="AJ52" s="1308">
        <f t="shared" si="38"/>
        <v>0</v>
      </c>
      <c r="AK52" s="1308">
        <f t="shared" si="39"/>
        <v>725.37</v>
      </c>
      <c r="AL52" s="1308">
        <f t="shared" si="39"/>
        <v>725.37</v>
      </c>
      <c r="AM52" s="1308">
        <f t="shared" si="39"/>
        <v>0</v>
      </c>
      <c r="AN52" s="1308">
        <f t="shared" si="39"/>
        <v>0</v>
      </c>
      <c r="AO52" s="1308">
        <f t="shared" si="3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1311">
        <f>L53</f>
        <v>0</v>
      </c>
      <c r="K53" s="1311">
        <v>0</v>
      </c>
      <c r="L53" s="1308">
        <v>0</v>
      </c>
      <c r="M53" s="1308">
        <v>0</v>
      </c>
      <c r="N53" s="1308">
        <v>0</v>
      </c>
      <c r="O53" s="1315">
        <v>0</v>
      </c>
      <c r="P53" s="1308">
        <v>0</v>
      </c>
      <c r="Q53" s="1308">
        <v>0</v>
      </c>
      <c r="R53" s="1308">
        <v>0</v>
      </c>
      <c r="S53" s="1308">
        <v>0</v>
      </c>
      <c r="T53" s="1308">
        <v>0</v>
      </c>
      <c r="U53" s="1308">
        <v>0</v>
      </c>
      <c r="V53" s="1308">
        <v>0</v>
      </c>
      <c r="W53" s="1308">
        <v>0</v>
      </c>
      <c r="X53" s="1308">
        <v>0</v>
      </c>
      <c r="Y53" s="1308">
        <v>0</v>
      </c>
      <c r="Z53" s="258"/>
      <c r="AA53" s="1308">
        <v>0</v>
      </c>
      <c r="AB53" s="1308">
        <v>0</v>
      </c>
      <c r="AC53" s="1308">
        <v>0</v>
      </c>
      <c r="AD53" s="1308">
        <v>0</v>
      </c>
      <c r="AE53" s="1308">
        <v>0</v>
      </c>
      <c r="AF53" s="1308">
        <v>0</v>
      </c>
      <c r="AG53" s="1308">
        <v>0</v>
      </c>
      <c r="AH53" s="1308">
        <v>0</v>
      </c>
      <c r="AI53" s="1308">
        <v>0</v>
      </c>
      <c r="AJ53" s="1308">
        <v>0</v>
      </c>
      <c r="AK53" s="1308">
        <v>0</v>
      </c>
      <c r="AL53" s="1308">
        <v>0</v>
      </c>
      <c r="AM53" s="1308">
        <v>0</v>
      </c>
      <c r="AN53" s="1308">
        <v>0</v>
      </c>
      <c r="AO53" s="1308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1311">
        <f>L54</f>
        <v>0</v>
      </c>
      <c r="K54" s="1311">
        <v>0</v>
      </c>
      <c r="L54" s="1308">
        <v>0</v>
      </c>
      <c r="M54" s="1308">
        <v>0</v>
      </c>
      <c r="N54" s="1308">
        <v>0</v>
      </c>
      <c r="O54" s="1315">
        <v>0</v>
      </c>
      <c r="P54" s="1308">
        <v>0</v>
      </c>
      <c r="Q54" s="1308">
        <v>0</v>
      </c>
      <c r="R54" s="1308">
        <v>0</v>
      </c>
      <c r="S54" s="1308">
        <v>0</v>
      </c>
      <c r="T54" s="1308">
        <v>0</v>
      </c>
      <c r="U54" s="1308">
        <v>0</v>
      </c>
      <c r="V54" s="1308">
        <v>0</v>
      </c>
      <c r="W54" s="1308">
        <v>0</v>
      </c>
      <c r="X54" s="1308">
        <v>0</v>
      </c>
      <c r="Y54" s="1308">
        <v>0</v>
      </c>
      <c r="Z54" s="258"/>
      <c r="AA54" s="1308">
        <v>0</v>
      </c>
      <c r="AB54" s="1308">
        <v>0</v>
      </c>
      <c r="AC54" s="1308">
        <v>0</v>
      </c>
      <c r="AD54" s="1308">
        <v>0</v>
      </c>
      <c r="AE54" s="1308">
        <v>0</v>
      </c>
      <c r="AF54" s="1308">
        <v>0</v>
      </c>
      <c r="AG54" s="1308">
        <v>0</v>
      </c>
      <c r="AH54" s="1308">
        <v>0</v>
      </c>
      <c r="AI54" s="1308">
        <v>0</v>
      </c>
      <c r="AJ54" s="1308">
        <v>0</v>
      </c>
      <c r="AK54" s="1308">
        <v>0</v>
      </c>
      <c r="AL54" s="1308">
        <v>0</v>
      </c>
      <c r="AM54" s="1308">
        <v>0</v>
      </c>
      <c r="AN54" s="1308">
        <v>0</v>
      </c>
      <c r="AO54" s="1308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1291"/>
      <c r="H55" s="1291"/>
      <c r="I55" s="1374" t="s">
        <v>20</v>
      </c>
      <c r="J55" s="1311">
        <f>L55</f>
        <v>0</v>
      </c>
      <c r="K55" s="1311"/>
      <c r="L55" s="1308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0">R56+R57</f>
        <v>0</v>
      </c>
      <c r="S55" s="71">
        <f t="shared" si="40"/>
        <v>0</v>
      </c>
      <c r="T55" s="71">
        <f t="shared" si="40"/>
        <v>0</v>
      </c>
      <c r="U55" s="71">
        <f t="shared" si="40"/>
        <v>0</v>
      </c>
      <c r="V55" s="71">
        <f t="shared" si="40"/>
        <v>0</v>
      </c>
      <c r="W55" s="71">
        <f t="shared" si="40"/>
        <v>0</v>
      </c>
      <c r="X55" s="71">
        <f t="shared" si="40"/>
        <v>0</v>
      </c>
      <c r="Y55" s="71">
        <f t="shared" si="40"/>
        <v>0</v>
      </c>
      <c r="Z55" s="100"/>
      <c r="AA55" s="71">
        <f t="shared" si="40"/>
        <v>0</v>
      </c>
      <c r="AB55" s="71">
        <f t="shared" si="40"/>
        <v>0</v>
      </c>
      <c r="AC55" s="71">
        <f t="shared" si="40"/>
        <v>0</v>
      </c>
      <c r="AD55" s="71">
        <f t="shared" si="40"/>
        <v>0</v>
      </c>
      <c r="AE55" s="71">
        <f t="shared" si="40"/>
        <v>0</v>
      </c>
      <c r="AF55" s="71">
        <f t="shared" si="40"/>
        <v>0</v>
      </c>
      <c r="AG55" s="71">
        <f t="shared" si="40"/>
        <v>0</v>
      </c>
      <c r="AH55" s="71">
        <f t="shared" si="40"/>
        <v>0</v>
      </c>
      <c r="AI55" s="71">
        <f t="shared" si="4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0"/>
        <v>0</v>
      </c>
      <c r="AO55" s="71">
        <f t="shared" si="4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1291">
        <v>2019</v>
      </c>
      <c r="H56" s="1291">
        <v>2019</v>
      </c>
      <c r="I56" s="1391"/>
      <c r="J56" s="1311">
        <f t="shared" ref="J56:J61" si="41">L56</f>
        <v>0</v>
      </c>
      <c r="K56" s="1311"/>
      <c r="L56" s="1308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1295">
        <v>2019</v>
      </c>
      <c r="H57" s="1295">
        <v>2019</v>
      </c>
      <c r="I57" s="1375"/>
      <c r="J57" s="1311">
        <f t="shared" si="41"/>
        <v>0</v>
      </c>
      <c r="K57" s="1274"/>
      <c r="L57" s="1308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1295"/>
      <c r="H58" s="1295"/>
      <c r="I58" s="1374" t="s">
        <v>20</v>
      </c>
      <c r="J58" s="1311">
        <f t="shared" si="41"/>
        <v>924.64</v>
      </c>
      <c r="K58" s="1274"/>
      <c r="L58" s="1308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2">R59+R61</f>
        <v>0</v>
      </c>
      <c r="S58" s="318">
        <f t="shared" si="42"/>
        <v>0</v>
      </c>
      <c r="T58" s="318">
        <f t="shared" si="42"/>
        <v>0</v>
      </c>
      <c r="U58" s="318">
        <f t="shared" si="42"/>
        <v>0</v>
      </c>
      <c r="V58" s="318">
        <f t="shared" si="42"/>
        <v>131</v>
      </c>
      <c r="W58" s="318">
        <f t="shared" si="42"/>
        <v>131</v>
      </c>
      <c r="X58" s="318">
        <f t="shared" si="42"/>
        <v>0</v>
      </c>
      <c r="Y58" s="318">
        <f t="shared" si="42"/>
        <v>0</v>
      </c>
      <c r="Z58" s="372">
        <v>0</v>
      </c>
      <c r="AA58" s="318">
        <v>0</v>
      </c>
      <c r="AB58" s="4">
        <f t="shared" si="42"/>
        <v>0</v>
      </c>
      <c r="AC58" s="4">
        <f t="shared" si="42"/>
        <v>0</v>
      </c>
      <c r="AD58" s="4">
        <f t="shared" si="42"/>
        <v>200</v>
      </c>
      <c r="AE58" s="4">
        <f t="shared" si="42"/>
        <v>0</v>
      </c>
      <c r="AF58" s="4">
        <f t="shared" si="42"/>
        <v>0</v>
      </c>
      <c r="AG58" s="4">
        <f t="shared" si="42"/>
        <v>0</v>
      </c>
      <c r="AH58" s="4">
        <f t="shared" si="42"/>
        <v>0</v>
      </c>
      <c r="AI58" s="4">
        <f t="shared" si="42"/>
        <v>0</v>
      </c>
      <c r="AJ58" s="4">
        <f t="shared" si="4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2"/>
        <v>0</v>
      </c>
      <c r="AO58" s="4">
        <f t="shared" si="4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1295">
        <v>2019</v>
      </c>
      <c r="H59" s="1295">
        <v>2019</v>
      </c>
      <c r="I59" s="1391"/>
      <c r="J59" s="1311">
        <f t="shared" si="41"/>
        <v>250</v>
      </c>
      <c r="K59" s="1274"/>
      <c r="L59" s="1308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43">R60</f>
        <v>0</v>
      </c>
      <c r="S59" s="4">
        <f t="shared" si="43"/>
        <v>0</v>
      </c>
      <c r="T59" s="4">
        <f t="shared" si="43"/>
        <v>0</v>
      </c>
      <c r="U59" s="4">
        <f t="shared" si="43"/>
        <v>0</v>
      </c>
      <c r="V59" s="4">
        <f t="shared" si="43"/>
        <v>131</v>
      </c>
      <c r="W59" s="4">
        <f t="shared" si="43"/>
        <v>131</v>
      </c>
      <c r="X59" s="4">
        <f t="shared" si="43"/>
        <v>0</v>
      </c>
      <c r="Y59" s="4">
        <f t="shared" si="43"/>
        <v>0</v>
      </c>
      <c r="Z59" s="268"/>
      <c r="AA59" s="4">
        <v>0</v>
      </c>
      <c r="AB59" s="4">
        <f t="shared" si="43"/>
        <v>0</v>
      </c>
      <c r="AC59" s="4">
        <f t="shared" si="43"/>
        <v>0</v>
      </c>
      <c r="AD59" s="4">
        <f t="shared" si="4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1282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1295">
        <v>2019</v>
      </c>
      <c r="H61" s="1295">
        <v>2019</v>
      </c>
      <c r="I61" s="1375"/>
      <c r="J61" s="1311">
        <f t="shared" si="41"/>
        <v>674.64</v>
      </c>
      <c r="K61" s="1274"/>
      <c r="L61" s="1308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1279"/>
      <c r="L62" s="1286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44">SUM(R63:R64)</f>
        <v>0</v>
      </c>
      <c r="S62" s="318">
        <f t="shared" si="44"/>
        <v>0</v>
      </c>
      <c r="T62" s="318">
        <f t="shared" si="44"/>
        <v>0</v>
      </c>
      <c r="U62" s="318">
        <f t="shared" si="44"/>
        <v>0</v>
      </c>
      <c r="V62" s="318">
        <f t="shared" si="44"/>
        <v>0</v>
      </c>
      <c r="W62" s="318">
        <f t="shared" si="44"/>
        <v>0</v>
      </c>
      <c r="X62" s="318">
        <f t="shared" si="44"/>
        <v>0</v>
      </c>
      <c r="Y62" s="318">
        <f t="shared" si="44"/>
        <v>0</v>
      </c>
      <c r="Z62" s="318">
        <f t="shared" si="44"/>
        <v>0</v>
      </c>
      <c r="AA62" s="318">
        <f t="shared" si="4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1309"/>
      <c r="B63" s="42" t="s">
        <v>15</v>
      </c>
      <c r="C63" s="341"/>
      <c r="D63" s="341"/>
      <c r="E63" s="771"/>
      <c r="F63" s="691"/>
      <c r="G63" s="335"/>
      <c r="H63" s="770"/>
      <c r="I63" s="1283"/>
      <c r="J63" s="1311"/>
      <c r="K63" s="1274"/>
      <c r="L63" s="1308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1309"/>
      <c r="B64" s="42" t="s">
        <v>32</v>
      </c>
      <c r="C64" s="341"/>
      <c r="D64" s="341"/>
      <c r="E64" s="771"/>
      <c r="F64" s="691"/>
      <c r="G64" s="335"/>
      <c r="H64" s="770"/>
      <c r="I64" s="1283"/>
      <c r="J64" s="1311"/>
      <c r="K64" s="1274"/>
      <c r="L64" s="1308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45">J68</f>
        <v>18824.2</v>
      </c>
      <c r="K65" s="47">
        <f t="shared" si="45"/>
        <v>0</v>
      </c>
      <c r="L65" s="47">
        <f t="shared" si="45"/>
        <v>5710.74</v>
      </c>
      <c r="M65" s="47">
        <f t="shared" si="45"/>
        <v>893.45</v>
      </c>
      <c r="N65" s="47">
        <f t="shared" si="45"/>
        <v>1051.49</v>
      </c>
      <c r="O65" s="47">
        <f t="shared" si="45"/>
        <v>11206.2</v>
      </c>
      <c r="P65" s="47">
        <f t="shared" si="45"/>
        <v>192.06</v>
      </c>
      <c r="Q65" s="47">
        <f t="shared" si="45"/>
        <v>75</v>
      </c>
      <c r="R65" s="47">
        <f t="shared" si="45"/>
        <v>0</v>
      </c>
      <c r="S65" s="47">
        <f t="shared" si="45"/>
        <v>0</v>
      </c>
      <c r="T65" s="47">
        <f t="shared" si="45"/>
        <v>0</v>
      </c>
      <c r="U65" s="47">
        <f t="shared" si="45"/>
        <v>0</v>
      </c>
      <c r="V65" s="47">
        <f t="shared" si="45"/>
        <v>0</v>
      </c>
      <c r="W65" s="47">
        <f t="shared" si="45"/>
        <v>0</v>
      </c>
      <c r="X65" s="47">
        <f t="shared" si="45"/>
        <v>0</v>
      </c>
      <c r="Y65" s="47">
        <f t="shared" si="45"/>
        <v>0</v>
      </c>
      <c r="Z65" s="96"/>
      <c r="AA65" s="47">
        <f t="shared" si="45"/>
        <v>75</v>
      </c>
      <c r="AB65" s="47">
        <f t="shared" si="45"/>
        <v>0</v>
      </c>
      <c r="AC65" s="47">
        <f t="shared" si="45"/>
        <v>0</v>
      </c>
      <c r="AD65" s="47">
        <f t="shared" si="45"/>
        <v>0</v>
      </c>
      <c r="AE65" s="47">
        <f t="shared" si="45"/>
        <v>0</v>
      </c>
      <c r="AF65" s="47">
        <f t="shared" si="45"/>
        <v>0</v>
      </c>
      <c r="AG65" s="47">
        <f t="shared" si="45"/>
        <v>0</v>
      </c>
      <c r="AH65" s="47">
        <f t="shared" si="45"/>
        <v>0</v>
      </c>
      <c r="AI65" s="47">
        <f t="shared" si="45"/>
        <v>0</v>
      </c>
      <c r="AJ65" s="47">
        <f t="shared" si="45"/>
        <v>0</v>
      </c>
      <c r="AK65" s="47">
        <f t="shared" si="45"/>
        <v>117.06</v>
      </c>
      <c r="AL65" s="47">
        <f t="shared" si="45"/>
        <v>117.06</v>
      </c>
      <c r="AM65" s="47">
        <f t="shared" si="45"/>
        <v>39.049999999999997</v>
      </c>
      <c r="AN65" s="47">
        <f t="shared" si="45"/>
        <v>0</v>
      </c>
      <c r="AO65" s="47">
        <f t="shared" si="45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1278"/>
      <c r="H68" s="1278"/>
      <c r="I68" s="1326" t="s">
        <v>20</v>
      </c>
      <c r="J68" s="1640">
        <v>18824.2</v>
      </c>
      <c r="K68" s="3">
        <v>0</v>
      </c>
      <c r="L68" s="3">
        <f t="shared" ref="L68:P68" si="46">L69+L71</f>
        <v>5710.74</v>
      </c>
      <c r="M68" s="3">
        <f t="shared" si="46"/>
        <v>893.45</v>
      </c>
      <c r="N68" s="3">
        <f t="shared" si="46"/>
        <v>1051.49</v>
      </c>
      <c r="O68" s="3">
        <f t="shared" si="46"/>
        <v>11206.2</v>
      </c>
      <c r="P68" s="3">
        <f t="shared" si="46"/>
        <v>192.06</v>
      </c>
      <c r="Q68" s="3">
        <f>SUM(Q69:Q71)</f>
        <v>75</v>
      </c>
      <c r="R68" s="3">
        <f t="shared" ref="R68:AA68" si="47">SUM(R69:R71)</f>
        <v>0</v>
      </c>
      <c r="S68" s="3">
        <f t="shared" si="47"/>
        <v>0</v>
      </c>
      <c r="T68" s="3">
        <f t="shared" si="47"/>
        <v>0</v>
      </c>
      <c r="U68" s="3">
        <f t="shared" si="47"/>
        <v>0</v>
      </c>
      <c r="V68" s="3">
        <f t="shared" si="47"/>
        <v>0</v>
      </c>
      <c r="W68" s="3">
        <f t="shared" si="47"/>
        <v>0</v>
      </c>
      <c r="X68" s="3">
        <f t="shared" si="47"/>
        <v>0</v>
      </c>
      <c r="Y68" s="3">
        <f t="shared" si="47"/>
        <v>0</v>
      </c>
      <c r="Z68" s="3">
        <f t="shared" si="47"/>
        <v>0</v>
      </c>
      <c r="AA68" s="3">
        <f t="shared" si="47"/>
        <v>75</v>
      </c>
      <c r="AB68" s="3">
        <f t="shared" ref="AB68:AO68" si="48">AB69+AB71</f>
        <v>0</v>
      </c>
      <c r="AC68" s="3">
        <f t="shared" si="48"/>
        <v>0</v>
      </c>
      <c r="AD68" s="3">
        <f t="shared" si="48"/>
        <v>0</v>
      </c>
      <c r="AE68" s="3">
        <f t="shared" si="48"/>
        <v>0</v>
      </c>
      <c r="AF68" s="3">
        <f t="shared" si="48"/>
        <v>0</v>
      </c>
      <c r="AG68" s="3">
        <f t="shared" si="48"/>
        <v>0</v>
      </c>
      <c r="AH68" s="3">
        <f t="shared" si="48"/>
        <v>0</v>
      </c>
      <c r="AI68" s="3">
        <f t="shared" si="48"/>
        <v>0</v>
      </c>
      <c r="AJ68" s="3">
        <f t="shared" si="48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48"/>
        <v>0</v>
      </c>
      <c r="AO68" s="3">
        <f t="shared" si="48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1297" t="s">
        <v>15</v>
      </c>
      <c r="C69" s="1327"/>
      <c r="D69" s="1327"/>
      <c r="E69" s="1327"/>
      <c r="F69" s="1327"/>
      <c r="G69" s="1272">
        <v>2019</v>
      </c>
      <c r="H69" s="1272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49">SUM(R70)</f>
        <v>0</v>
      </c>
      <c r="S69" s="47">
        <f t="shared" si="49"/>
        <v>0</v>
      </c>
      <c r="T69" s="47">
        <f t="shared" si="49"/>
        <v>0</v>
      </c>
      <c r="U69" s="47">
        <f t="shared" si="49"/>
        <v>0</v>
      </c>
      <c r="V69" s="47">
        <f t="shared" si="49"/>
        <v>0</v>
      </c>
      <c r="W69" s="47">
        <f t="shared" si="49"/>
        <v>0</v>
      </c>
      <c r="X69" s="47">
        <v>0</v>
      </c>
      <c r="Y69" s="47">
        <f t="shared" si="49"/>
        <v>0</v>
      </c>
      <c r="Z69" s="96"/>
      <c r="AA69" s="47">
        <v>75</v>
      </c>
      <c r="AB69" s="47">
        <f t="shared" si="49"/>
        <v>0</v>
      </c>
      <c r="AC69" s="47">
        <v>0</v>
      </c>
      <c r="AD69" s="47">
        <v>0</v>
      </c>
      <c r="AE69" s="47">
        <v>0</v>
      </c>
      <c r="AF69" s="47">
        <f t="shared" si="49"/>
        <v>0</v>
      </c>
      <c r="AG69" s="47">
        <f t="shared" si="49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1297" t="s">
        <v>16</v>
      </c>
      <c r="C71" s="1327"/>
      <c r="D71" s="1327"/>
      <c r="E71" s="1327"/>
      <c r="F71" s="1327"/>
      <c r="G71" s="1272">
        <v>2020</v>
      </c>
      <c r="H71" s="1272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1284"/>
      <c r="B72" s="609" t="s">
        <v>403</v>
      </c>
      <c r="C72" s="341"/>
      <c r="D72" s="341"/>
      <c r="E72" s="341"/>
      <c r="F72" s="341"/>
      <c r="G72" s="1278"/>
      <c r="H72" s="1278"/>
      <c r="I72" s="1274"/>
      <c r="J72" s="1314"/>
      <c r="K72" s="3">
        <v>0</v>
      </c>
      <c r="L72" s="3">
        <f>L73+L79</f>
        <v>0</v>
      </c>
      <c r="M72" s="3">
        <f>M73+M79</f>
        <v>0</v>
      </c>
      <c r="N72" s="3">
        <f>N73+N79</f>
        <v>0</v>
      </c>
      <c r="O72" s="3">
        <f>O73+O79</f>
        <v>0</v>
      </c>
      <c r="P72" s="3">
        <f>P73+P79</f>
        <v>0</v>
      </c>
      <c r="Q72" s="3">
        <f>SUM(Q73)</f>
        <v>906.20046000000002</v>
      </c>
      <c r="R72" s="3">
        <f t="shared" ref="R72:AA72" si="50">SUM(R73)</f>
        <v>0</v>
      </c>
      <c r="S72" s="3">
        <f t="shared" si="50"/>
        <v>0</v>
      </c>
      <c r="T72" s="3">
        <f t="shared" si="50"/>
        <v>0</v>
      </c>
      <c r="U72" s="3">
        <f t="shared" si="50"/>
        <v>0</v>
      </c>
      <c r="V72" s="3">
        <f t="shared" si="50"/>
        <v>0</v>
      </c>
      <c r="W72" s="3">
        <f t="shared" si="50"/>
        <v>0</v>
      </c>
      <c r="X72" s="3">
        <f t="shared" si="50"/>
        <v>0</v>
      </c>
      <c r="Y72" s="3">
        <f t="shared" si="50"/>
        <v>0</v>
      </c>
      <c r="Z72" s="3">
        <f t="shared" si="50"/>
        <v>0</v>
      </c>
      <c r="AA72" s="3">
        <f t="shared" si="50"/>
        <v>906.20046000000002</v>
      </c>
      <c r="AB72" s="3">
        <f t="shared" ref="AB72:AJ72" si="51">AB73+AB79</f>
        <v>0</v>
      </c>
      <c r="AC72" s="3">
        <f t="shared" si="51"/>
        <v>0</v>
      </c>
      <c r="AD72" s="3">
        <f t="shared" si="51"/>
        <v>0</v>
      </c>
      <c r="AE72" s="3">
        <f t="shared" si="51"/>
        <v>0</v>
      </c>
      <c r="AF72" s="3">
        <f t="shared" si="51"/>
        <v>0</v>
      </c>
      <c r="AG72" s="3">
        <f t="shared" si="51"/>
        <v>0</v>
      </c>
      <c r="AH72" s="3">
        <f t="shared" si="51"/>
        <v>0</v>
      </c>
      <c r="AI72" s="3">
        <f t="shared" si="51"/>
        <v>0</v>
      </c>
      <c r="AJ72" s="3">
        <f t="shared" si="51"/>
        <v>0</v>
      </c>
      <c r="AK72" s="3">
        <f>P72-Q72</f>
        <v>-906.20046000000002</v>
      </c>
      <c r="AL72" s="3">
        <f>AK72</f>
        <v>-906.20046000000002</v>
      </c>
      <c r="AM72" s="318" t="e">
        <f>ROUND((Q72*100%/P72*100),2)</f>
        <v>#DIV/0!</v>
      </c>
      <c r="AN72" s="3">
        <f>AN73+AN79</f>
        <v>0</v>
      </c>
      <c r="AO72" s="3">
        <f>AO73+AO79</f>
        <v>0</v>
      </c>
      <c r="AP72" s="633" t="s">
        <v>272</v>
      </c>
      <c r="AQ72" s="95">
        <v>40</v>
      </c>
    </row>
    <row r="73" spans="1:43" ht="15.75" customHeight="1" x14ac:dyDescent="0.25">
      <c r="A73" s="1284"/>
      <c r="B73" s="42" t="s">
        <v>16</v>
      </c>
      <c r="C73" s="341"/>
      <c r="D73" s="341"/>
      <c r="E73" s="341"/>
      <c r="F73" s="341"/>
      <c r="G73" s="313"/>
      <c r="H73" s="1322"/>
      <c r="I73" s="1274"/>
      <c r="J73" s="1314"/>
      <c r="K73" s="4"/>
      <c r="L73" s="47"/>
      <c r="M73" s="47"/>
      <c r="N73" s="47"/>
      <c r="O73" s="47"/>
      <c r="P73" s="47">
        <v>0</v>
      </c>
      <c r="Q73" s="47">
        <f>SUM(Q74:Q76)</f>
        <v>906.20046000000002</v>
      </c>
      <c r="R73" s="47">
        <f t="shared" ref="R73:AA73" si="52">SUM(R74:R76)</f>
        <v>0</v>
      </c>
      <c r="S73" s="47">
        <f t="shared" si="52"/>
        <v>0</v>
      </c>
      <c r="T73" s="47">
        <f t="shared" si="52"/>
        <v>0</v>
      </c>
      <c r="U73" s="47">
        <f t="shared" si="52"/>
        <v>0</v>
      </c>
      <c r="V73" s="47">
        <f t="shared" si="52"/>
        <v>0</v>
      </c>
      <c r="W73" s="47">
        <f t="shared" si="52"/>
        <v>0</v>
      </c>
      <c r="X73" s="47">
        <f t="shared" si="52"/>
        <v>0</v>
      </c>
      <c r="Y73" s="47">
        <f t="shared" si="52"/>
        <v>0</v>
      </c>
      <c r="Z73" s="47">
        <f t="shared" si="52"/>
        <v>0</v>
      </c>
      <c r="AA73" s="47">
        <f t="shared" si="52"/>
        <v>906.20046000000002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398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870.52831000000003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870.52831000000003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266" customFormat="1" ht="15.75" hidden="1" customHeight="1" x14ac:dyDescent="0.25">
      <c r="A76" s="362"/>
      <c r="B76" s="252" t="s">
        <v>451</v>
      </c>
      <c r="C76" s="453"/>
      <c r="D76" s="453"/>
      <c r="E76" s="453"/>
      <c r="F76" s="453"/>
      <c r="G76" s="363"/>
      <c r="H76" s="364"/>
      <c r="I76" s="368"/>
      <c r="J76" s="993"/>
      <c r="K76" s="268"/>
      <c r="L76" s="96"/>
      <c r="M76" s="96"/>
      <c r="N76" s="96"/>
      <c r="O76" s="96"/>
      <c r="P76" s="96"/>
      <c r="Q76" s="96">
        <v>34.092149999999997</v>
      </c>
      <c r="R76" s="96"/>
      <c r="S76" s="96"/>
      <c r="T76" s="96"/>
      <c r="U76" s="96"/>
      <c r="V76" s="96"/>
      <c r="W76" s="96"/>
      <c r="X76" s="96"/>
      <c r="Y76" s="96"/>
      <c r="Z76" s="96"/>
      <c r="AA76" s="96">
        <v>34.092149999999997</v>
      </c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268"/>
      <c r="AN76" s="96"/>
      <c r="AO76" s="96"/>
      <c r="AP76" s="405"/>
      <c r="AQ76" s="96"/>
    </row>
    <row r="77" spans="1:43" s="327" customFormat="1" ht="28.5" customHeight="1" x14ac:dyDescent="0.25">
      <c r="A77" s="1284"/>
      <c r="B77" s="609" t="s">
        <v>404</v>
      </c>
      <c r="C77" s="341"/>
      <c r="D77" s="341"/>
      <c r="E77" s="341"/>
      <c r="F77" s="341"/>
      <c r="G77" s="1278"/>
      <c r="H77" s="1278"/>
      <c r="I77" s="1274"/>
      <c r="J77" s="1314"/>
      <c r="K77" s="3">
        <v>0</v>
      </c>
      <c r="L77" s="3">
        <f>L78+L81</f>
        <v>0</v>
      </c>
      <c r="M77" s="3">
        <f>M78+M81</f>
        <v>0</v>
      </c>
      <c r="N77" s="3">
        <f>N78+N81</f>
        <v>0</v>
      </c>
      <c r="O77" s="3">
        <f>O78+O81</f>
        <v>0</v>
      </c>
      <c r="P77" s="3">
        <f>P78+P81</f>
        <v>0</v>
      </c>
      <c r="Q77" s="3">
        <f>SUM(Q78)</f>
        <v>0</v>
      </c>
      <c r="R77" s="3">
        <f t="shared" ref="R77:AA77" si="53">SUM(R78)</f>
        <v>0</v>
      </c>
      <c r="S77" s="3">
        <f t="shared" si="53"/>
        <v>0</v>
      </c>
      <c r="T77" s="3">
        <f t="shared" si="53"/>
        <v>0</v>
      </c>
      <c r="U77" s="3">
        <f t="shared" si="53"/>
        <v>0</v>
      </c>
      <c r="V77" s="3">
        <f t="shared" si="53"/>
        <v>0</v>
      </c>
      <c r="W77" s="3">
        <f t="shared" si="53"/>
        <v>0</v>
      </c>
      <c r="X77" s="3">
        <f t="shared" si="53"/>
        <v>0</v>
      </c>
      <c r="Y77" s="3">
        <f t="shared" si="53"/>
        <v>0</v>
      </c>
      <c r="Z77" s="3">
        <f t="shared" si="53"/>
        <v>0</v>
      </c>
      <c r="AA77" s="3">
        <f t="shared" si="53"/>
        <v>0</v>
      </c>
      <c r="AB77" s="3">
        <f t="shared" ref="AB77:AJ77" si="54">AB78+AB81</f>
        <v>0</v>
      </c>
      <c r="AC77" s="3">
        <f t="shared" si="54"/>
        <v>0</v>
      </c>
      <c r="AD77" s="3">
        <f t="shared" si="54"/>
        <v>0</v>
      </c>
      <c r="AE77" s="3">
        <f t="shared" si="54"/>
        <v>0</v>
      </c>
      <c r="AF77" s="3">
        <f t="shared" si="54"/>
        <v>0</v>
      </c>
      <c r="AG77" s="3">
        <f t="shared" si="54"/>
        <v>0</v>
      </c>
      <c r="AH77" s="3">
        <f t="shared" si="54"/>
        <v>0</v>
      </c>
      <c r="AI77" s="3">
        <f t="shared" si="54"/>
        <v>0</v>
      </c>
      <c r="AJ77" s="3">
        <f t="shared" si="54"/>
        <v>0</v>
      </c>
      <c r="AK77" s="3">
        <f>P77-Q77</f>
        <v>0</v>
      </c>
      <c r="AL77" s="3">
        <f>AK77</f>
        <v>0</v>
      </c>
      <c r="AM77" s="318" t="e">
        <f>ROUND((Q77*100%/P77*100),2)</f>
        <v>#DIV/0!</v>
      </c>
      <c r="AN77" s="3">
        <f>AN78+AN81</f>
        <v>0</v>
      </c>
      <c r="AO77" s="3">
        <f>AO78+AO81</f>
        <v>0</v>
      </c>
      <c r="AP77" s="633" t="s">
        <v>272</v>
      </c>
      <c r="AQ77" s="95">
        <v>40</v>
      </c>
    </row>
    <row r="78" spans="1:43" ht="15.75" customHeight="1" x14ac:dyDescent="0.25">
      <c r="A78" s="1284"/>
      <c r="B78" s="42" t="s">
        <v>16</v>
      </c>
      <c r="C78" s="341"/>
      <c r="D78" s="341"/>
      <c r="E78" s="341"/>
      <c r="F78" s="341"/>
      <c r="G78" s="313"/>
      <c r="H78" s="1322"/>
      <c r="I78" s="1274"/>
      <c r="J78" s="1314"/>
      <c r="K78" s="4"/>
      <c r="L78" s="47"/>
      <c r="M78" s="47"/>
      <c r="N78" s="47"/>
      <c r="O78" s="47"/>
      <c r="P78" s="47">
        <v>0</v>
      </c>
      <c r="Q78" s="47">
        <v>0</v>
      </c>
      <c r="R78" s="47"/>
      <c r="S78" s="47"/>
      <c r="T78" s="47"/>
      <c r="U78" s="47"/>
      <c r="V78" s="47"/>
      <c r="W78" s="47"/>
      <c r="X78" s="47"/>
      <c r="Y78" s="47"/>
      <c r="Z78" s="96"/>
      <c r="AA78" s="47"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397"/>
      <c r="AQ78" s="96"/>
    </row>
    <row r="79" spans="1:43" ht="52.5" hidden="1" customHeight="1" x14ac:dyDescent="0.25">
      <c r="A79" s="1332" t="s">
        <v>56</v>
      </c>
      <c r="B79" s="1613" t="s">
        <v>41</v>
      </c>
      <c r="C79" s="1614"/>
      <c r="D79" s="1614"/>
      <c r="E79" s="1614"/>
      <c r="F79" s="1614"/>
      <c r="G79" s="1614"/>
      <c r="H79" s="1615"/>
      <c r="I79" s="23" t="s">
        <v>19</v>
      </c>
      <c r="J79" s="1306">
        <v>0</v>
      </c>
      <c r="K79" s="1306">
        <v>0</v>
      </c>
      <c r="L79" s="47">
        <f>M79+N79+O79</f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96"/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397"/>
      <c r="AQ79" s="96"/>
    </row>
    <row r="80" spans="1:43" ht="48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20</v>
      </c>
      <c r="J80" s="1306">
        <f>L80</f>
        <v>212998.96</v>
      </c>
      <c r="K80" s="1306">
        <f>K83+K130+K131+K132</f>
        <v>0</v>
      </c>
      <c r="L80" s="47">
        <f>L83+L87+L93+L94+L97+L100+L103+L109+L114+L117+L121+L126</f>
        <v>212998.96</v>
      </c>
      <c r="M80" s="47">
        <f>M83+M87+M93+M94+M97+M100+M103+M109</f>
        <v>23675.279999999999</v>
      </c>
      <c r="N80" s="47">
        <f>N83+N87+N93+N94+N97+N100+N103+N109+N114+N117+N121+N126</f>
        <v>44561.120000000003</v>
      </c>
      <c r="O80" s="47">
        <f>O83+O87+O93+O94+O97+O100+O103+O109+O114+O117+O121+O126</f>
        <v>26487.67</v>
      </c>
      <c r="P80" s="47">
        <f>P83+P87+P93+P94+P97+P100+P103+P109+P114+P117+P121+P126</f>
        <v>42150.159999999996</v>
      </c>
      <c r="Q80" s="47">
        <f>Q83+Q87+Q93+Q94+Q97+Q100+Q103+Q109+Q114+Q117+Q121+Q126</f>
        <v>40</v>
      </c>
      <c r="R80" s="47">
        <f t="shared" ref="R80:Y80" si="55">R83+R87+R93+R94+R97+R100+R103+R109+R114+R117+R121+R126</f>
        <v>11372.53</v>
      </c>
      <c r="S80" s="47">
        <f t="shared" si="55"/>
        <v>11789.196</v>
      </c>
      <c r="T80" s="47">
        <f t="shared" si="55"/>
        <v>17105.953000000001</v>
      </c>
      <c r="U80" s="47">
        <f t="shared" si="55"/>
        <v>16853.532999999999</v>
      </c>
      <c r="V80" s="47">
        <f t="shared" si="55"/>
        <v>1876.1869999999999</v>
      </c>
      <c r="W80" s="47">
        <f t="shared" si="55"/>
        <v>1916.0429999999999</v>
      </c>
      <c r="X80" s="47">
        <f t="shared" si="55"/>
        <v>0</v>
      </c>
      <c r="Y80" s="47">
        <f t="shared" si="55"/>
        <v>0</v>
      </c>
      <c r="Z80" s="96"/>
      <c r="AA80" s="47">
        <f>AA83+AA87+AA93+AA94+AA97+AA100+AA103+AA109+AA114+AA117+AA121+AA126</f>
        <v>40</v>
      </c>
      <c r="AB80" s="47">
        <f>AB83+AB87+AB93+AB94+AB97+AB100+AB103+AB109+AB114+AB117+AB121+AB126</f>
        <v>40.5</v>
      </c>
      <c r="AC80" s="47">
        <f>AC83+AC87+AC93+AC94+AC97+AC100+AC103+AC109+AC114+AC117+AC121+AC126</f>
        <v>907.08299999999997</v>
      </c>
      <c r="AD80" s="47">
        <f>AD83+AD87+AD93+AD94+AD97+AD100+AD103+AD109+AD114+AD117+AD121+AD126</f>
        <v>2805.3339999999998</v>
      </c>
      <c r="AE80" s="47">
        <f>AE83+AE87+AE93+AE94+AE97+AE100+AE103+AE109+AE114+AE117+AE121+AE126</f>
        <v>0</v>
      </c>
      <c r="AF80" s="47">
        <f t="shared" ref="AF80:AO80" si="56">AF83+AF87+AF93</f>
        <v>0</v>
      </c>
      <c r="AG80" s="47">
        <f t="shared" si="56"/>
        <v>0</v>
      </c>
      <c r="AH80" s="47">
        <f t="shared" si="56"/>
        <v>0</v>
      </c>
      <c r="AI80" s="47">
        <f t="shared" si="56"/>
        <v>0</v>
      </c>
      <c r="AJ80" s="47">
        <f>AJ83+AJ87+AJ93+AJ126</f>
        <v>0</v>
      </c>
      <c r="AK80" s="47">
        <f t="shared" si="56"/>
        <v>4789.3900000000003</v>
      </c>
      <c r="AL80" s="47">
        <f t="shared" si="56"/>
        <v>4789.3900000000003</v>
      </c>
      <c r="AM80" s="47" t="e">
        <f t="shared" si="56"/>
        <v>#DIV/0!</v>
      </c>
      <c r="AN80" s="47">
        <f t="shared" si="56"/>
        <v>0</v>
      </c>
      <c r="AO80" s="47">
        <f t="shared" si="56"/>
        <v>0</v>
      </c>
      <c r="AP80" s="397"/>
      <c r="AQ80" s="96"/>
    </row>
    <row r="81" spans="1:43" ht="27" hidden="1" customHeight="1" x14ac:dyDescent="0.25">
      <c r="A81" s="1333"/>
      <c r="B81" s="1616"/>
      <c r="C81" s="1617"/>
      <c r="D81" s="1617"/>
      <c r="E81" s="1617"/>
      <c r="F81" s="1617"/>
      <c r="G81" s="1617"/>
      <c r="H81" s="1618"/>
      <c r="I81" s="23" t="s">
        <v>10</v>
      </c>
      <c r="J81" s="1306">
        <f>L81</f>
        <v>0</v>
      </c>
      <c r="K81" s="1306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ht="27" hidden="1" customHeight="1" x14ac:dyDescent="0.25">
      <c r="A82" s="1334"/>
      <c r="B82" s="1619"/>
      <c r="C82" s="1620"/>
      <c r="D82" s="1620"/>
      <c r="E82" s="1620"/>
      <c r="F82" s="1620"/>
      <c r="G82" s="1620"/>
      <c r="H82" s="1621"/>
      <c r="I82" s="23" t="s">
        <v>9</v>
      </c>
      <c r="J82" s="1306">
        <f>L82</f>
        <v>0</v>
      </c>
      <c r="K82" s="1306">
        <v>0</v>
      </c>
      <c r="L82" s="47">
        <f>M82+N82+O82</f>
        <v>0</v>
      </c>
      <c r="M82" s="47">
        <v>0</v>
      </c>
      <c r="N82" s="47">
        <v>0</v>
      </c>
      <c r="O82" s="47">
        <v>0</v>
      </c>
      <c r="P82" s="47">
        <v>0</v>
      </c>
      <c r="Q82" s="47">
        <v>0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47">
        <v>0</v>
      </c>
      <c r="X82" s="47">
        <v>0</v>
      </c>
      <c r="Y82" s="47">
        <v>0</v>
      </c>
      <c r="Z82" s="96"/>
      <c r="AA82" s="47">
        <v>0</v>
      </c>
      <c r="AB82" s="47">
        <v>0</v>
      </c>
      <c r="AC82" s="47">
        <v>0</v>
      </c>
      <c r="AD82" s="47">
        <v>0</v>
      </c>
      <c r="AE82" s="47">
        <v>0</v>
      </c>
      <c r="AF82" s="47">
        <v>0</v>
      </c>
      <c r="AG82" s="47">
        <v>0</v>
      </c>
      <c r="AH82" s="47">
        <v>0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47">
        <v>0</v>
      </c>
      <c r="AP82" s="397"/>
      <c r="AQ82" s="96"/>
    </row>
    <row r="83" spans="1:43" s="327" customFormat="1" ht="27.75" customHeight="1" x14ac:dyDescent="0.25">
      <c r="A83" s="1372" t="s">
        <v>57</v>
      </c>
      <c r="B83" s="780" t="s">
        <v>200</v>
      </c>
      <c r="C83" s="1296"/>
      <c r="D83" s="1296"/>
      <c r="E83" s="1296"/>
      <c r="F83" s="1296"/>
      <c r="G83" s="1296">
        <v>2019</v>
      </c>
      <c r="H83" s="1296">
        <v>2019</v>
      </c>
      <c r="I83" s="1326" t="s">
        <v>20</v>
      </c>
      <c r="J83" s="3">
        <f>L83</f>
        <v>30833.33</v>
      </c>
      <c r="K83" s="3"/>
      <c r="L83" s="3">
        <f t="shared" ref="L83:AC83" si="57">L84</f>
        <v>30833.33</v>
      </c>
      <c r="M83" s="3">
        <f t="shared" si="57"/>
        <v>20000</v>
      </c>
      <c r="N83" s="3">
        <f t="shared" si="57"/>
        <v>9151.41</v>
      </c>
      <c r="O83" s="3">
        <f t="shared" si="57"/>
        <v>0</v>
      </c>
      <c r="P83" s="3">
        <v>0</v>
      </c>
      <c r="Q83" s="3">
        <f t="shared" si="57"/>
        <v>0</v>
      </c>
      <c r="R83" s="3">
        <f t="shared" si="57"/>
        <v>0</v>
      </c>
      <c r="S83" s="3">
        <f t="shared" si="57"/>
        <v>0</v>
      </c>
      <c r="T83" s="3">
        <f t="shared" si="57"/>
        <v>0</v>
      </c>
      <c r="U83" s="3">
        <f t="shared" si="57"/>
        <v>0</v>
      </c>
      <c r="V83" s="3">
        <f t="shared" si="57"/>
        <v>0</v>
      </c>
      <c r="W83" s="3">
        <f t="shared" si="57"/>
        <v>0</v>
      </c>
      <c r="X83" s="3">
        <f t="shared" si="57"/>
        <v>0</v>
      </c>
      <c r="Y83" s="3">
        <f t="shared" si="57"/>
        <v>0</v>
      </c>
      <c r="Z83" s="95">
        <v>0</v>
      </c>
      <c r="AA83" s="3">
        <f t="shared" si="57"/>
        <v>0</v>
      </c>
      <c r="AB83" s="3">
        <f t="shared" si="57"/>
        <v>0</v>
      </c>
      <c r="AC83" s="3">
        <f t="shared" si="57"/>
        <v>0</v>
      </c>
      <c r="AD83" s="3">
        <f>AD84</f>
        <v>0</v>
      </c>
      <c r="AE83" s="3">
        <f t="shared" ref="AE83:AJ83" si="58">AE84</f>
        <v>0</v>
      </c>
      <c r="AF83" s="3">
        <f t="shared" si="58"/>
        <v>0</v>
      </c>
      <c r="AG83" s="3">
        <f t="shared" si="58"/>
        <v>0</v>
      </c>
      <c r="AH83" s="3">
        <f t="shared" si="58"/>
        <v>0</v>
      </c>
      <c r="AI83" s="3">
        <f t="shared" si="58"/>
        <v>0</v>
      </c>
      <c r="AJ83" s="3">
        <f t="shared" si="58"/>
        <v>0</v>
      </c>
      <c r="AK83" s="3">
        <v>0</v>
      </c>
      <c r="AL83" s="3">
        <f>AK83</f>
        <v>0</v>
      </c>
      <c r="AM83" s="318" t="e">
        <f>ROUND((Q83*100%/P83*100),2)</f>
        <v>#DIV/0!</v>
      </c>
      <c r="AN83" s="3">
        <v>0</v>
      </c>
      <c r="AO83" s="3">
        <v>0</v>
      </c>
      <c r="AP83" s="633" t="s">
        <v>273</v>
      </c>
      <c r="AQ83" s="95">
        <v>0</v>
      </c>
    </row>
    <row r="84" spans="1:43" ht="14.25" hidden="1" customHeight="1" x14ac:dyDescent="0.25">
      <c r="A84" s="1383"/>
      <c r="B84" s="1" t="s">
        <v>201</v>
      </c>
      <c r="C84" s="1272"/>
      <c r="D84" s="1272"/>
      <c r="E84" s="1272"/>
      <c r="F84" s="1272"/>
      <c r="G84" s="1291"/>
      <c r="H84" s="1291"/>
      <c r="I84" s="1639"/>
      <c r="J84" s="47"/>
      <c r="K84" s="47"/>
      <c r="L84" s="47">
        <v>30833.33</v>
      </c>
      <c r="M84" s="47">
        <v>20000</v>
      </c>
      <c r="N84" s="47">
        <v>9151.41</v>
      </c>
      <c r="O84" s="47">
        <v>0</v>
      </c>
      <c r="P84" s="47">
        <v>1681.92</v>
      </c>
      <c r="Q84" s="47">
        <f>SUM(Q85:Q86)</f>
        <v>0</v>
      </c>
      <c r="R84" s="47">
        <f>SUM(R85:R86)</f>
        <v>0</v>
      </c>
      <c r="S84" s="47">
        <f>SUM(S85:S86)</f>
        <v>0</v>
      </c>
      <c r="T84" s="47">
        <f t="shared" ref="T84:AC84" si="59">SUM(T85:T86)</f>
        <v>0</v>
      </c>
      <c r="U84" s="47">
        <f t="shared" si="59"/>
        <v>0</v>
      </c>
      <c r="V84" s="47">
        <f t="shared" si="59"/>
        <v>0</v>
      </c>
      <c r="W84" s="47">
        <f t="shared" si="59"/>
        <v>0</v>
      </c>
      <c r="X84" s="47">
        <f t="shared" si="59"/>
        <v>0</v>
      </c>
      <c r="Y84" s="47">
        <f t="shared" si="59"/>
        <v>0</v>
      </c>
      <c r="Z84" s="96"/>
      <c r="AA84" s="47">
        <f t="shared" si="59"/>
        <v>0</v>
      </c>
      <c r="AB84" s="47">
        <f t="shared" si="59"/>
        <v>0</v>
      </c>
      <c r="AC84" s="47">
        <f t="shared" si="59"/>
        <v>0</v>
      </c>
      <c r="AD84" s="47">
        <f>SUM(AD85:AD86)</f>
        <v>0</v>
      </c>
      <c r="AE84" s="47">
        <f t="shared" ref="AE84:AJ84" si="60">SUM(AE85:AE86)</f>
        <v>0</v>
      </c>
      <c r="AF84" s="47">
        <f t="shared" si="60"/>
        <v>0</v>
      </c>
      <c r="AG84" s="47">
        <f t="shared" si="60"/>
        <v>0</v>
      </c>
      <c r="AH84" s="47">
        <f t="shared" si="60"/>
        <v>0</v>
      </c>
      <c r="AI84" s="47">
        <f t="shared" si="60"/>
        <v>0</v>
      </c>
      <c r="AJ84" s="47">
        <f t="shared" si="60"/>
        <v>0</v>
      </c>
      <c r="AK84" s="47">
        <v>0</v>
      </c>
      <c r="AL84" s="47">
        <v>0</v>
      </c>
      <c r="AM84" s="4">
        <v>0</v>
      </c>
      <c r="AN84" s="47">
        <v>0</v>
      </c>
      <c r="AO84" s="47">
        <v>0</v>
      </c>
      <c r="AP84" s="397"/>
      <c r="AQ84" s="96"/>
    </row>
    <row r="85" spans="1:43" s="266" customFormat="1" ht="15.75" hidden="1" x14ac:dyDescent="0.25">
      <c r="A85" s="1285"/>
      <c r="B85" s="102"/>
      <c r="C85" s="262"/>
      <c r="D85" s="262"/>
      <c r="E85" s="262"/>
      <c r="F85" s="262"/>
      <c r="G85" s="104"/>
      <c r="H85" s="104"/>
      <c r="I85" s="1313"/>
      <c r="J85" s="96"/>
      <c r="K85" s="96"/>
      <c r="L85" s="96"/>
      <c r="M85" s="96"/>
      <c r="N85" s="96"/>
      <c r="O85" s="96"/>
      <c r="P85" s="47">
        <f>Q85</f>
        <v>0</v>
      </c>
      <c r="Q85" s="96">
        <f>S85+U85+W85+Y85</f>
        <v>0</v>
      </c>
      <c r="R85" s="96">
        <f>S85</f>
        <v>0</v>
      </c>
      <c r="S85" s="96">
        <v>0</v>
      </c>
      <c r="T85" s="96">
        <v>0</v>
      </c>
      <c r="U85" s="96">
        <v>0</v>
      </c>
      <c r="V85" s="96">
        <f>W85</f>
        <v>0</v>
      </c>
      <c r="W85" s="96">
        <v>0</v>
      </c>
      <c r="X85" s="96">
        <f>Y85</f>
        <v>0</v>
      </c>
      <c r="Y85" s="96">
        <v>0</v>
      </c>
      <c r="Z85" s="96"/>
      <c r="AA85" s="96">
        <f>AB85+AD85</f>
        <v>0</v>
      </c>
      <c r="AB85" s="96">
        <v>0</v>
      </c>
      <c r="AC85" s="96">
        <v>0</v>
      </c>
      <c r="AD85" s="96">
        <v>0</v>
      </c>
      <c r="AE85" s="96">
        <v>0</v>
      </c>
      <c r="AF85" s="96">
        <f>AG85+AH85+AI85</f>
        <v>0</v>
      </c>
      <c r="AG85" s="96"/>
      <c r="AH85" s="96"/>
      <c r="AI85" s="96">
        <v>0</v>
      </c>
      <c r="AJ85" s="96"/>
      <c r="AK85" s="96"/>
      <c r="AL85" s="96"/>
      <c r="AM85" s="268"/>
      <c r="AN85" s="96"/>
      <c r="AO85" s="96"/>
      <c r="AP85" s="405"/>
      <c r="AQ85" s="96"/>
    </row>
    <row r="86" spans="1:43" ht="14.25" hidden="1" customHeight="1" x14ac:dyDescent="0.25">
      <c r="A86" s="1285"/>
      <c r="B86" s="1"/>
      <c r="C86" s="1272"/>
      <c r="D86" s="1272"/>
      <c r="E86" s="1272"/>
      <c r="F86" s="1272"/>
      <c r="G86" s="1291"/>
      <c r="H86" s="1291"/>
      <c r="I86" s="1313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96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"/>
      <c r="AN86" s="47"/>
      <c r="AO86" s="47"/>
      <c r="AP86" s="397"/>
      <c r="AQ86" s="96"/>
    </row>
    <row r="87" spans="1:43" s="327" customFormat="1" ht="27" customHeight="1" x14ac:dyDescent="0.25">
      <c r="A87" s="787" t="s">
        <v>58</v>
      </c>
      <c r="B87" s="780" t="s">
        <v>87</v>
      </c>
      <c r="C87" s="1326"/>
      <c r="D87" s="1326"/>
      <c r="E87" s="1326"/>
      <c r="F87" s="1326"/>
      <c r="G87" s="1296"/>
      <c r="H87" s="1296"/>
      <c r="I87" s="1326" t="s">
        <v>20</v>
      </c>
      <c r="J87" s="3">
        <f t="shared" ref="J87:J92" si="61">L87</f>
        <v>20425.87</v>
      </c>
      <c r="K87" s="3"/>
      <c r="L87" s="3">
        <f>L88+L92</f>
        <v>20425.87</v>
      </c>
      <c r="M87" s="3">
        <f t="shared" ref="M87:AO87" si="62">M88+M92</f>
        <v>616.66</v>
      </c>
      <c r="N87" s="3">
        <f t="shared" si="62"/>
        <v>6665.55</v>
      </c>
      <c r="O87" s="3">
        <f t="shared" si="62"/>
        <v>4018.39</v>
      </c>
      <c r="P87" s="3">
        <f t="shared" si="62"/>
        <v>4809.3900000000003</v>
      </c>
      <c r="Q87" s="3">
        <f t="shared" si="62"/>
        <v>20</v>
      </c>
      <c r="R87" s="3">
        <f t="shared" si="62"/>
        <v>0</v>
      </c>
      <c r="S87" s="3">
        <f t="shared" si="62"/>
        <v>416.67</v>
      </c>
      <c r="T87" s="3">
        <f t="shared" si="62"/>
        <v>495.38399999999996</v>
      </c>
      <c r="U87" s="3">
        <f t="shared" si="62"/>
        <v>495.38399999999996</v>
      </c>
      <c r="V87" s="3">
        <f t="shared" si="62"/>
        <v>278.41000000000003</v>
      </c>
      <c r="W87" s="3">
        <f t="shared" si="62"/>
        <v>318.26600000000002</v>
      </c>
      <c r="X87" s="3">
        <f t="shared" si="62"/>
        <v>0</v>
      </c>
      <c r="Y87" s="3">
        <f t="shared" si="62"/>
        <v>0</v>
      </c>
      <c r="Z87" s="95">
        <v>0</v>
      </c>
      <c r="AA87" s="3">
        <f>AA88+AA92+AQ87</f>
        <v>20</v>
      </c>
      <c r="AB87" s="3">
        <f t="shared" si="62"/>
        <v>0</v>
      </c>
      <c r="AC87" s="3">
        <f t="shared" si="62"/>
        <v>907.08299999999997</v>
      </c>
      <c r="AD87" s="3">
        <f t="shared" si="62"/>
        <v>308.33300000000003</v>
      </c>
      <c r="AE87" s="3">
        <f t="shared" si="62"/>
        <v>0</v>
      </c>
      <c r="AF87" s="3">
        <f t="shared" si="62"/>
        <v>0</v>
      </c>
      <c r="AG87" s="3">
        <f t="shared" si="62"/>
        <v>0</v>
      </c>
      <c r="AH87" s="3">
        <f t="shared" si="62"/>
        <v>0</v>
      </c>
      <c r="AI87" s="3">
        <f t="shared" si="62"/>
        <v>0</v>
      </c>
      <c r="AJ87" s="3">
        <f t="shared" si="62"/>
        <v>0</v>
      </c>
      <c r="AK87" s="3">
        <f>P87-Q87</f>
        <v>4789.3900000000003</v>
      </c>
      <c r="AL87" s="3">
        <f>AK87</f>
        <v>4789.3900000000003</v>
      </c>
      <c r="AM87" s="318">
        <f>ROUND((Q87*100%/P87*100),2)</f>
        <v>0.42</v>
      </c>
      <c r="AN87" s="3">
        <f t="shared" si="62"/>
        <v>0</v>
      </c>
      <c r="AO87" s="3">
        <f t="shared" si="62"/>
        <v>0</v>
      </c>
      <c r="AP87" s="633" t="s">
        <v>243</v>
      </c>
      <c r="AQ87" s="95">
        <v>0</v>
      </c>
    </row>
    <row r="88" spans="1:43" ht="14.25" customHeight="1" x14ac:dyDescent="0.25">
      <c r="A88" s="44"/>
      <c r="B88" s="1" t="s">
        <v>15</v>
      </c>
      <c r="C88" s="1327"/>
      <c r="D88" s="1327"/>
      <c r="E88" s="1327"/>
      <c r="F88" s="1327"/>
      <c r="G88" s="1291">
        <v>2020</v>
      </c>
      <c r="H88" s="1291">
        <v>2020</v>
      </c>
      <c r="I88" s="1327"/>
      <c r="J88" s="47">
        <f t="shared" si="61"/>
        <v>7560.63</v>
      </c>
      <c r="K88" s="47"/>
      <c r="L88" s="47">
        <v>7560.63</v>
      </c>
      <c r="M88" s="47">
        <v>616.66</v>
      </c>
      <c r="N88" s="47">
        <v>6665.55</v>
      </c>
      <c r="O88" s="47">
        <v>0</v>
      </c>
      <c r="P88" s="47">
        <v>791.01</v>
      </c>
      <c r="Q88" s="47">
        <v>0</v>
      </c>
      <c r="R88" s="47">
        <f>R91+R89+R90</f>
        <v>0</v>
      </c>
      <c r="S88" s="47">
        <f>S91+S89+S90</f>
        <v>416.67</v>
      </c>
      <c r="T88" s="47">
        <f>T91+T89+T90</f>
        <v>495.38399999999996</v>
      </c>
      <c r="U88" s="47">
        <f>SUM(U89:U91)</f>
        <v>495.38399999999996</v>
      </c>
      <c r="V88" s="47">
        <f t="shared" ref="V88:AK88" si="63">V91+V89</f>
        <v>278.41000000000003</v>
      </c>
      <c r="W88" s="47">
        <f>W91+W89+W90</f>
        <v>318.26600000000002</v>
      </c>
      <c r="X88" s="47">
        <f t="shared" si="63"/>
        <v>0</v>
      </c>
      <c r="Y88" s="47">
        <f t="shared" si="63"/>
        <v>0</v>
      </c>
      <c r="Z88" s="96"/>
      <c r="AA88" s="47">
        <v>0</v>
      </c>
      <c r="AB88" s="47">
        <f t="shared" si="63"/>
        <v>0</v>
      </c>
      <c r="AC88" s="47">
        <f t="shared" si="63"/>
        <v>907.08299999999997</v>
      </c>
      <c r="AD88" s="47">
        <f t="shared" si="63"/>
        <v>308.33300000000003</v>
      </c>
      <c r="AE88" s="47">
        <f t="shared" si="63"/>
        <v>0</v>
      </c>
      <c r="AF88" s="47">
        <f t="shared" si="63"/>
        <v>0</v>
      </c>
      <c r="AG88" s="47">
        <f t="shared" si="63"/>
        <v>0</v>
      </c>
      <c r="AH88" s="47">
        <f t="shared" si="63"/>
        <v>0</v>
      </c>
      <c r="AI88" s="47">
        <f t="shared" si="63"/>
        <v>0</v>
      </c>
      <c r="AJ88" s="47">
        <f t="shared" si="63"/>
        <v>0</v>
      </c>
      <c r="AK88" s="47">
        <f t="shared" si="63"/>
        <v>0</v>
      </c>
      <c r="AL88" s="47">
        <v>0</v>
      </c>
      <c r="AM88" s="47">
        <v>0</v>
      </c>
      <c r="AN88" s="47">
        <v>0</v>
      </c>
      <c r="AO88" s="47">
        <v>0</v>
      </c>
      <c r="AP88" s="397"/>
      <c r="AQ88" s="96"/>
    </row>
    <row r="89" spans="1:43" s="266" customFormat="1" ht="19.5" hidden="1" customHeight="1" x14ac:dyDescent="0.25">
      <c r="A89" s="251"/>
      <c r="B89" s="102" t="s">
        <v>297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S89+U89+Y89+W89</f>
        <v>1215.42</v>
      </c>
      <c r="R89" s="96"/>
      <c r="S89" s="96">
        <v>416.67</v>
      </c>
      <c r="T89" s="96">
        <f>U89</f>
        <v>490.41699999999997</v>
      </c>
      <c r="U89" s="96">
        <v>490.41699999999997</v>
      </c>
      <c r="V89" s="96">
        <v>278.41000000000003</v>
      </c>
      <c r="W89" s="96">
        <v>308.33300000000003</v>
      </c>
      <c r="X89" s="96"/>
      <c r="Y89" s="96"/>
      <c r="Z89" s="96"/>
      <c r="AA89" s="96">
        <f>AC89+AD89</f>
        <v>1215.4159999999999</v>
      </c>
      <c r="AB89" s="96"/>
      <c r="AC89" s="96">
        <v>907.08299999999997</v>
      </c>
      <c r="AD89" s="96">
        <v>308.33300000000003</v>
      </c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9.5" hidden="1" customHeight="1" x14ac:dyDescent="0.25">
      <c r="A90" s="251"/>
      <c r="B90" s="102" t="s">
        <v>315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96"/>
      <c r="Q90" s="96">
        <f>U90+W90</f>
        <v>14.899999999999999</v>
      </c>
      <c r="R90" s="96"/>
      <c r="S90" s="96">
        <v>0</v>
      </c>
      <c r="T90" s="96">
        <f>U90</f>
        <v>4.9669999999999996</v>
      </c>
      <c r="U90" s="96">
        <v>4.9669999999999996</v>
      </c>
      <c r="V90" s="96"/>
      <c r="W90" s="96">
        <v>9.9329999999999998</v>
      </c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405"/>
      <c r="AQ90" s="96"/>
    </row>
    <row r="91" spans="1:43" s="266" customFormat="1" ht="16.5" hidden="1" customHeight="1" x14ac:dyDescent="0.25">
      <c r="A91" s="251"/>
      <c r="B91" s="102" t="s">
        <v>255</v>
      </c>
      <c r="C91" s="1327"/>
      <c r="D91" s="1327"/>
      <c r="E91" s="1327"/>
      <c r="F91" s="1327"/>
      <c r="G91" s="104"/>
      <c r="H91" s="104"/>
      <c r="I91" s="1327"/>
      <c r="J91" s="96"/>
      <c r="K91" s="96"/>
      <c r="L91" s="96"/>
      <c r="M91" s="96"/>
      <c r="N91" s="96"/>
      <c r="O91" s="96"/>
      <c r="P91" s="47">
        <v>0</v>
      </c>
      <c r="Q91" s="96">
        <f>S91+U91+Y91</f>
        <v>0</v>
      </c>
      <c r="R91" s="96">
        <f>S91</f>
        <v>0</v>
      </c>
      <c r="S91" s="96"/>
      <c r="T91" s="96"/>
      <c r="U91" s="96"/>
      <c r="V91" s="96"/>
      <c r="W91" s="96"/>
      <c r="X91" s="96"/>
      <c r="Y91" s="96">
        <v>0</v>
      </c>
      <c r="Z91" s="96"/>
      <c r="AA91" s="96">
        <f>AB91</f>
        <v>0</v>
      </c>
      <c r="AB91" s="96"/>
      <c r="AC91" s="96">
        <v>0</v>
      </c>
      <c r="AD91" s="96"/>
      <c r="AE91" s="96"/>
      <c r="AF91" s="96">
        <f>SUM(AG91:AG91)</f>
        <v>0</v>
      </c>
      <c r="AG91" s="96"/>
      <c r="AH91" s="96"/>
      <c r="AI91" s="96"/>
      <c r="AJ91" s="96"/>
      <c r="AK91" s="96">
        <v>0</v>
      </c>
      <c r="AL91" s="96">
        <v>0</v>
      </c>
      <c r="AM91" s="96">
        <v>0</v>
      </c>
      <c r="AN91" s="96">
        <v>0</v>
      </c>
      <c r="AO91" s="96">
        <v>0</v>
      </c>
      <c r="AP91" s="405"/>
      <c r="AQ91" s="96"/>
    </row>
    <row r="92" spans="1:43" ht="15.75" customHeight="1" x14ac:dyDescent="0.25">
      <c r="A92" s="44"/>
      <c r="B92" s="1" t="s">
        <v>16</v>
      </c>
      <c r="C92" s="1328"/>
      <c r="D92" s="1328"/>
      <c r="E92" s="1328"/>
      <c r="F92" s="1328"/>
      <c r="G92" s="1291">
        <v>2020</v>
      </c>
      <c r="H92" s="1291">
        <v>2020</v>
      </c>
      <c r="I92" s="1328"/>
      <c r="J92" s="47">
        <f t="shared" si="61"/>
        <v>12865.24</v>
      </c>
      <c r="K92" s="47"/>
      <c r="L92" s="47">
        <v>12865.24</v>
      </c>
      <c r="M92" s="47">
        <v>0</v>
      </c>
      <c r="N92" s="47">
        <v>0</v>
      </c>
      <c r="O92" s="47">
        <v>4018.39</v>
      </c>
      <c r="P92" s="47">
        <v>4018.38</v>
      </c>
      <c r="Q92" s="47">
        <f>Q93</f>
        <v>20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f>AA93</f>
        <v>20</v>
      </c>
      <c r="AB92" s="47">
        <v>0</v>
      </c>
      <c r="AC92" s="47">
        <v>0</v>
      </c>
      <c r="AD92" s="47">
        <v>0</v>
      </c>
      <c r="AE92" s="47"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397"/>
      <c r="AQ92" s="96"/>
    </row>
    <row r="93" spans="1:43" s="266" customFormat="1" ht="14.25" hidden="1" customHeight="1" x14ac:dyDescent="0.25">
      <c r="A93" s="251"/>
      <c r="B93" s="102" t="s">
        <v>478</v>
      </c>
      <c r="C93" s="104"/>
      <c r="D93" s="104"/>
      <c r="E93" s="104"/>
      <c r="F93" s="104"/>
      <c r="G93" s="104"/>
      <c r="H93" s="104"/>
      <c r="I93" s="368"/>
      <c r="J93" s="258"/>
      <c r="K93" s="96"/>
      <c r="L93" s="96"/>
      <c r="M93" s="96"/>
      <c r="N93" s="96"/>
      <c r="O93" s="96"/>
      <c r="P93" s="96"/>
      <c r="Q93" s="96">
        <v>20</v>
      </c>
      <c r="R93" s="96"/>
      <c r="S93" s="96"/>
      <c r="T93" s="96"/>
      <c r="U93" s="96"/>
      <c r="V93" s="96"/>
      <c r="W93" s="96"/>
      <c r="X93" s="96"/>
      <c r="Y93" s="96"/>
      <c r="Z93" s="96"/>
      <c r="AA93" s="96">
        <v>20</v>
      </c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268"/>
      <c r="AN93" s="96"/>
      <c r="AO93" s="96"/>
      <c r="AP93" s="405"/>
      <c r="AQ93" s="96"/>
    </row>
    <row r="94" spans="1:43" s="327" customFormat="1" ht="40.5" customHeight="1" x14ac:dyDescent="0.25">
      <c r="A94" s="1372" t="s">
        <v>278</v>
      </c>
      <c r="B94" s="772" t="s">
        <v>202</v>
      </c>
      <c r="C94" s="312"/>
      <c r="D94" s="312"/>
      <c r="E94" s="312"/>
      <c r="F94" s="312"/>
      <c r="G94" s="312"/>
      <c r="H94" s="1277"/>
      <c r="I94" s="1326" t="s">
        <v>20</v>
      </c>
      <c r="J94" s="1286"/>
      <c r="K94" s="3"/>
      <c r="L94" s="3">
        <f>L95</f>
        <v>4214.49</v>
      </c>
      <c r="M94" s="3">
        <f t="shared" ref="M94:AO95" si="64">M95</f>
        <v>0</v>
      </c>
      <c r="N94" s="3">
        <f t="shared" si="64"/>
        <v>3995.07</v>
      </c>
      <c r="O94" s="3">
        <f t="shared" si="64"/>
        <v>0</v>
      </c>
      <c r="P94" s="3">
        <v>0</v>
      </c>
      <c r="Q94" s="3">
        <v>0</v>
      </c>
      <c r="R94" s="3">
        <f t="shared" si="64"/>
        <v>0</v>
      </c>
      <c r="S94" s="3">
        <f t="shared" si="64"/>
        <v>0</v>
      </c>
      <c r="T94" s="3">
        <f t="shared" si="64"/>
        <v>219.42</v>
      </c>
      <c r="U94" s="3">
        <f t="shared" si="64"/>
        <v>537.85</v>
      </c>
      <c r="V94" s="3">
        <f t="shared" si="64"/>
        <v>0</v>
      </c>
      <c r="W94" s="3">
        <f t="shared" si="64"/>
        <v>0</v>
      </c>
      <c r="X94" s="3">
        <f t="shared" si="64"/>
        <v>0</v>
      </c>
      <c r="Y94" s="3">
        <f t="shared" si="64"/>
        <v>0</v>
      </c>
      <c r="Z94" s="95">
        <v>0</v>
      </c>
      <c r="AA94" s="3">
        <v>0</v>
      </c>
      <c r="AB94" s="3">
        <f t="shared" si="64"/>
        <v>0</v>
      </c>
      <c r="AC94" s="3">
        <f t="shared" si="64"/>
        <v>0</v>
      </c>
      <c r="AD94" s="3">
        <f t="shared" si="64"/>
        <v>537.85400000000004</v>
      </c>
      <c r="AE94" s="3">
        <f t="shared" si="64"/>
        <v>0</v>
      </c>
      <c r="AF94" s="3">
        <f t="shared" si="64"/>
        <v>0</v>
      </c>
      <c r="AG94" s="3">
        <f t="shared" si="64"/>
        <v>0</v>
      </c>
      <c r="AH94" s="3">
        <f t="shared" si="64"/>
        <v>0</v>
      </c>
      <c r="AI94" s="3">
        <f t="shared" si="64"/>
        <v>0</v>
      </c>
      <c r="AJ94" s="3">
        <f t="shared" si="64"/>
        <v>0</v>
      </c>
      <c r="AK94" s="3">
        <f t="shared" si="64"/>
        <v>0</v>
      </c>
      <c r="AL94" s="3">
        <f t="shared" si="64"/>
        <v>0</v>
      </c>
      <c r="AM94" s="3">
        <f t="shared" si="64"/>
        <v>0</v>
      </c>
      <c r="AN94" s="3">
        <f t="shared" si="64"/>
        <v>0</v>
      </c>
      <c r="AO94" s="3">
        <f t="shared" si="64"/>
        <v>0</v>
      </c>
      <c r="AP94" s="633" t="s">
        <v>244</v>
      </c>
      <c r="AQ94" s="95">
        <v>0</v>
      </c>
    </row>
    <row r="95" spans="1:43" ht="17.25" hidden="1" customHeight="1" x14ac:dyDescent="0.25">
      <c r="A95" s="1638"/>
      <c r="B95" s="42" t="s">
        <v>203</v>
      </c>
      <c r="C95" s="313"/>
      <c r="D95" s="313"/>
      <c r="E95" s="313"/>
      <c r="F95" s="313"/>
      <c r="G95" s="313"/>
      <c r="H95" s="1322"/>
      <c r="I95" s="1639"/>
      <c r="J95" s="1308"/>
      <c r="K95" s="47"/>
      <c r="L95" s="47">
        <v>4214.49</v>
      </c>
      <c r="M95" s="47">
        <v>0</v>
      </c>
      <c r="N95" s="47">
        <v>3995.07</v>
      </c>
      <c r="O95" s="47">
        <v>0</v>
      </c>
      <c r="P95" s="47">
        <v>219.42</v>
      </c>
      <c r="Q95" s="47">
        <f>Q96</f>
        <v>537.85</v>
      </c>
      <c r="R95" s="47">
        <f t="shared" si="64"/>
        <v>0</v>
      </c>
      <c r="S95" s="47">
        <f t="shared" si="64"/>
        <v>0</v>
      </c>
      <c r="T95" s="47">
        <f t="shared" si="64"/>
        <v>219.42</v>
      </c>
      <c r="U95" s="47">
        <f t="shared" si="64"/>
        <v>537.85</v>
      </c>
      <c r="V95" s="47">
        <f t="shared" si="64"/>
        <v>0</v>
      </c>
      <c r="W95" s="47">
        <f t="shared" si="64"/>
        <v>0</v>
      </c>
      <c r="X95" s="47">
        <f t="shared" si="64"/>
        <v>0</v>
      </c>
      <c r="Y95" s="47">
        <f t="shared" si="64"/>
        <v>0</v>
      </c>
      <c r="Z95" s="96"/>
      <c r="AA95" s="47">
        <f t="shared" si="64"/>
        <v>537.85400000000004</v>
      </c>
      <c r="AB95" s="47">
        <f t="shared" si="64"/>
        <v>0</v>
      </c>
      <c r="AC95" s="47">
        <f t="shared" si="64"/>
        <v>0</v>
      </c>
      <c r="AD95" s="47">
        <f t="shared" si="64"/>
        <v>537.85400000000004</v>
      </c>
      <c r="AE95" s="47">
        <f t="shared" si="64"/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397"/>
      <c r="AQ95" s="96"/>
    </row>
    <row r="96" spans="1:43" s="266" customFormat="1" ht="28.5" hidden="1" customHeight="1" x14ac:dyDescent="0.25">
      <c r="A96" s="1639"/>
      <c r="B96" s="252" t="s">
        <v>267</v>
      </c>
      <c r="C96" s="363"/>
      <c r="D96" s="363"/>
      <c r="E96" s="363"/>
      <c r="F96" s="363"/>
      <c r="G96" s="363"/>
      <c r="H96" s="364"/>
      <c r="I96" s="539"/>
      <c r="J96" s="258"/>
      <c r="K96" s="96"/>
      <c r="L96" s="96"/>
      <c r="M96" s="96"/>
      <c r="N96" s="96"/>
      <c r="O96" s="96"/>
      <c r="P96" s="96"/>
      <c r="Q96" s="96">
        <f>S96+U96</f>
        <v>537.85</v>
      </c>
      <c r="R96" s="96"/>
      <c r="S96" s="96"/>
      <c r="T96" s="96">
        <v>219.42</v>
      </c>
      <c r="U96" s="96">
        <f>ROUND((645.425/1.2),2)</f>
        <v>537.85</v>
      </c>
      <c r="V96" s="96"/>
      <c r="W96" s="96"/>
      <c r="X96" s="96"/>
      <c r="Y96" s="96"/>
      <c r="Z96" s="96"/>
      <c r="AA96" s="96">
        <f>AD96</f>
        <v>537.85400000000004</v>
      </c>
      <c r="AB96" s="96"/>
      <c r="AC96" s="96"/>
      <c r="AD96" s="96">
        <v>537.85400000000004</v>
      </c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405"/>
      <c r="AQ96" s="96"/>
    </row>
    <row r="97" spans="1:43" s="327" customFormat="1" ht="42.75" customHeight="1" x14ac:dyDescent="0.25">
      <c r="A97" s="1372" t="s">
        <v>279</v>
      </c>
      <c r="B97" s="772" t="s">
        <v>204</v>
      </c>
      <c r="C97" s="312"/>
      <c r="D97" s="312"/>
      <c r="E97" s="312"/>
      <c r="F97" s="312"/>
      <c r="G97" s="312"/>
      <c r="H97" s="1277"/>
      <c r="I97" s="1326" t="s">
        <v>20</v>
      </c>
      <c r="J97" s="1286"/>
      <c r="K97" s="3"/>
      <c r="L97" s="3">
        <f>L98</f>
        <v>3214.56</v>
      </c>
      <c r="M97" s="3">
        <f t="shared" ref="M97:AO98" si="65">M98</f>
        <v>0</v>
      </c>
      <c r="N97" s="3">
        <f t="shared" si="65"/>
        <v>2956.68</v>
      </c>
      <c r="O97" s="3">
        <f t="shared" si="65"/>
        <v>0</v>
      </c>
      <c r="P97" s="3">
        <v>0</v>
      </c>
      <c r="Q97" s="3">
        <v>0</v>
      </c>
      <c r="R97" s="3">
        <f t="shared" si="65"/>
        <v>0</v>
      </c>
      <c r="S97" s="3">
        <f t="shared" si="65"/>
        <v>0</v>
      </c>
      <c r="T97" s="3">
        <f t="shared" si="65"/>
        <v>0</v>
      </c>
      <c r="U97" s="3">
        <f t="shared" si="65"/>
        <v>409.15</v>
      </c>
      <c r="V97" s="3">
        <f t="shared" si="65"/>
        <v>0</v>
      </c>
      <c r="W97" s="3">
        <f t="shared" si="65"/>
        <v>0</v>
      </c>
      <c r="X97" s="3">
        <f t="shared" si="65"/>
        <v>0</v>
      </c>
      <c r="Y97" s="3">
        <f t="shared" si="65"/>
        <v>0</v>
      </c>
      <c r="Z97" s="95">
        <v>0</v>
      </c>
      <c r="AA97" s="3">
        <v>0</v>
      </c>
      <c r="AB97" s="3">
        <f t="shared" si="65"/>
        <v>0</v>
      </c>
      <c r="AC97" s="3">
        <f t="shared" si="65"/>
        <v>0</v>
      </c>
      <c r="AD97" s="3">
        <f t="shared" si="65"/>
        <v>409.14699999999999</v>
      </c>
      <c r="AE97" s="3">
        <f t="shared" si="65"/>
        <v>0</v>
      </c>
      <c r="AF97" s="3">
        <f>AF98</f>
        <v>0</v>
      </c>
      <c r="AG97" s="3">
        <f t="shared" si="65"/>
        <v>0</v>
      </c>
      <c r="AH97" s="3">
        <f t="shared" si="65"/>
        <v>0</v>
      </c>
      <c r="AI97" s="3">
        <f t="shared" si="65"/>
        <v>0</v>
      </c>
      <c r="AJ97" s="3">
        <f t="shared" si="65"/>
        <v>0</v>
      </c>
      <c r="AK97" s="3">
        <f t="shared" si="65"/>
        <v>0</v>
      </c>
      <c r="AL97" s="3">
        <f t="shared" si="65"/>
        <v>0</v>
      </c>
      <c r="AM97" s="3">
        <f t="shared" si="65"/>
        <v>0</v>
      </c>
      <c r="AN97" s="3">
        <f t="shared" si="65"/>
        <v>0</v>
      </c>
      <c r="AO97" s="3">
        <f t="shared" si="65"/>
        <v>0</v>
      </c>
      <c r="AP97" s="633" t="s">
        <v>244</v>
      </c>
      <c r="AQ97" s="95">
        <v>0</v>
      </c>
    </row>
    <row r="98" spans="1:43" ht="17.25" hidden="1" customHeight="1" x14ac:dyDescent="0.25">
      <c r="A98" s="1382"/>
      <c r="B98" s="42" t="s">
        <v>203</v>
      </c>
      <c r="C98" s="313"/>
      <c r="D98" s="313"/>
      <c r="E98" s="313"/>
      <c r="F98" s="313"/>
      <c r="G98" s="313"/>
      <c r="H98" s="1322"/>
      <c r="I98" s="1639"/>
      <c r="J98" s="1308"/>
      <c r="K98" s="47"/>
      <c r="L98" s="47">
        <v>3214.56</v>
      </c>
      <c r="M98" s="47">
        <v>0</v>
      </c>
      <c r="N98" s="47">
        <v>2956.68</v>
      </c>
      <c r="O98" s="47">
        <v>0</v>
      </c>
      <c r="P98" s="47">
        <v>257.88</v>
      </c>
      <c r="Q98" s="47">
        <f>Q99</f>
        <v>409.15</v>
      </c>
      <c r="R98" s="47">
        <f t="shared" si="65"/>
        <v>0</v>
      </c>
      <c r="S98" s="47">
        <f t="shared" si="65"/>
        <v>0</v>
      </c>
      <c r="T98" s="47">
        <f t="shared" si="65"/>
        <v>0</v>
      </c>
      <c r="U98" s="47">
        <f t="shared" si="65"/>
        <v>409.15</v>
      </c>
      <c r="V98" s="47">
        <f t="shared" si="65"/>
        <v>0</v>
      </c>
      <c r="W98" s="47">
        <f t="shared" si="65"/>
        <v>0</v>
      </c>
      <c r="X98" s="47">
        <f t="shared" si="65"/>
        <v>0</v>
      </c>
      <c r="Y98" s="47">
        <f t="shared" si="65"/>
        <v>0</v>
      </c>
      <c r="Z98" s="96"/>
      <c r="AA98" s="47">
        <f t="shared" si="65"/>
        <v>409.14699999999999</v>
      </c>
      <c r="AB98" s="47">
        <f t="shared" si="65"/>
        <v>0</v>
      </c>
      <c r="AC98" s="47">
        <f t="shared" si="65"/>
        <v>0</v>
      </c>
      <c r="AD98" s="47">
        <f t="shared" si="65"/>
        <v>409.14699999999999</v>
      </c>
      <c r="AE98" s="47">
        <v>0</v>
      </c>
      <c r="AF98" s="47">
        <v>0</v>
      </c>
      <c r="AG98" s="47">
        <v>0</v>
      </c>
      <c r="AH98" s="47">
        <v>0</v>
      </c>
      <c r="AI98" s="47">
        <v>0</v>
      </c>
      <c r="AJ98" s="47">
        <v>0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397"/>
      <c r="AQ98" s="96"/>
    </row>
    <row r="99" spans="1:43" s="266" customFormat="1" ht="27.75" hidden="1" customHeight="1" x14ac:dyDescent="0.25">
      <c r="A99" s="1639"/>
      <c r="B99" s="252" t="s">
        <v>267</v>
      </c>
      <c r="C99" s="363"/>
      <c r="D99" s="363"/>
      <c r="E99" s="363"/>
      <c r="F99" s="363"/>
      <c r="G99" s="363"/>
      <c r="H99" s="364"/>
      <c r="I99" s="539"/>
      <c r="J99" s="258"/>
      <c r="K99" s="96"/>
      <c r="L99" s="96"/>
      <c r="M99" s="96"/>
      <c r="N99" s="96"/>
      <c r="O99" s="96"/>
      <c r="P99" s="96"/>
      <c r="Q99" s="96">
        <f>S99+U99</f>
        <v>409.15</v>
      </c>
      <c r="R99" s="96"/>
      <c r="S99" s="96"/>
      <c r="T99" s="96"/>
      <c r="U99" s="96">
        <f>ROUND((490.979/1.2),2)</f>
        <v>409.15</v>
      </c>
      <c r="V99" s="96"/>
      <c r="W99" s="96"/>
      <c r="X99" s="96"/>
      <c r="Y99" s="96"/>
      <c r="Z99" s="96"/>
      <c r="AA99" s="96">
        <f>AD99</f>
        <v>409.14699999999999</v>
      </c>
      <c r="AB99" s="96"/>
      <c r="AC99" s="96"/>
      <c r="AD99" s="96">
        <v>409.14699999999999</v>
      </c>
      <c r="AE99" s="96"/>
      <c r="AF99" s="96"/>
      <c r="AG99" s="96"/>
      <c r="AH99" s="96"/>
      <c r="AI99" s="96"/>
      <c r="AJ99" s="96"/>
      <c r="AK99" s="96"/>
      <c r="AL99" s="96"/>
      <c r="AM99" s="268"/>
      <c r="AN99" s="96"/>
      <c r="AO99" s="96"/>
      <c r="AP99" s="405"/>
      <c r="AQ99" s="96"/>
    </row>
    <row r="100" spans="1:43" s="327" customFormat="1" ht="41.25" customHeight="1" x14ac:dyDescent="0.25">
      <c r="A100" s="1372" t="s">
        <v>159</v>
      </c>
      <c r="B100" s="772" t="s">
        <v>326</v>
      </c>
      <c r="C100" s="312"/>
      <c r="D100" s="312"/>
      <c r="E100" s="312"/>
      <c r="F100" s="312"/>
      <c r="G100" s="312"/>
      <c r="H100" s="1277"/>
      <c r="I100" s="1326" t="s">
        <v>20</v>
      </c>
      <c r="J100" s="1286"/>
      <c r="K100" s="3"/>
      <c r="L100" s="3">
        <f>L101</f>
        <v>372.9</v>
      </c>
      <c r="M100" s="3">
        <f>M101</f>
        <v>0</v>
      </c>
      <c r="N100" s="3">
        <f t="shared" ref="N100:AO101" si="66">N101</f>
        <v>372.9</v>
      </c>
      <c r="O100" s="3">
        <f t="shared" si="66"/>
        <v>0</v>
      </c>
      <c r="P100" s="3">
        <f t="shared" si="66"/>
        <v>0</v>
      </c>
      <c r="Q100" s="3">
        <f t="shared" si="66"/>
        <v>0</v>
      </c>
      <c r="R100" s="3">
        <f t="shared" si="66"/>
        <v>0</v>
      </c>
      <c r="S100" s="3">
        <f t="shared" si="66"/>
        <v>0</v>
      </c>
      <c r="T100" s="3">
        <f t="shared" si="66"/>
        <v>0</v>
      </c>
      <c r="U100" s="3">
        <f t="shared" si="66"/>
        <v>0</v>
      </c>
      <c r="V100" s="3">
        <f t="shared" si="66"/>
        <v>0</v>
      </c>
      <c r="W100" s="3">
        <f t="shared" si="66"/>
        <v>0</v>
      </c>
      <c r="X100" s="3">
        <f t="shared" si="66"/>
        <v>0</v>
      </c>
      <c r="Y100" s="3">
        <f t="shared" si="66"/>
        <v>0</v>
      </c>
      <c r="Z100" s="95">
        <v>0</v>
      </c>
      <c r="AA100" s="3">
        <f t="shared" si="66"/>
        <v>0</v>
      </c>
      <c r="AB100" s="3">
        <f t="shared" si="66"/>
        <v>0</v>
      </c>
      <c r="AC100" s="3">
        <f t="shared" si="66"/>
        <v>0</v>
      </c>
      <c r="AD100" s="3">
        <f t="shared" si="66"/>
        <v>0</v>
      </c>
      <c r="AE100" s="3">
        <f t="shared" si="66"/>
        <v>0</v>
      </c>
      <c r="AF100" s="3">
        <f t="shared" si="66"/>
        <v>0</v>
      </c>
      <c r="AG100" s="3">
        <f t="shared" si="66"/>
        <v>0</v>
      </c>
      <c r="AH100" s="3">
        <f t="shared" si="66"/>
        <v>0</v>
      </c>
      <c r="AI100" s="3">
        <f t="shared" si="66"/>
        <v>0</v>
      </c>
      <c r="AJ100" s="3">
        <f t="shared" si="66"/>
        <v>0</v>
      </c>
      <c r="AK100" s="3">
        <f>P100-Q100</f>
        <v>0</v>
      </c>
      <c r="AL100" s="3">
        <f t="shared" si="66"/>
        <v>0</v>
      </c>
      <c r="AM100" s="318">
        <v>0</v>
      </c>
      <c r="AN100" s="3">
        <f t="shared" si="66"/>
        <v>0</v>
      </c>
      <c r="AO100" s="3">
        <f t="shared" si="66"/>
        <v>0</v>
      </c>
      <c r="AP100" s="633" t="s">
        <v>274</v>
      </c>
      <c r="AQ100" s="95">
        <v>0</v>
      </c>
    </row>
    <row r="101" spans="1:43" ht="17.25" hidden="1" customHeight="1" x14ac:dyDescent="0.25">
      <c r="A101" s="1383"/>
      <c r="B101" s="42" t="s">
        <v>203</v>
      </c>
      <c r="C101" s="313"/>
      <c r="D101" s="313"/>
      <c r="E101" s="313"/>
      <c r="F101" s="313"/>
      <c r="G101" s="313"/>
      <c r="H101" s="1322"/>
      <c r="I101" s="1639"/>
      <c r="J101" s="1308"/>
      <c r="K101" s="47"/>
      <c r="L101" s="47">
        <v>372.9</v>
      </c>
      <c r="M101" s="47">
        <v>0</v>
      </c>
      <c r="N101" s="47">
        <v>372.9</v>
      </c>
      <c r="O101" s="47">
        <v>0</v>
      </c>
      <c r="P101" s="47">
        <v>0</v>
      </c>
      <c r="Q101" s="47">
        <f>Q102</f>
        <v>0</v>
      </c>
      <c r="R101" s="47">
        <f t="shared" si="66"/>
        <v>0</v>
      </c>
      <c r="S101" s="47">
        <f t="shared" si="66"/>
        <v>0</v>
      </c>
      <c r="T101" s="47">
        <f t="shared" si="66"/>
        <v>0</v>
      </c>
      <c r="U101" s="47">
        <f t="shared" si="66"/>
        <v>0</v>
      </c>
      <c r="V101" s="47">
        <f t="shared" si="66"/>
        <v>0</v>
      </c>
      <c r="W101" s="47">
        <f t="shared" si="66"/>
        <v>0</v>
      </c>
      <c r="X101" s="47">
        <f t="shared" si="66"/>
        <v>0</v>
      </c>
      <c r="Y101" s="47">
        <f t="shared" si="66"/>
        <v>0</v>
      </c>
      <c r="Z101" s="96"/>
      <c r="AA101" s="47">
        <f t="shared" si="66"/>
        <v>0</v>
      </c>
      <c r="AB101" s="47">
        <f t="shared" si="66"/>
        <v>0</v>
      </c>
      <c r="AC101" s="47">
        <f t="shared" si="66"/>
        <v>0</v>
      </c>
      <c r="AD101" s="47">
        <f t="shared" si="66"/>
        <v>0</v>
      </c>
      <c r="AE101" s="47">
        <f t="shared" si="66"/>
        <v>0</v>
      </c>
      <c r="AF101" s="47">
        <f>AF102</f>
        <v>0</v>
      </c>
      <c r="AG101" s="47">
        <f t="shared" si="66"/>
        <v>0</v>
      </c>
      <c r="AH101" s="47">
        <f t="shared" si="66"/>
        <v>0</v>
      </c>
      <c r="AI101" s="47">
        <f t="shared" si="66"/>
        <v>0</v>
      </c>
      <c r="AJ101" s="47">
        <f t="shared" si="66"/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397"/>
      <c r="AQ101" s="96"/>
    </row>
    <row r="102" spans="1:43" s="266" customFormat="1" ht="17.25" hidden="1" customHeight="1" x14ac:dyDescent="0.25">
      <c r="A102" s="362"/>
      <c r="B102" s="252" t="s">
        <v>224</v>
      </c>
      <c r="C102" s="363"/>
      <c r="D102" s="363"/>
      <c r="E102" s="363"/>
      <c r="F102" s="363"/>
      <c r="G102" s="363"/>
      <c r="H102" s="364"/>
      <c r="I102" s="539"/>
      <c r="J102" s="258"/>
      <c r="K102" s="96"/>
      <c r="L102" s="96"/>
      <c r="M102" s="96"/>
      <c r="N102" s="96"/>
      <c r="O102" s="96"/>
      <c r="P102" s="47"/>
      <c r="Q102" s="96">
        <f>Y102</f>
        <v>0</v>
      </c>
      <c r="R102" s="96"/>
      <c r="S102" s="96"/>
      <c r="T102" s="96"/>
      <c r="U102" s="96"/>
      <c r="V102" s="96"/>
      <c r="W102" s="96"/>
      <c r="X102" s="96">
        <v>0</v>
      </c>
      <c r="Y102" s="96">
        <v>0</v>
      </c>
      <c r="Z102" s="96"/>
      <c r="AA102" s="96">
        <v>0</v>
      </c>
      <c r="AB102" s="96">
        <v>0</v>
      </c>
      <c r="AC102" s="96"/>
      <c r="AD102" s="96"/>
      <c r="AE102" s="96"/>
      <c r="AF102" s="96">
        <f>SUM(AG102:AG102)</f>
        <v>0</v>
      </c>
      <c r="AG102" s="96"/>
      <c r="AH102" s="96"/>
      <c r="AI102" s="96"/>
      <c r="AJ102" s="96"/>
      <c r="AK102" s="96"/>
      <c r="AL102" s="96"/>
      <c r="AM102" s="96"/>
      <c r="AN102" s="96"/>
      <c r="AO102" s="96"/>
      <c r="AP102" s="405"/>
      <c r="AQ102" s="96"/>
    </row>
    <row r="103" spans="1:43" s="327" customFormat="1" ht="41.25" customHeight="1" x14ac:dyDescent="0.25">
      <c r="A103" s="1372" t="s">
        <v>160</v>
      </c>
      <c r="B103" s="772" t="s">
        <v>163</v>
      </c>
      <c r="C103" s="312"/>
      <c r="D103" s="312"/>
      <c r="E103" s="312"/>
      <c r="F103" s="312"/>
      <c r="G103" s="312"/>
      <c r="H103" s="1277"/>
      <c r="I103" s="1326" t="s">
        <v>20</v>
      </c>
      <c r="J103" s="1286"/>
      <c r="K103" s="3"/>
      <c r="L103" s="3">
        <f>L104+L108</f>
        <v>5513.9</v>
      </c>
      <c r="M103" s="3">
        <f t="shared" ref="M103:AO103" si="67">M104+M108</f>
        <v>297.18</v>
      </c>
      <c r="N103" s="3">
        <f t="shared" si="67"/>
        <v>1639.84</v>
      </c>
      <c r="O103" s="3">
        <f t="shared" si="67"/>
        <v>0</v>
      </c>
      <c r="P103" s="3">
        <f t="shared" si="67"/>
        <v>0</v>
      </c>
      <c r="Q103" s="3">
        <f t="shared" si="67"/>
        <v>0</v>
      </c>
      <c r="R103" s="3">
        <f t="shared" si="67"/>
        <v>0</v>
      </c>
      <c r="S103" s="3">
        <f t="shared" si="67"/>
        <v>0</v>
      </c>
      <c r="T103" s="3">
        <f t="shared" si="67"/>
        <v>0</v>
      </c>
      <c r="U103" s="3">
        <f t="shared" si="67"/>
        <v>0</v>
      </c>
      <c r="V103" s="3">
        <f t="shared" si="67"/>
        <v>0</v>
      </c>
      <c r="W103" s="3">
        <f t="shared" si="67"/>
        <v>0</v>
      </c>
      <c r="X103" s="3">
        <f t="shared" si="67"/>
        <v>0</v>
      </c>
      <c r="Y103" s="3">
        <f t="shared" si="67"/>
        <v>0</v>
      </c>
      <c r="Z103" s="95">
        <v>0</v>
      </c>
      <c r="AA103" s="3">
        <f t="shared" si="67"/>
        <v>0</v>
      </c>
      <c r="AB103" s="3">
        <f t="shared" si="67"/>
        <v>0</v>
      </c>
      <c r="AC103" s="3">
        <f t="shared" si="67"/>
        <v>0</v>
      </c>
      <c r="AD103" s="3">
        <f t="shared" si="67"/>
        <v>0</v>
      </c>
      <c r="AE103" s="3">
        <f t="shared" si="67"/>
        <v>0</v>
      </c>
      <c r="AF103" s="3">
        <f t="shared" si="67"/>
        <v>0</v>
      </c>
      <c r="AG103" s="3">
        <f t="shared" si="67"/>
        <v>0</v>
      </c>
      <c r="AH103" s="3">
        <f>AH104+AH108</f>
        <v>0</v>
      </c>
      <c r="AI103" s="3">
        <f>AI104+AI108</f>
        <v>0</v>
      </c>
      <c r="AJ103" s="3">
        <f>AJ104+AJ108</f>
        <v>0</v>
      </c>
      <c r="AK103" s="3">
        <f>P103-Q103</f>
        <v>0</v>
      </c>
      <c r="AL103" s="3">
        <f t="shared" si="67"/>
        <v>0</v>
      </c>
      <c r="AM103" s="318">
        <v>0</v>
      </c>
      <c r="AN103" s="3">
        <f t="shared" si="67"/>
        <v>0</v>
      </c>
      <c r="AO103" s="3">
        <f t="shared" si="67"/>
        <v>0</v>
      </c>
      <c r="AP103" s="633" t="s">
        <v>256</v>
      </c>
      <c r="AQ103" s="95">
        <v>0</v>
      </c>
    </row>
    <row r="104" spans="1:43" ht="17.25" hidden="1" customHeight="1" x14ac:dyDescent="0.25">
      <c r="A104" s="1382"/>
      <c r="B104" s="42" t="s">
        <v>15</v>
      </c>
      <c r="C104" s="313"/>
      <c r="D104" s="313"/>
      <c r="E104" s="313"/>
      <c r="F104" s="313"/>
      <c r="G104" s="313"/>
      <c r="H104" s="1322"/>
      <c r="I104" s="1638"/>
      <c r="J104" s="1308"/>
      <c r="K104" s="47"/>
      <c r="L104" s="47">
        <v>594.36</v>
      </c>
      <c r="M104" s="47">
        <v>297.18</v>
      </c>
      <c r="N104" s="47">
        <v>0</v>
      </c>
      <c r="O104" s="47">
        <v>0</v>
      </c>
      <c r="P104" s="47">
        <f>N104</f>
        <v>0</v>
      </c>
      <c r="Q104" s="47">
        <f>SUM(Q105:Q107)</f>
        <v>0</v>
      </c>
      <c r="R104" s="47">
        <f t="shared" ref="R104:AJ104" si="68">SUM(R105:R107)</f>
        <v>0</v>
      </c>
      <c r="S104" s="47">
        <f>SUM(S105:S107)</f>
        <v>0</v>
      </c>
      <c r="T104" s="47">
        <f t="shared" si="68"/>
        <v>0</v>
      </c>
      <c r="U104" s="47">
        <f t="shared" si="68"/>
        <v>0</v>
      </c>
      <c r="V104" s="47">
        <f t="shared" si="68"/>
        <v>0</v>
      </c>
      <c r="W104" s="47">
        <f t="shared" si="68"/>
        <v>0</v>
      </c>
      <c r="X104" s="47">
        <v>0</v>
      </c>
      <c r="Y104" s="47">
        <f t="shared" si="68"/>
        <v>0</v>
      </c>
      <c r="Z104" s="96"/>
      <c r="AA104" s="47">
        <f t="shared" si="68"/>
        <v>0</v>
      </c>
      <c r="AB104" s="47">
        <f t="shared" si="68"/>
        <v>0</v>
      </c>
      <c r="AC104" s="47">
        <f t="shared" si="68"/>
        <v>0</v>
      </c>
      <c r="AD104" s="47">
        <f t="shared" si="68"/>
        <v>0</v>
      </c>
      <c r="AE104" s="47">
        <f t="shared" si="68"/>
        <v>0</v>
      </c>
      <c r="AF104" s="47">
        <f>SUM(AF105:AF107)</f>
        <v>0</v>
      </c>
      <c r="AG104" s="47">
        <f t="shared" si="68"/>
        <v>0</v>
      </c>
      <c r="AH104" s="47">
        <f t="shared" si="68"/>
        <v>0</v>
      </c>
      <c r="AI104" s="47">
        <f t="shared" si="68"/>
        <v>0</v>
      </c>
      <c r="AJ104" s="47">
        <f t="shared" si="68"/>
        <v>0</v>
      </c>
      <c r="AK104" s="47">
        <v>0</v>
      </c>
      <c r="AL104" s="47">
        <v>0</v>
      </c>
      <c r="AM104" s="47">
        <v>0</v>
      </c>
      <c r="AN104" s="47">
        <v>0</v>
      </c>
      <c r="AO104" s="47">
        <v>0</v>
      </c>
      <c r="AP104" s="397">
        <v>159.434</v>
      </c>
      <c r="AQ104" s="96"/>
    </row>
    <row r="105" spans="1:43" s="266" customFormat="1" ht="17.25" hidden="1" customHeight="1" x14ac:dyDescent="0.25">
      <c r="A105" s="1382"/>
      <c r="B105" s="252" t="s">
        <v>225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Y105</f>
        <v>0</v>
      </c>
      <c r="R105" s="96"/>
      <c r="S105" s="96"/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226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S106</f>
        <v>0</v>
      </c>
      <c r="R106" s="96">
        <f>S106</f>
        <v>0</v>
      </c>
      <c r="S106" s="96">
        <v>0</v>
      </c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f>AB106</f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s="266" customFormat="1" ht="17.25" hidden="1" customHeight="1" x14ac:dyDescent="0.25">
      <c r="A107" s="1382"/>
      <c r="B107" s="252" t="s">
        <v>227</v>
      </c>
      <c r="C107" s="363"/>
      <c r="D107" s="363"/>
      <c r="E107" s="363"/>
      <c r="F107" s="363"/>
      <c r="G107" s="363"/>
      <c r="H107" s="364"/>
      <c r="I107" s="1638"/>
      <c r="J107" s="258"/>
      <c r="K107" s="96"/>
      <c r="L107" s="96"/>
      <c r="M107" s="96"/>
      <c r="N107" s="96"/>
      <c r="O107" s="96"/>
      <c r="P107" s="47"/>
      <c r="Q107" s="96">
        <f>Y107</f>
        <v>0</v>
      </c>
      <c r="R107" s="96"/>
      <c r="S107" s="96"/>
      <c r="T107" s="96"/>
      <c r="U107" s="96"/>
      <c r="V107" s="96"/>
      <c r="W107" s="96"/>
      <c r="X107" s="96">
        <v>0</v>
      </c>
      <c r="Y107" s="96">
        <v>0</v>
      </c>
      <c r="Z107" s="96"/>
      <c r="AA107" s="96">
        <v>0</v>
      </c>
      <c r="AB107" s="96">
        <v>0</v>
      </c>
      <c r="AC107" s="96"/>
      <c r="AD107" s="96"/>
      <c r="AE107" s="96"/>
      <c r="AF107" s="96">
        <f>SUM(AG107:AG107)</f>
        <v>0</v>
      </c>
      <c r="AG107" s="96"/>
      <c r="AH107" s="96"/>
      <c r="AI107" s="96"/>
      <c r="AJ107" s="96"/>
      <c r="AK107" s="96"/>
      <c r="AL107" s="96"/>
      <c r="AM107" s="96"/>
      <c r="AN107" s="96"/>
      <c r="AO107" s="96"/>
      <c r="AP107" s="405"/>
      <c r="AQ107" s="96"/>
    </row>
    <row r="108" spans="1:43" ht="16.5" hidden="1" customHeight="1" x14ac:dyDescent="0.25">
      <c r="A108" s="1383"/>
      <c r="B108" s="42" t="s">
        <v>32</v>
      </c>
      <c r="C108" s="313"/>
      <c r="D108" s="313"/>
      <c r="E108" s="313"/>
      <c r="F108" s="313"/>
      <c r="G108" s="313"/>
      <c r="H108" s="1322"/>
      <c r="I108" s="1639"/>
      <c r="J108" s="1308"/>
      <c r="K108" s="47"/>
      <c r="L108" s="47">
        <v>4919.54</v>
      </c>
      <c r="M108" s="47">
        <v>0</v>
      </c>
      <c r="N108" s="47">
        <v>1639.84</v>
      </c>
      <c r="O108" s="47">
        <v>0</v>
      </c>
      <c r="P108" s="47">
        <v>0</v>
      </c>
      <c r="Q108" s="47">
        <v>0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47">
        <v>0</v>
      </c>
      <c r="X108" s="47">
        <v>0</v>
      </c>
      <c r="Y108" s="47">
        <v>0</v>
      </c>
      <c r="Z108" s="96"/>
      <c r="AA108" s="47">
        <v>0</v>
      </c>
      <c r="AB108" s="47">
        <v>0</v>
      </c>
      <c r="AC108" s="47">
        <v>0</v>
      </c>
      <c r="AD108" s="47">
        <v>0</v>
      </c>
      <c r="AE108" s="47">
        <v>0</v>
      </c>
      <c r="AF108" s="47">
        <v>0</v>
      </c>
      <c r="AG108" s="47">
        <v>0</v>
      </c>
      <c r="AH108" s="47">
        <v>0</v>
      </c>
      <c r="AI108" s="47">
        <v>0</v>
      </c>
      <c r="AJ108" s="47">
        <v>0</v>
      </c>
      <c r="AK108" s="47">
        <v>0</v>
      </c>
      <c r="AL108" s="47">
        <v>0</v>
      </c>
      <c r="AM108" s="47">
        <v>0</v>
      </c>
      <c r="AN108" s="47">
        <v>0</v>
      </c>
      <c r="AO108" s="47">
        <v>0</v>
      </c>
      <c r="AP108" s="397">
        <v>1639.8466699999999</v>
      </c>
      <c r="AQ108" s="96"/>
    </row>
    <row r="109" spans="1:43" s="327" customFormat="1" ht="40.5" customHeight="1" x14ac:dyDescent="0.25">
      <c r="A109" s="1372" t="s">
        <v>162</v>
      </c>
      <c r="B109" s="772" t="s">
        <v>166</v>
      </c>
      <c r="C109" s="312"/>
      <c r="D109" s="312"/>
      <c r="E109" s="312"/>
      <c r="F109" s="312"/>
      <c r="G109" s="312"/>
      <c r="H109" s="1277"/>
      <c r="I109" s="1326" t="s">
        <v>20</v>
      </c>
      <c r="J109" s="1286"/>
      <c r="K109" s="3"/>
      <c r="L109" s="3">
        <f>L110+L113</f>
        <v>94875.549999999988</v>
      </c>
      <c r="M109" s="3">
        <f t="shared" ref="M109:AO109" si="69">M110+M113</f>
        <v>2761.44</v>
      </c>
      <c r="N109" s="3">
        <f t="shared" si="69"/>
        <v>9629.67</v>
      </c>
      <c r="O109" s="3">
        <f t="shared" si="69"/>
        <v>22469.279999999999</v>
      </c>
      <c r="P109" s="3">
        <f>P110+P112</f>
        <v>18622.57</v>
      </c>
      <c r="Q109" s="3">
        <f t="shared" si="69"/>
        <v>0</v>
      </c>
      <c r="R109" s="3">
        <f t="shared" si="69"/>
        <v>646.03</v>
      </c>
      <c r="S109" s="3">
        <f t="shared" si="69"/>
        <v>646.02599999999995</v>
      </c>
      <c r="T109" s="3">
        <f t="shared" si="69"/>
        <v>872.63599999999997</v>
      </c>
      <c r="U109" s="3">
        <f t="shared" si="69"/>
        <v>872.63599999999997</v>
      </c>
      <c r="V109" s="3">
        <f t="shared" si="69"/>
        <v>0</v>
      </c>
      <c r="W109" s="3">
        <f t="shared" si="69"/>
        <v>0</v>
      </c>
      <c r="X109" s="3">
        <f t="shared" si="69"/>
        <v>0</v>
      </c>
      <c r="Y109" s="3">
        <f t="shared" si="69"/>
        <v>0</v>
      </c>
      <c r="Z109" s="95">
        <v>0</v>
      </c>
      <c r="AA109" s="3">
        <f t="shared" si="69"/>
        <v>0</v>
      </c>
      <c r="AB109" s="3">
        <f t="shared" si="69"/>
        <v>0</v>
      </c>
      <c r="AC109" s="3">
        <f t="shared" si="69"/>
        <v>0</v>
      </c>
      <c r="AD109" s="3">
        <f t="shared" si="69"/>
        <v>0</v>
      </c>
      <c r="AE109" s="3">
        <f t="shared" si="69"/>
        <v>0</v>
      </c>
      <c r="AF109" s="3">
        <f t="shared" si="69"/>
        <v>0</v>
      </c>
      <c r="AG109" s="3">
        <f t="shared" si="69"/>
        <v>0</v>
      </c>
      <c r="AH109" s="3">
        <f t="shared" si="69"/>
        <v>0</v>
      </c>
      <c r="AI109" s="3">
        <f t="shared" si="69"/>
        <v>0</v>
      </c>
      <c r="AJ109" s="3">
        <f t="shared" si="69"/>
        <v>0</v>
      </c>
      <c r="AK109" s="3">
        <f>P109-Q109</f>
        <v>18622.57</v>
      </c>
      <c r="AL109" s="3">
        <f t="shared" si="69"/>
        <v>0</v>
      </c>
      <c r="AM109" s="318">
        <f>ROUND((Q109*100%/P109*100),2)</f>
        <v>0</v>
      </c>
      <c r="AN109" s="3">
        <f t="shared" si="69"/>
        <v>0</v>
      </c>
      <c r="AO109" s="3">
        <f t="shared" si="69"/>
        <v>0</v>
      </c>
      <c r="AP109" s="633" t="s">
        <v>256</v>
      </c>
      <c r="AQ109" s="95">
        <v>0</v>
      </c>
    </row>
    <row r="110" spans="1:43" ht="16.5" customHeight="1" x14ac:dyDescent="0.25">
      <c r="A110" s="1382"/>
      <c r="B110" s="42" t="s">
        <v>15</v>
      </c>
      <c r="C110" s="313"/>
      <c r="D110" s="313"/>
      <c r="E110" s="313"/>
      <c r="F110" s="313"/>
      <c r="G110" s="313"/>
      <c r="H110" s="1322"/>
      <c r="I110" s="1638"/>
      <c r="J110" s="1308"/>
      <c r="K110" s="47"/>
      <c r="L110" s="47">
        <v>5734.87</v>
      </c>
      <c r="M110" s="47">
        <v>2761.44</v>
      </c>
      <c r="N110" s="47">
        <v>105.99</v>
      </c>
      <c r="O110" s="47">
        <v>0</v>
      </c>
      <c r="P110" s="47">
        <v>0</v>
      </c>
      <c r="Q110" s="47">
        <v>0</v>
      </c>
      <c r="R110" s="47">
        <v>646.03</v>
      </c>
      <c r="S110" s="47">
        <f t="shared" ref="S110:AJ110" si="70">SUM(S111:S112)</f>
        <v>646.02599999999995</v>
      </c>
      <c r="T110" s="47">
        <f t="shared" si="70"/>
        <v>872.63599999999997</v>
      </c>
      <c r="U110" s="47">
        <f t="shared" si="70"/>
        <v>872.63599999999997</v>
      </c>
      <c r="V110" s="47">
        <f t="shared" si="70"/>
        <v>0</v>
      </c>
      <c r="W110" s="47">
        <f t="shared" si="70"/>
        <v>0</v>
      </c>
      <c r="X110" s="47">
        <v>0</v>
      </c>
      <c r="Y110" s="47">
        <f t="shared" si="70"/>
        <v>0</v>
      </c>
      <c r="Z110" s="96"/>
      <c r="AA110" s="47">
        <f t="shared" si="70"/>
        <v>0</v>
      </c>
      <c r="AB110" s="47">
        <f t="shared" si="70"/>
        <v>0</v>
      </c>
      <c r="AC110" s="47">
        <f t="shared" si="70"/>
        <v>0</v>
      </c>
      <c r="AD110" s="47">
        <f t="shared" si="70"/>
        <v>0</v>
      </c>
      <c r="AE110" s="47">
        <f t="shared" si="70"/>
        <v>0</v>
      </c>
      <c r="AF110" s="47">
        <f t="shared" si="70"/>
        <v>0</v>
      </c>
      <c r="AG110" s="47">
        <f t="shared" si="70"/>
        <v>0</v>
      </c>
      <c r="AH110" s="47">
        <f t="shared" si="70"/>
        <v>0</v>
      </c>
      <c r="AI110" s="47">
        <f t="shared" si="70"/>
        <v>0</v>
      </c>
      <c r="AJ110" s="47">
        <f t="shared" si="70"/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397"/>
      <c r="AQ110" s="96"/>
    </row>
    <row r="111" spans="1:43" s="266" customFormat="1" ht="16.5" hidden="1" customHeight="1" x14ac:dyDescent="0.25">
      <c r="A111" s="1382"/>
      <c r="B111" s="252" t="s">
        <v>268</v>
      </c>
      <c r="C111" s="363"/>
      <c r="D111" s="363"/>
      <c r="E111" s="363"/>
      <c r="F111" s="363"/>
      <c r="G111" s="363"/>
      <c r="H111" s="364"/>
      <c r="I111" s="1638"/>
      <c r="J111" s="258"/>
      <c r="K111" s="96"/>
      <c r="L111" s="47">
        <f>SUM(M111:O111)</f>
        <v>0</v>
      </c>
      <c r="M111" s="96"/>
      <c r="N111" s="96"/>
      <c r="O111" s="96"/>
      <c r="P111" s="47"/>
      <c r="Q111" s="96">
        <f>S111+U111</f>
        <v>1518.6619999999998</v>
      </c>
      <c r="R111" s="96">
        <v>0</v>
      </c>
      <c r="S111" s="96">
        <v>646.02599999999995</v>
      </c>
      <c r="T111" s="96">
        <f>U111</f>
        <v>872.63599999999997</v>
      </c>
      <c r="U111" s="96">
        <v>872.63599999999997</v>
      </c>
      <c r="V111" s="96"/>
      <c r="W111" s="96"/>
      <c r="X111" s="96">
        <v>0</v>
      </c>
      <c r="Y111" s="96">
        <v>0</v>
      </c>
      <c r="Z111" s="96"/>
      <c r="AA111" s="96">
        <v>0</v>
      </c>
      <c r="AB111" s="96">
        <v>0</v>
      </c>
      <c r="AC111" s="96"/>
      <c r="AD111" s="96"/>
      <c r="AE111" s="96">
        <v>0</v>
      </c>
      <c r="AF111" s="96">
        <f>SUM(AG111:AG111)</f>
        <v>0</v>
      </c>
      <c r="AG111" s="96"/>
      <c r="AH111" s="96"/>
      <c r="AI111" s="96"/>
      <c r="AJ111" s="96"/>
      <c r="AK111" s="96">
        <v>0</v>
      </c>
      <c r="AL111" s="96">
        <v>0</v>
      </c>
      <c r="AM111" s="96">
        <v>0</v>
      </c>
      <c r="AN111" s="96">
        <v>0</v>
      </c>
      <c r="AO111" s="96">
        <v>0</v>
      </c>
      <c r="AP111" s="405"/>
      <c r="AQ111" s="96"/>
    </row>
    <row r="112" spans="1:43" ht="16.5" customHeight="1" x14ac:dyDescent="0.25">
      <c r="A112" s="1382"/>
      <c r="B112" s="42" t="s">
        <v>32</v>
      </c>
      <c r="C112" s="313"/>
      <c r="D112" s="313"/>
      <c r="E112" s="313"/>
      <c r="F112" s="313"/>
      <c r="G112" s="313"/>
      <c r="H112" s="1322"/>
      <c r="I112" s="1638"/>
      <c r="J112" s="1308"/>
      <c r="K112" s="47"/>
      <c r="L112" s="47">
        <f>SUM(M112:O112)</f>
        <v>0</v>
      </c>
      <c r="M112" s="47"/>
      <c r="N112" s="47"/>
      <c r="O112" s="47"/>
      <c r="P112" s="47">
        <v>18622.57</v>
      </c>
      <c r="Q112" s="47">
        <v>0</v>
      </c>
      <c r="R112" s="47"/>
      <c r="S112" s="47"/>
      <c r="T112" s="47">
        <f>U112</f>
        <v>0</v>
      </c>
      <c r="U112" s="47">
        <v>0</v>
      </c>
      <c r="V112" s="47"/>
      <c r="W112" s="47"/>
      <c r="X112" s="47"/>
      <c r="Y112" s="47"/>
      <c r="Z112" s="47"/>
      <c r="AA112" s="47">
        <f>SUM(AB112:AD112)</f>
        <v>0</v>
      </c>
      <c r="AB112" s="47"/>
      <c r="AC112" s="47">
        <v>0</v>
      </c>
      <c r="AD112" s="47">
        <v>0</v>
      </c>
      <c r="AE112" s="47"/>
      <c r="AF112" s="47">
        <f>SUM(AG112:AG112)</f>
        <v>0</v>
      </c>
      <c r="AG112" s="47"/>
      <c r="AH112" s="47"/>
      <c r="AI112" s="47"/>
      <c r="AJ112" s="47"/>
      <c r="AK112" s="47"/>
      <c r="AL112" s="47"/>
      <c r="AM112" s="47"/>
      <c r="AN112" s="47"/>
      <c r="AO112" s="47"/>
      <c r="AP112" s="397"/>
      <c r="AQ112" s="47"/>
    </row>
    <row r="113" spans="1:45" ht="0.75" customHeight="1" x14ac:dyDescent="0.25">
      <c r="A113" s="1383"/>
      <c r="B113" s="42" t="s">
        <v>32</v>
      </c>
      <c r="C113" s="313"/>
      <c r="D113" s="313"/>
      <c r="E113" s="313"/>
      <c r="F113" s="313"/>
      <c r="G113" s="313"/>
      <c r="H113" s="1322"/>
      <c r="I113" s="1639"/>
      <c r="J113" s="1308"/>
      <c r="K113" s="47"/>
      <c r="L113" s="47">
        <v>89140.68</v>
      </c>
      <c r="M113" s="47">
        <v>0</v>
      </c>
      <c r="N113" s="47">
        <v>9523.68</v>
      </c>
      <c r="O113" s="47">
        <v>22469.279999999999</v>
      </c>
      <c r="P113" s="47">
        <v>2605.9899999999998</v>
      </c>
      <c r="Q113" s="47">
        <v>0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47">
        <v>0</v>
      </c>
      <c r="X113" s="47">
        <v>0</v>
      </c>
      <c r="Y113" s="47">
        <v>0</v>
      </c>
      <c r="Z113" s="96"/>
      <c r="AA113" s="47">
        <v>0</v>
      </c>
      <c r="AB113" s="47">
        <v>0</v>
      </c>
      <c r="AC113" s="47">
        <v>0</v>
      </c>
      <c r="AD113" s="47">
        <v>0</v>
      </c>
      <c r="AE113" s="47">
        <v>0</v>
      </c>
      <c r="AF113" s="47">
        <v>0</v>
      </c>
      <c r="AG113" s="47">
        <v>0</v>
      </c>
      <c r="AH113" s="47">
        <v>0</v>
      </c>
      <c r="AI113" s="47">
        <v>0</v>
      </c>
      <c r="AJ113" s="47">
        <v>0</v>
      </c>
      <c r="AK113" s="47">
        <v>0</v>
      </c>
      <c r="AL113" s="47">
        <v>0</v>
      </c>
      <c r="AM113" s="47">
        <v>0</v>
      </c>
      <c r="AN113" s="47">
        <v>0</v>
      </c>
      <c r="AO113" s="47">
        <v>0</v>
      </c>
      <c r="AP113" s="397"/>
      <c r="AQ113" s="96"/>
    </row>
    <row r="114" spans="1:45" s="327" customFormat="1" ht="52.5" customHeight="1" x14ac:dyDescent="0.25">
      <c r="A114" s="1372" t="s">
        <v>165</v>
      </c>
      <c r="B114" s="780" t="s">
        <v>280</v>
      </c>
      <c r="C114" s="312"/>
      <c r="D114" s="312"/>
      <c r="E114" s="312"/>
      <c r="F114" s="312"/>
      <c r="G114" s="312"/>
      <c r="H114" s="1277"/>
      <c r="I114" s="1326" t="s">
        <v>20</v>
      </c>
      <c r="J114" s="1286"/>
      <c r="K114" s="3"/>
      <c r="L114" s="3">
        <f>L115</f>
        <v>10177.64</v>
      </c>
      <c r="M114" s="3">
        <f>M115</f>
        <v>0</v>
      </c>
      <c r="N114" s="3">
        <f t="shared" ref="N114:AO118" si="71">N115</f>
        <v>0</v>
      </c>
      <c r="O114" s="3">
        <f t="shared" si="71"/>
        <v>0</v>
      </c>
      <c r="P114" s="3">
        <v>7317.14</v>
      </c>
      <c r="Q114" s="3">
        <v>0</v>
      </c>
      <c r="R114" s="3">
        <f t="shared" si="71"/>
        <v>40.5</v>
      </c>
      <c r="S114" s="3">
        <f t="shared" si="71"/>
        <v>40.5</v>
      </c>
      <c r="T114" s="3">
        <f t="shared" si="71"/>
        <v>0</v>
      </c>
      <c r="U114" s="3">
        <f t="shared" si="71"/>
        <v>0</v>
      </c>
      <c r="V114" s="3">
        <f t="shared" si="71"/>
        <v>0</v>
      </c>
      <c r="W114" s="3">
        <f t="shared" si="71"/>
        <v>0</v>
      </c>
      <c r="X114" s="3">
        <f t="shared" si="71"/>
        <v>0</v>
      </c>
      <c r="Y114" s="3">
        <f t="shared" si="71"/>
        <v>0</v>
      </c>
      <c r="Z114" s="95">
        <v>0</v>
      </c>
      <c r="AA114" s="3">
        <v>0</v>
      </c>
      <c r="AB114" s="3">
        <f t="shared" si="71"/>
        <v>40.5</v>
      </c>
      <c r="AC114" s="3">
        <f t="shared" si="71"/>
        <v>0</v>
      </c>
      <c r="AD114" s="3">
        <f t="shared" si="71"/>
        <v>0</v>
      </c>
      <c r="AE114" s="3">
        <f t="shared" si="71"/>
        <v>0</v>
      </c>
      <c r="AF114" s="3">
        <f t="shared" si="71"/>
        <v>0</v>
      </c>
      <c r="AG114" s="3">
        <f t="shared" si="71"/>
        <v>0</v>
      </c>
      <c r="AH114" s="3">
        <f t="shared" si="71"/>
        <v>0</v>
      </c>
      <c r="AI114" s="3">
        <f t="shared" si="71"/>
        <v>0</v>
      </c>
      <c r="AJ114" s="3">
        <f t="shared" si="71"/>
        <v>0</v>
      </c>
      <c r="AK114" s="3">
        <f>P114-Q114</f>
        <v>7317.14</v>
      </c>
      <c r="AL114" s="3">
        <f t="shared" si="71"/>
        <v>0</v>
      </c>
      <c r="AM114" s="3">
        <f t="shared" si="71"/>
        <v>0</v>
      </c>
      <c r="AN114" s="3">
        <f t="shared" si="71"/>
        <v>0</v>
      </c>
      <c r="AO114" s="3">
        <f t="shared" si="71"/>
        <v>0</v>
      </c>
      <c r="AP114" s="633"/>
      <c r="AQ114" s="95">
        <v>0</v>
      </c>
    </row>
    <row r="115" spans="1:45" ht="17.25" hidden="1" customHeight="1" x14ac:dyDescent="0.25">
      <c r="A115" s="1639"/>
      <c r="B115" s="42" t="s">
        <v>203</v>
      </c>
      <c r="C115" s="313"/>
      <c r="D115" s="313"/>
      <c r="E115" s="313"/>
      <c r="F115" s="313"/>
      <c r="G115" s="313"/>
      <c r="H115" s="1322"/>
      <c r="I115" s="1639"/>
      <c r="J115" s="1308"/>
      <c r="K115" s="47"/>
      <c r="L115" s="47">
        <v>10177.64</v>
      </c>
      <c r="M115" s="47">
        <v>0</v>
      </c>
      <c r="N115" s="47">
        <v>0</v>
      </c>
      <c r="O115" s="47">
        <v>0</v>
      </c>
      <c r="P115" s="47">
        <v>2591.96</v>
      </c>
      <c r="Q115" s="47">
        <f>Q116</f>
        <v>40.5</v>
      </c>
      <c r="R115" s="47">
        <f t="shared" si="71"/>
        <v>40.5</v>
      </c>
      <c r="S115" s="47">
        <f t="shared" si="71"/>
        <v>40.5</v>
      </c>
      <c r="T115" s="47">
        <f t="shared" si="71"/>
        <v>0</v>
      </c>
      <c r="U115" s="47">
        <f t="shared" si="71"/>
        <v>0</v>
      </c>
      <c r="V115" s="47">
        <f t="shared" si="71"/>
        <v>0</v>
      </c>
      <c r="W115" s="47">
        <f t="shared" si="71"/>
        <v>0</v>
      </c>
      <c r="X115" s="47">
        <f t="shared" si="71"/>
        <v>0</v>
      </c>
      <c r="Y115" s="47">
        <f t="shared" si="71"/>
        <v>0</v>
      </c>
      <c r="Z115" s="96"/>
      <c r="AA115" s="47">
        <f t="shared" si="71"/>
        <v>40.5</v>
      </c>
      <c r="AB115" s="47">
        <f t="shared" si="71"/>
        <v>40.5</v>
      </c>
      <c r="AC115" s="47">
        <f t="shared" si="71"/>
        <v>0</v>
      </c>
      <c r="AD115" s="47">
        <f t="shared" si="71"/>
        <v>0</v>
      </c>
      <c r="AE115" s="47">
        <f t="shared" si="71"/>
        <v>0</v>
      </c>
      <c r="AF115" s="47">
        <f t="shared" si="71"/>
        <v>0</v>
      </c>
      <c r="AG115" s="47">
        <f t="shared" si="71"/>
        <v>0</v>
      </c>
      <c r="AH115" s="47">
        <f t="shared" si="71"/>
        <v>0</v>
      </c>
      <c r="AI115" s="47">
        <f t="shared" si="71"/>
        <v>0</v>
      </c>
      <c r="AJ115" s="47">
        <f t="shared" si="71"/>
        <v>0</v>
      </c>
      <c r="AK115" s="47">
        <v>0</v>
      </c>
      <c r="AL115" s="47">
        <v>0</v>
      </c>
      <c r="AM115" s="47">
        <v>0</v>
      </c>
      <c r="AN115" s="47">
        <v>0</v>
      </c>
      <c r="AO115" s="47">
        <v>0</v>
      </c>
      <c r="AP115" s="397"/>
      <c r="AQ115" s="96"/>
    </row>
    <row r="116" spans="1:45" s="266" customFormat="1" ht="17.25" hidden="1" customHeight="1" x14ac:dyDescent="0.25">
      <c r="A116" s="539"/>
      <c r="B116" s="252" t="s">
        <v>298</v>
      </c>
      <c r="C116" s="363"/>
      <c r="D116" s="363"/>
      <c r="E116" s="363"/>
      <c r="F116" s="363"/>
      <c r="G116" s="363"/>
      <c r="H116" s="364"/>
      <c r="I116" s="539"/>
      <c r="J116" s="258"/>
      <c r="K116" s="96"/>
      <c r="L116" s="96"/>
      <c r="M116" s="96"/>
      <c r="N116" s="96"/>
      <c r="O116" s="96"/>
      <c r="P116" s="96"/>
      <c r="Q116" s="96">
        <f>S116</f>
        <v>40.5</v>
      </c>
      <c r="R116" s="96">
        <f>S116</f>
        <v>40.5</v>
      </c>
      <c r="S116" s="96">
        <v>40.5</v>
      </c>
      <c r="T116" s="96"/>
      <c r="U116" s="96"/>
      <c r="V116" s="96"/>
      <c r="W116" s="96"/>
      <c r="X116" s="96"/>
      <c r="Y116" s="96"/>
      <c r="Z116" s="96"/>
      <c r="AA116" s="96">
        <f>AB116</f>
        <v>40.5</v>
      </c>
      <c r="AB116" s="96">
        <v>40.5</v>
      </c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268"/>
      <c r="AN116" s="96"/>
      <c r="AO116" s="96"/>
      <c r="AP116" s="405"/>
      <c r="AQ116" s="96"/>
    </row>
    <row r="117" spans="1:45" s="327" customFormat="1" ht="27.75" customHeight="1" x14ac:dyDescent="0.25">
      <c r="A117" s="1372" t="s">
        <v>281</v>
      </c>
      <c r="B117" s="772" t="s">
        <v>284</v>
      </c>
      <c r="C117" s="312"/>
      <c r="D117" s="312"/>
      <c r="E117" s="312"/>
      <c r="F117" s="312"/>
      <c r="G117" s="312"/>
      <c r="H117" s="1277"/>
      <c r="I117" s="1326" t="s">
        <v>20</v>
      </c>
      <c r="J117" s="1286"/>
      <c r="K117" s="3"/>
      <c r="L117" s="3">
        <f>SUM(L118:L120)</f>
        <v>12294.88</v>
      </c>
      <c r="M117" s="3">
        <f>SUM(M118:M120)</f>
        <v>0</v>
      </c>
      <c r="N117" s="3">
        <f>SUM(N118:N120)</f>
        <v>0</v>
      </c>
      <c r="O117" s="3">
        <f>SUM(O118:O120)</f>
        <v>0</v>
      </c>
      <c r="P117" s="3">
        <f>SUM(P118:P120)</f>
        <v>11314.88</v>
      </c>
      <c r="Q117" s="3">
        <f t="shared" si="71"/>
        <v>0</v>
      </c>
      <c r="R117" s="3">
        <f t="shared" si="71"/>
        <v>686</v>
      </c>
      <c r="S117" s="3">
        <f t="shared" si="71"/>
        <v>686</v>
      </c>
      <c r="T117" s="3">
        <f t="shared" si="71"/>
        <v>294</v>
      </c>
      <c r="U117" s="3">
        <f t="shared" si="71"/>
        <v>294</v>
      </c>
      <c r="V117" s="3">
        <f t="shared" si="71"/>
        <v>0</v>
      </c>
      <c r="W117" s="3">
        <f t="shared" si="71"/>
        <v>0</v>
      </c>
      <c r="X117" s="3">
        <f t="shared" si="71"/>
        <v>0</v>
      </c>
      <c r="Y117" s="3">
        <f t="shared" si="71"/>
        <v>0</v>
      </c>
      <c r="Z117" s="95">
        <v>0</v>
      </c>
      <c r="AA117" s="3">
        <f t="shared" si="71"/>
        <v>0</v>
      </c>
      <c r="AB117" s="3">
        <f t="shared" si="71"/>
        <v>0</v>
      </c>
      <c r="AC117" s="3">
        <f t="shared" si="71"/>
        <v>0</v>
      </c>
      <c r="AD117" s="3">
        <f t="shared" si="71"/>
        <v>0</v>
      </c>
      <c r="AE117" s="3">
        <f t="shared" si="71"/>
        <v>0</v>
      </c>
      <c r="AF117" s="3">
        <f t="shared" si="71"/>
        <v>0</v>
      </c>
      <c r="AG117" s="3">
        <f t="shared" si="71"/>
        <v>0</v>
      </c>
      <c r="AH117" s="3">
        <f t="shared" si="71"/>
        <v>0</v>
      </c>
      <c r="AI117" s="3">
        <f t="shared" si="71"/>
        <v>0</v>
      </c>
      <c r="AJ117" s="3">
        <f t="shared" si="71"/>
        <v>0</v>
      </c>
      <c r="AK117" s="3">
        <f>P117-Q117</f>
        <v>11314.88</v>
      </c>
      <c r="AL117" s="3">
        <f>AL120</f>
        <v>0</v>
      </c>
      <c r="AM117" s="318">
        <v>0</v>
      </c>
      <c r="AN117" s="3">
        <f>AN120</f>
        <v>0</v>
      </c>
      <c r="AO117" s="3">
        <f>AO120</f>
        <v>0</v>
      </c>
      <c r="AP117" s="633" t="s">
        <v>256</v>
      </c>
      <c r="AQ117" s="95">
        <v>0</v>
      </c>
    </row>
    <row r="118" spans="1:45" ht="20.25" customHeight="1" x14ac:dyDescent="0.25">
      <c r="A118" s="1382"/>
      <c r="B118" s="42" t="s">
        <v>285</v>
      </c>
      <c r="C118" s="313"/>
      <c r="D118" s="313"/>
      <c r="E118" s="313"/>
      <c r="F118" s="313"/>
      <c r="G118" s="313"/>
      <c r="H118" s="1322"/>
      <c r="I118" s="1327"/>
      <c r="J118" s="1308"/>
      <c r="K118" s="47"/>
      <c r="L118" s="47">
        <v>980</v>
      </c>
      <c r="M118" s="47"/>
      <c r="N118" s="47">
        <v>0</v>
      </c>
      <c r="O118" s="47"/>
      <c r="P118" s="47">
        <v>0</v>
      </c>
      <c r="Q118" s="47">
        <v>0</v>
      </c>
      <c r="R118" s="47">
        <f t="shared" si="71"/>
        <v>686</v>
      </c>
      <c r="S118" s="47">
        <f t="shared" si="71"/>
        <v>686</v>
      </c>
      <c r="T118" s="47">
        <f t="shared" si="71"/>
        <v>294</v>
      </c>
      <c r="U118" s="47">
        <f t="shared" si="71"/>
        <v>294</v>
      </c>
      <c r="V118" s="47">
        <f t="shared" si="71"/>
        <v>0</v>
      </c>
      <c r="W118" s="47">
        <f t="shared" si="71"/>
        <v>0</v>
      </c>
      <c r="X118" s="47">
        <f t="shared" si="71"/>
        <v>0</v>
      </c>
      <c r="Y118" s="47">
        <f t="shared" si="71"/>
        <v>0</v>
      </c>
      <c r="Z118" s="96"/>
      <c r="AA118" s="47">
        <f t="shared" si="71"/>
        <v>0</v>
      </c>
      <c r="AB118" s="47">
        <f t="shared" si="71"/>
        <v>0</v>
      </c>
      <c r="AC118" s="47">
        <f t="shared" si="71"/>
        <v>0</v>
      </c>
      <c r="AD118" s="47">
        <f t="shared" si="71"/>
        <v>0</v>
      </c>
      <c r="AE118" s="47">
        <f t="shared" si="71"/>
        <v>0</v>
      </c>
      <c r="AF118" s="47">
        <f t="shared" si="71"/>
        <v>0</v>
      </c>
      <c r="AG118" s="47">
        <f t="shared" si="71"/>
        <v>0</v>
      </c>
      <c r="AH118" s="47">
        <f t="shared" si="71"/>
        <v>0</v>
      </c>
      <c r="AI118" s="47">
        <f t="shared" si="71"/>
        <v>0</v>
      </c>
      <c r="AJ118" s="47">
        <f t="shared" si="71"/>
        <v>0</v>
      </c>
      <c r="AK118" s="47">
        <v>0</v>
      </c>
      <c r="AL118" s="47"/>
      <c r="AM118" s="47"/>
      <c r="AN118" s="47"/>
      <c r="AO118" s="47"/>
      <c r="AP118" s="397"/>
      <c r="AQ118" s="96"/>
    </row>
    <row r="119" spans="1:45" s="266" customFormat="1" ht="20.25" hidden="1" customHeight="1" x14ac:dyDescent="0.25">
      <c r="A119" s="1382"/>
      <c r="B119" s="252" t="s">
        <v>299</v>
      </c>
      <c r="C119" s="363"/>
      <c r="D119" s="363"/>
      <c r="E119" s="363"/>
      <c r="F119" s="363"/>
      <c r="G119" s="363"/>
      <c r="H119" s="364"/>
      <c r="I119" s="1327"/>
      <c r="J119" s="258"/>
      <c r="K119" s="96"/>
      <c r="L119" s="96"/>
      <c r="M119" s="96"/>
      <c r="N119" s="96"/>
      <c r="O119" s="96"/>
      <c r="P119" s="96"/>
      <c r="Q119" s="96">
        <f>S119+U119</f>
        <v>980</v>
      </c>
      <c r="R119" s="96">
        <f>S119</f>
        <v>686</v>
      </c>
      <c r="S119" s="96">
        <v>686</v>
      </c>
      <c r="T119" s="96">
        <v>294</v>
      </c>
      <c r="U119" s="96">
        <v>294</v>
      </c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405"/>
      <c r="AQ119" s="96"/>
    </row>
    <row r="120" spans="1:45" ht="17.25" customHeight="1" x14ac:dyDescent="0.25">
      <c r="A120" s="1639"/>
      <c r="B120" s="42" t="s">
        <v>287</v>
      </c>
      <c r="C120" s="313"/>
      <c r="D120" s="313"/>
      <c r="E120" s="313"/>
      <c r="F120" s="313"/>
      <c r="G120" s="313"/>
      <c r="H120" s="1322"/>
      <c r="I120" s="1639"/>
      <c r="J120" s="1308"/>
      <c r="K120" s="47"/>
      <c r="L120" s="47">
        <v>11314.88</v>
      </c>
      <c r="M120" s="47">
        <v>0</v>
      </c>
      <c r="N120" s="47">
        <v>0</v>
      </c>
      <c r="O120" s="47">
        <v>0</v>
      </c>
      <c r="P120" s="47">
        <v>11314.88</v>
      </c>
      <c r="Q120" s="47">
        <v>0</v>
      </c>
      <c r="R120" s="47">
        <v>0</v>
      </c>
      <c r="S120" s="47">
        <v>0</v>
      </c>
      <c r="T120" s="47">
        <f t="shared" ref="T120:Y120" si="72">T130</f>
        <v>980</v>
      </c>
      <c r="U120" s="47">
        <v>0</v>
      </c>
      <c r="V120" s="47">
        <f t="shared" si="72"/>
        <v>0</v>
      </c>
      <c r="W120" s="47">
        <f t="shared" si="72"/>
        <v>0</v>
      </c>
      <c r="X120" s="47">
        <f t="shared" si="72"/>
        <v>0</v>
      </c>
      <c r="Y120" s="47">
        <f t="shared" si="72"/>
        <v>0</v>
      </c>
      <c r="Z120" s="96"/>
      <c r="AA120" s="47">
        <v>0</v>
      </c>
      <c r="AB120" s="47">
        <v>0</v>
      </c>
      <c r="AC120" s="47">
        <f t="shared" ref="AC120:AJ120" si="73">AC130</f>
        <v>0</v>
      </c>
      <c r="AD120" s="47">
        <f t="shared" si="73"/>
        <v>0</v>
      </c>
      <c r="AE120" s="47">
        <f t="shared" si="73"/>
        <v>0</v>
      </c>
      <c r="AF120" s="47">
        <f t="shared" si="73"/>
        <v>0</v>
      </c>
      <c r="AG120" s="47">
        <f t="shared" si="73"/>
        <v>0</v>
      </c>
      <c r="AH120" s="47">
        <f t="shared" si="73"/>
        <v>0</v>
      </c>
      <c r="AI120" s="47">
        <f t="shared" si="73"/>
        <v>0</v>
      </c>
      <c r="AJ120" s="47">
        <f t="shared" si="73"/>
        <v>0</v>
      </c>
      <c r="AK120" s="47">
        <v>0</v>
      </c>
      <c r="AL120" s="47">
        <v>0</v>
      </c>
      <c r="AM120" s="47">
        <v>0</v>
      </c>
      <c r="AN120" s="47">
        <v>0</v>
      </c>
      <c r="AO120" s="47">
        <v>0</v>
      </c>
      <c r="AP120" s="397"/>
      <c r="AQ120" s="96"/>
    </row>
    <row r="121" spans="1:45" s="327" customFormat="1" ht="24.75" customHeight="1" x14ac:dyDescent="0.25">
      <c r="A121" s="1372" t="s">
        <v>282</v>
      </c>
      <c r="B121" s="772" t="s">
        <v>286</v>
      </c>
      <c r="C121" s="312"/>
      <c r="D121" s="312"/>
      <c r="E121" s="312"/>
      <c r="F121" s="312"/>
      <c r="G121" s="312"/>
      <c r="H121" s="1277"/>
      <c r="I121" s="1326" t="s">
        <v>20</v>
      </c>
      <c r="J121" s="1286"/>
      <c r="K121" s="3"/>
      <c r="L121" s="3">
        <f>SUM(L122:L125)</f>
        <v>2085.84</v>
      </c>
      <c r="M121" s="3">
        <f>SUM(M122:M125)</f>
        <v>0</v>
      </c>
      <c r="N121" s="3">
        <f>SUM(N122:N125)</f>
        <v>0</v>
      </c>
      <c r="O121" s="3">
        <f>SUM(O122:O125)</f>
        <v>0</v>
      </c>
      <c r="P121" s="3">
        <f>SUM(P122:P125)</f>
        <v>86.18</v>
      </c>
      <c r="Q121" s="3">
        <f>Q122+Q125</f>
        <v>0</v>
      </c>
      <c r="R121" s="3">
        <f t="shared" ref="R121:AD121" si="74">R122+R125</f>
        <v>0</v>
      </c>
      <c r="S121" s="3">
        <f t="shared" si="74"/>
        <v>0</v>
      </c>
      <c r="T121" s="3">
        <f t="shared" si="74"/>
        <v>1066.18</v>
      </c>
      <c r="U121" s="3">
        <f t="shared" si="74"/>
        <v>86.18</v>
      </c>
      <c r="V121" s="3">
        <f t="shared" si="74"/>
        <v>1597.7769999999998</v>
      </c>
      <c r="W121" s="3">
        <f t="shared" si="74"/>
        <v>1597.7769999999998</v>
      </c>
      <c r="X121" s="3">
        <f t="shared" si="74"/>
        <v>0</v>
      </c>
      <c r="Y121" s="3">
        <f t="shared" si="74"/>
        <v>0</v>
      </c>
      <c r="Z121" s="95">
        <v>0</v>
      </c>
      <c r="AA121" s="3">
        <v>0</v>
      </c>
      <c r="AB121" s="3">
        <f t="shared" si="74"/>
        <v>0</v>
      </c>
      <c r="AC121" s="3">
        <f t="shared" si="74"/>
        <v>0</v>
      </c>
      <c r="AD121" s="3">
        <f t="shared" si="74"/>
        <v>1550</v>
      </c>
      <c r="AE121" s="3">
        <f t="shared" ref="AE121:AJ121" si="75">AE125</f>
        <v>0</v>
      </c>
      <c r="AF121" s="3">
        <f t="shared" si="75"/>
        <v>0</v>
      </c>
      <c r="AG121" s="3">
        <f t="shared" si="75"/>
        <v>0</v>
      </c>
      <c r="AH121" s="3">
        <f t="shared" si="75"/>
        <v>0</v>
      </c>
      <c r="AI121" s="3">
        <f t="shared" si="75"/>
        <v>0</v>
      </c>
      <c r="AJ121" s="3">
        <f t="shared" si="75"/>
        <v>0</v>
      </c>
      <c r="AK121" s="3">
        <f>P121-Q121</f>
        <v>86.18</v>
      </c>
      <c r="AL121" s="3">
        <f>AL125</f>
        <v>0</v>
      </c>
      <c r="AM121" s="3">
        <f>AM125</f>
        <v>0</v>
      </c>
      <c r="AN121" s="3">
        <f>AN125</f>
        <v>0</v>
      </c>
      <c r="AO121" s="3">
        <f>AO125</f>
        <v>0</v>
      </c>
      <c r="AP121" s="633" t="s">
        <v>244</v>
      </c>
      <c r="AQ121" s="95">
        <v>0</v>
      </c>
      <c r="AS121" s="3"/>
    </row>
    <row r="122" spans="1:45" ht="20.25" customHeight="1" x14ac:dyDescent="0.25">
      <c r="A122" s="1382"/>
      <c r="B122" s="42" t="s">
        <v>285</v>
      </c>
      <c r="C122" s="313"/>
      <c r="D122" s="313"/>
      <c r="E122" s="313"/>
      <c r="F122" s="313"/>
      <c r="G122" s="313"/>
      <c r="H122" s="1322"/>
      <c r="I122" s="1327"/>
      <c r="J122" s="1308"/>
      <c r="K122" s="47"/>
      <c r="L122" s="47">
        <v>2085.84</v>
      </c>
      <c r="M122" s="47"/>
      <c r="N122" s="47">
        <v>0</v>
      </c>
      <c r="O122" s="47"/>
      <c r="P122" s="47">
        <v>86.18</v>
      </c>
      <c r="Q122" s="47">
        <v>0</v>
      </c>
      <c r="R122" s="47">
        <f t="shared" ref="R122:AD122" si="76">R124+R123</f>
        <v>0</v>
      </c>
      <c r="S122" s="47">
        <f t="shared" si="76"/>
        <v>0</v>
      </c>
      <c r="T122" s="47">
        <f t="shared" si="76"/>
        <v>86.18</v>
      </c>
      <c r="U122" s="47">
        <f t="shared" si="76"/>
        <v>86.18</v>
      </c>
      <c r="V122" s="47">
        <f t="shared" si="76"/>
        <v>1597.7769999999998</v>
      </c>
      <c r="W122" s="47">
        <f t="shared" si="76"/>
        <v>1597.7769999999998</v>
      </c>
      <c r="X122" s="47">
        <f t="shared" si="76"/>
        <v>0</v>
      </c>
      <c r="Y122" s="47">
        <f t="shared" si="76"/>
        <v>0</v>
      </c>
      <c r="Z122" s="96"/>
      <c r="AA122" s="47">
        <v>0</v>
      </c>
      <c r="AB122" s="47">
        <f t="shared" si="76"/>
        <v>0</v>
      </c>
      <c r="AC122" s="47">
        <f t="shared" si="76"/>
        <v>0</v>
      </c>
      <c r="AD122" s="47">
        <f t="shared" si="76"/>
        <v>1550</v>
      </c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397"/>
      <c r="AQ122" s="96"/>
    </row>
    <row r="123" spans="1:45" s="266" customFormat="1" ht="38.25" hidden="1" customHeight="1" x14ac:dyDescent="0.25">
      <c r="A123" s="1382"/>
      <c r="B123" s="252" t="s">
        <v>321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W123</f>
        <v>1511.6</v>
      </c>
      <c r="R123" s="96"/>
      <c r="S123" s="96"/>
      <c r="T123" s="96"/>
      <c r="U123" s="96"/>
      <c r="V123" s="96">
        <f>W123</f>
        <v>1511.6</v>
      </c>
      <c r="W123" s="96">
        <v>1511.6</v>
      </c>
      <c r="X123" s="96"/>
      <c r="Y123" s="96"/>
      <c r="Z123" s="96"/>
      <c r="AA123" s="96">
        <f>AD123</f>
        <v>1550</v>
      </c>
      <c r="AB123" s="96"/>
      <c r="AC123" s="96"/>
      <c r="AD123" s="96">
        <v>1550</v>
      </c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s="266" customFormat="1" ht="27" hidden="1" customHeight="1" x14ac:dyDescent="0.25">
      <c r="A124" s="1382"/>
      <c r="B124" s="252" t="s">
        <v>313</v>
      </c>
      <c r="C124" s="363"/>
      <c r="D124" s="363"/>
      <c r="E124" s="363"/>
      <c r="F124" s="363"/>
      <c r="G124" s="363"/>
      <c r="H124" s="364"/>
      <c r="I124" s="1327"/>
      <c r="J124" s="258"/>
      <c r="K124" s="96"/>
      <c r="L124" s="96"/>
      <c r="M124" s="96"/>
      <c r="N124" s="96"/>
      <c r="O124" s="96"/>
      <c r="P124" s="96"/>
      <c r="Q124" s="96">
        <f>S124+U124</f>
        <v>86.18</v>
      </c>
      <c r="R124" s="96"/>
      <c r="S124" s="96"/>
      <c r="T124" s="96">
        <f>U124</f>
        <v>86.18</v>
      </c>
      <c r="U124" s="96">
        <f>ROUND((103.412/1.2),2)</f>
        <v>86.18</v>
      </c>
      <c r="V124" s="96">
        <f>W124</f>
        <v>86.177000000000007</v>
      </c>
      <c r="W124" s="96">
        <v>86.177000000000007</v>
      </c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405"/>
      <c r="AQ124" s="96"/>
    </row>
    <row r="125" spans="1:45" ht="17.25" customHeight="1" x14ac:dyDescent="0.25">
      <c r="A125" s="1639"/>
      <c r="B125" s="42" t="s">
        <v>287</v>
      </c>
      <c r="C125" s="313"/>
      <c r="D125" s="313"/>
      <c r="E125" s="313"/>
      <c r="F125" s="313"/>
      <c r="G125" s="313"/>
      <c r="H125" s="1322"/>
      <c r="I125" s="1639"/>
      <c r="J125" s="1308"/>
      <c r="K125" s="47"/>
      <c r="L125" s="47">
        <v>0</v>
      </c>
      <c r="M125" s="47">
        <v>0</v>
      </c>
      <c r="N125" s="47">
        <v>0</v>
      </c>
      <c r="O125" s="47">
        <v>0</v>
      </c>
      <c r="P125" s="47">
        <f>N125</f>
        <v>0</v>
      </c>
      <c r="Q125" s="47">
        <v>0</v>
      </c>
      <c r="R125" s="47">
        <v>0</v>
      </c>
      <c r="S125" s="47">
        <v>0</v>
      </c>
      <c r="T125" s="47">
        <f t="shared" ref="T125:Y125" si="77">T141</f>
        <v>980</v>
      </c>
      <c r="U125" s="47">
        <v>0</v>
      </c>
      <c r="V125" s="47">
        <f t="shared" si="77"/>
        <v>0</v>
      </c>
      <c r="W125" s="47">
        <f t="shared" si="77"/>
        <v>0</v>
      </c>
      <c r="X125" s="47">
        <f t="shared" si="77"/>
        <v>0</v>
      </c>
      <c r="Y125" s="47">
        <f t="shared" si="77"/>
        <v>0</v>
      </c>
      <c r="Z125" s="96"/>
      <c r="AA125" s="47">
        <v>0</v>
      </c>
      <c r="AB125" s="47">
        <v>0</v>
      </c>
      <c r="AC125" s="47">
        <f t="shared" ref="AC125:AJ125" si="78">AC141</f>
        <v>0</v>
      </c>
      <c r="AD125" s="47">
        <f t="shared" si="78"/>
        <v>0</v>
      </c>
      <c r="AE125" s="47">
        <f t="shared" si="78"/>
        <v>0</v>
      </c>
      <c r="AF125" s="47">
        <f t="shared" si="78"/>
        <v>0</v>
      </c>
      <c r="AG125" s="47">
        <f t="shared" si="78"/>
        <v>0</v>
      </c>
      <c r="AH125" s="47">
        <f t="shared" si="78"/>
        <v>0</v>
      </c>
      <c r="AI125" s="47">
        <f t="shared" si="78"/>
        <v>0</v>
      </c>
      <c r="AJ125" s="47">
        <f t="shared" si="78"/>
        <v>0</v>
      </c>
      <c r="AK125" s="47">
        <v>0</v>
      </c>
      <c r="AL125" s="47">
        <v>0</v>
      </c>
      <c r="AM125" s="47">
        <v>0</v>
      </c>
      <c r="AN125" s="47">
        <v>0</v>
      </c>
      <c r="AO125" s="47">
        <v>0</v>
      </c>
      <c r="AP125" s="397"/>
      <c r="AQ125" s="96"/>
    </row>
    <row r="126" spans="1:45" s="327" customFormat="1" ht="31.5" customHeight="1" x14ac:dyDescent="0.25">
      <c r="A126" s="1372" t="s">
        <v>283</v>
      </c>
      <c r="B126" s="772" t="s">
        <v>288</v>
      </c>
      <c r="C126" s="312"/>
      <c r="D126" s="312"/>
      <c r="E126" s="312"/>
      <c r="F126" s="312"/>
      <c r="G126" s="312"/>
      <c r="H126" s="1277"/>
      <c r="I126" s="1326" t="s">
        <v>20</v>
      </c>
      <c r="J126" s="1286"/>
      <c r="K126" s="3"/>
      <c r="L126" s="3">
        <f t="shared" ref="L126:AJ127" si="79">L127</f>
        <v>28990</v>
      </c>
      <c r="M126" s="3">
        <f t="shared" si="79"/>
        <v>0</v>
      </c>
      <c r="N126" s="3">
        <f t="shared" si="79"/>
        <v>10150</v>
      </c>
      <c r="O126" s="3">
        <f t="shared" si="79"/>
        <v>0</v>
      </c>
      <c r="P126" s="3">
        <v>0</v>
      </c>
      <c r="Q126" s="3">
        <v>0</v>
      </c>
      <c r="R126" s="3">
        <f t="shared" si="79"/>
        <v>10000</v>
      </c>
      <c r="S126" s="3">
        <f t="shared" si="79"/>
        <v>10000</v>
      </c>
      <c r="T126" s="3">
        <f t="shared" si="79"/>
        <v>14158.333000000001</v>
      </c>
      <c r="U126" s="3">
        <f t="shared" si="79"/>
        <v>14158.333000000001</v>
      </c>
      <c r="V126" s="3">
        <f t="shared" si="79"/>
        <v>0</v>
      </c>
      <c r="W126" s="3">
        <f t="shared" si="79"/>
        <v>0</v>
      </c>
      <c r="X126" s="3">
        <f t="shared" si="79"/>
        <v>0</v>
      </c>
      <c r="Y126" s="3">
        <f t="shared" si="79"/>
        <v>0</v>
      </c>
      <c r="Z126" s="95">
        <v>0</v>
      </c>
      <c r="AA126" s="3">
        <f t="shared" si="79"/>
        <v>0</v>
      </c>
      <c r="AB126" s="3">
        <f t="shared" si="79"/>
        <v>0</v>
      </c>
      <c r="AC126" s="3">
        <f t="shared" si="79"/>
        <v>0</v>
      </c>
      <c r="AD126" s="3">
        <f t="shared" si="79"/>
        <v>0</v>
      </c>
      <c r="AE126" s="3">
        <f t="shared" si="79"/>
        <v>0</v>
      </c>
      <c r="AF126" s="3">
        <f t="shared" si="79"/>
        <v>0</v>
      </c>
      <c r="AG126" s="3">
        <f t="shared" si="79"/>
        <v>0</v>
      </c>
      <c r="AH126" s="3">
        <f t="shared" si="79"/>
        <v>0</v>
      </c>
      <c r="AI126" s="3">
        <f t="shared" si="79"/>
        <v>0</v>
      </c>
      <c r="AJ126" s="3">
        <f t="shared" si="79"/>
        <v>0</v>
      </c>
      <c r="AK126" s="3">
        <f>P126-Q126</f>
        <v>0</v>
      </c>
      <c r="AL126" s="3">
        <f>AL127</f>
        <v>0</v>
      </c>
      <c r="AM126" s="318" t="e">
        <f>ROUND((Q126*100%/P126*100),2)</f>
        <v>#DIV/0!</v>
      </c>
      <c r="AN126" s="3">
        <f>AN127</f>
        <v>0</v>
      </c>
      <c r="AO126" s="3">
        <f>AO127</f>
        <v>0</v>
      </c>
      <c r="AP126" s="633" t="s">
        <v>295</v>
      </c>
      <c r="AQ126" s="95">
        <v>0</v>
      </c>
    </row>
    <row r="127" spans="1:45" ht="17.25" hidden="1" customHeight="1" x14ac:dyDescent="0.25">
      <c r="A127" s="1639"/>
      <c r="B127" s="42" t="s">
        <v>201</v>
      </c>
      <c r="C127" s="313"/>
      <c r="D127" s="313"/>
      <c r="E127" s="313"/>
      <c r="F127" s="313"/>
      <c r="G127" s="313"/>
      <c r="H127" s="1322"/>
      <c r="I127" s="1639"/>
      <c r="J127" s="1308"/>
      <c r="K127" s="47"/>
      <c r="L127" s="47">
        <v>28990</v>
      </c>
      <c r="M127" s="47">
        <v>0</v>
      </c>
      <c r="N127" s="47">
        <v>10150</v>
      </c>
      <c r="O127" s="47">
        <v>0</v>
      </c>
      <c r="P127" s="47">
        <v>18840</v>
      </c>
      <c r="Q127" s="47">
        <f>Q128</f>
        <v>24158.332999999999</v>
      </c>
      <c r="R127" s="47">
        <f t="shared" si="79"/>
        <v>10000</v>
      </c>
      <c r="S127" s="47">
        <f t="shared" si="79"/>
        <v>10000</v>
      </c>
      <c r="T127" s="47">
        <f t="shared" si="79"/>
        <v>14158.333000000001</v>
      </c>
      <c r="U127" s="47">
        <f t="shared" si="79"/>
        <v>14158.333000000001</v>
      </c>
      <c r="V127" s="47">
        <f t="shared" si="79"/>
        <v>0</v>
      </c>
      <c r="W127" s="47">
        <f t="shared" si="79"/>
        <v>0</v>
      </c>
      <c r="X127" s="47">
        <f t="shared" si="79"/>
        <v>0</v>
      </c>
      <c r="Y127" s="47">
        <f t="shared" si="79"/>
        <v>0</v>
      </c>
      <c r="Z127" s="96"/>
      <c r="AA127" s="47">
        <f t="shared" si="79"/>
        <v>0</v>
      </c>
      <c r="AB127" s="47">
        <f t="shared" si="79"/>
        <v>0</v>
      </c>
      <c r="AC127" s="47">
        <f t="shared" si="79"/>
        <v>0</v>
      </c>
      <c r="AD127" s="47">
        <f t="shared" si="79"/>
        <v>0</v>
      </c>
      <c r="AE127" s="47">
        <f>AE128</f>
        <v>0</v>
      </c>
      <c r="AF127" s="47">
        <f>AF144+AJ127</f>
        <v>0</v>
      </c>
      <c r="AG127" s="47">
        <f>AG144</f>
        <v>0</v>
      </c>
      <c r="AH127" s="47">
        <f>AH144</f>
        <v>0</v>
      </c>
      <c r="AI127" s="47">
        <f>AI144</f>
        <v>0</v>
      </c>
      <c r="AJ127" s="47">
        <v>0</v>
      </c>
      <c r="AK127" s="47">
        <v>0</v>
      </c>
      <c r="AL127" s="47">
        <v>0</v>
      </c>
      <c r="AM127" s="47">
        <v>0</v>
      </c>
      <c r="AN127" s="47">
        <v>0</v>
      </c>
      <c r="AO127" s="47">
        <v>0</v>
      </c>
      <c r="AP127" s="397"/>
      <c r="AQ127" s="96"/>
    </row>
    <row r="128" spans="1:45" s="266" customFormat="1" ht="24.75" hidden="1" customHeight="1" x14ac:dyDescent="0.25">
      <c r="A128" s="539"/>
      <c r="B128" s="252" t="s">
        <v>290</v>
      </c>
      <c r="C128" s="363"/>
      <c r="D128" s="363"/>
      <c r="E128" s="363"/>
      <c r="F128" s="363"/>
      <c r="G128" s="363"/>
      <c r="H128" s="364"/>
      <c r="I128" s="614"/>
      <c r="J128" s="258"/>
      <c r="K128" s="96"/>
      <c r="L128" s="96"/>
      <c r="M128" s="96"/>
      <c r="N128" s="96"/>
      <c r="O128" s="96"/>
      <c r="P128" s="96"/>
      <c r="Q128" s="96">
        <f>S128+U128</f>
        <v>24158.332999999999</v>
      </c>
      <c r="R128" s="96">
        <f>S128</f>
        <v>10000</v>
      </c>
      <c r="S128" s="96">
        <v>10000</v>
      </c>
      <c r="T128" s="96">
        <f>U128</f>
        <v>14158.333000000001</v>
      </c>
      <c r="U128" s="96">
        <v>14158.333000000001</v>
      </c>
      <c r="V128" s="96"/>
      <c r="W128" s="96"/>
      <c r="X128" s="96"/>
      <c r="Y128" s="96"/>
      <c r="Z128" s="96"/>
      <c r="AA128" s="96">
        <f>SUM(AB128:AE128)</f>
        <v>0</v>
      </c>
      <c r="AB128" s="96"/>
      <c r="AC128" s="96"/>
      <c r="AD128" s="96"/>
      <c r="AE128" s="96">
        <v>0</v>
      </c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405"/>
      <c r="AQ128" s="96"/>
    </row>
    <row r="129" spans="1:43" ht="54" hidden="1" customHeight="1" x14ac:dyDescent="0.25">
      <c r="A129" s="1332" t="s">
        <v>60</v>
      </c>
      <c r="B129" s="1613" t="s">
        <v>45</v>
      </c>
      <c r="C129" s="1614"/>
      <c r="D129" s="1614"/>
      <c r="E129" s="1614"/>
      <c r="F129" s="1614"/>
      <c r="G129" s="1614"/>
      <c r="H129" s="1615"/>
      <c r="I129" s="23" t="s">
        <v>19</v>
      </c>
      <c r="J129" s="47">
        <v>0</v>
      </c>
      <c r="K129" s="47">
        <f>K132</f>
        <v>0</v>
      </c>
      <c r="L129" s="47">
        <f>M129+N129+O129</f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96"/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397"/>
      <c r="AQ129" s="96"/>
    </row>
    <row r="130" spans="1:43" ht="42.75" hidden="1" customHeight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20</v>
      </c>
      <c r="J130" s="47">
        <f>J141</f>
        <v>4106.3500000000004</v>
      </c>
      <c r="K130" s="47">
        <v>0</v>
      </c>
      <c r="L130" s="47">
        <f>L141</f>
        <v>6022.96</v>
      </c>
      <c r="M130" s="47">
        <f>M141</f>
        <v>0</v>
      </c>
      <c r="N130" s="47">
        <f t="shared" ref="N130:AO130" si="80">N141</f>
        <v>980</v>
      </c>
      <c r="O130" s="47">
        <f t="shared" si="80"/>
        <v>0</v>
      </c>
      <c r="P130" s="47">
        <f t="shared" si="80"/>
        <v>420.48</v>
      </c>
      <c r="Q130" s="47">
        <f t="shared" si="80"/>
        <v>24.7</v>
      </c>
      <c r="R130" s="47">
        <f t="shared" si="80"/>
        <v>0</v>
      </c>
      <c r="S130" s="47">
        <f t="shared" si="80"/>
        <v>0</v>
      </c>
      <c r="T130" s="47">
        <f t="shared" si="80"/>
        <v>980</v>
      </c>
      <c r="U130" s="47">
        <f t="shared" si="80"/>
        <v>980</v>
      </c>
      <c r="V130" s="47">
        <f t="shared" si="80"/>
        <v>0</v>
      </c>
      <c r="W130" s="47">
        <f t="shared" si="80"/>
        <v>0</v>
      </c>
      <c r="X130" s="47">
        <f t="shared" si="80"/>
        <v>0</v>
      </c>
      <c r="Y130" s="47">
        <f t="shared" si="80"/>
        <v>0</v>
      </c>
      <c r="Z130" s="96"/>
      <c r="AA130" s="47">
        <f t="shared" si="80"/>
        <v>0</v>
      </c>
      <c r="AB130" s="47">
        <f t="shared" si="80"/>
        <v>0</v>
      </c>
      <c r="AC130" s="47">
        <f t="shared" si="80"/>
        <v>0</v>
      </c>
      <c r="AD130" s="47">
        <f t="shared" si="80"/>
        <v>0</v>
      </c>
      <c r="AE130" s="47">
        <f t="shared" si="80"/>
        <v>0</v>
      </c>
      <c r="AF130" s="47">
        <f t="shared" si="80"/>
        <v>0</v>
      </c>
      <c r="AG130" s="47">
        <f t="shared" si="80"/>
        <v>0</v>
      </c>
      <c r="AH130" s="47">
        <f t="shared" si="80"/>
        <v>0</v>
      </c>
      <c r="AI130" s="47">
        <f t="shared" si="80"/>
        <v>0</v>
      </c>
      <c r="AJ130" s="47">
        <f t="shared" si="80"/>
        <v>0</v>
      </c>
      <c r="AK130" s="47">
        <f t="shared" si="80"/>
        <v>395.78000000000003</v>
      </c>
      <c r="AL130" s="47">
        <f t="shared" si="80"/>
        <v>395.78000000000003</v>
      </c>
      <c r="AM130" s="47">
        <f t="shared" si="80"/>
        <v>5.87</v>
      </c>
      <c r="AN130" s="47">
        <f t="shared" si="80"/>
        <v>0</v>
      </c>
      <c r="AO130" s="47">
        <f t="shared" si="80"/>
        <v>0</v>
      </c>
      <c r="AP130" s="397"/>
      <c r="AQ130" s="96"/>
    </row>
    <row r="131" spans="1:43" ht="25.5" hidden="1" x14ac:dyDescent="0.25">
      <c r="A131" s="1333"/>
      <c r="B131" s="1616"/>
      <c r="C131" s="1617"/>
      <c r="D131" s="1617"/>
      <c r="E131" s="1617"/>
      <c r="F131" s="1617"/>
      <c r="G131" s="1617"/>
      <c r="H131" s="1618"/>
      <c r="I131" s="23" t="s">
        <v>10</v>
      </c>
      <c r="J131" s="47">
        <v>0</v>
      </c>
      <c r="K131" s="47">
        <v>0</v>
      </c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ht="129" hidden="1" customHeight="1" x14ac:dyDescent="0.25">
      <c r="A132" s="1334"/>
      <c r="B132" s="1619"/>
      <c r="C132" s="1620"/>
      <c r="D132" s="1620"/>
      <c r="E132" s="1620"/>
      <c r="F132" s="1620"/>
      <c r="G132" s="1620"/>
      <c r="H132" s="1621"/>
      <c r="I132" s="23" t="s">
        <v>9</v>
      </c>
      <c r="J132" s="47">
        <v>0</v>
      </c>
      <c r="K132" s="47"/>
      <c r="L132" s="47">
        <f>M132+N132+O132</f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47">
        <v>0</v>
      </c>
      <c r="X132" s="47">
        <v>0</v>
      </c>
      <c r="Y132" s="47">
        <v>0</v>
      </c>
      <c r="Z132" s="96"/>
      <c r="AA132" s="47">
        <v>0</v>
      </c>
      <c r="AB132" s="47">
        <v>0</v>
      </c>
      <c r="AC132" s="47">
        <v>0</v>
      </c>
      <c r="AD132" s="47">
        <v>0</v>
      </c>
      <c r="AE132" s="47">
        <v>0</v>
      </c>
      <c r="AF132" s="47">
        <v>0</v>
      </c>
      <c r="AG132" s="47">
        <v>0</v>
      </c>
      <c r="AH132" s="47">
        <v>0</v>
      </c>
      <c r="AI132" s="47">
        <v>0</v>
      </c>
      <c r="AJ132" s="47">
        <v>0</v>
      </c>
      <c r="AK132" s="47">
        <v>0</v>
      </c>
      <c r="AL132" s="47">
        <v>0</v>
      </c>
      <c r="AM132" s="47">
        <v>0</v>
      </c>
      <c r="AN132" s="47">
        <v>0</v>
      </c>
      <c r="AO132" s="47">
        <v>0</v>
      </c>
      <c r="AP132" s="397"/>
      <c r="AQ132" s="96"/>
    </row>
    <row r="133" spans="1:43" s="327" customFormat="1" ht="31.5" customHeight="1" x14ac:dyDescent="0.25">
      <c r="A133" s="789"/>
      <c r="B133" s="772" t="s">
        <v>405</v>
      </c>
      <c r="C133" s="312"/>
      <c r="D133" s="312"/>
      <c r="E133" s="312"/>
      <c r="F133" s="312"/>
      <c r="G133" s="312"/>
      <c r="H133" s="1277"/>
      <c r="I133" s="1319"/>
      <c r="J133" s="1286"/>
      <c r="K133" s="3"/>
      <c r="L133" s="3"/>
      <c r="M133" s="3"/>
      <c r="N133" s="3"/>
      <c r="O133" s="3"/>
      <c r="P133" s="3">
        <f>SUM(P134:P135)</f>
        <v>2820.43</v>
      </c>
      <c r="Q133" s="3">
        <f t="shared" ref="Q133:AA133" si="81">SUM(Q134:Q135)</f>
        <v>4695.9492399999999</v>
      </c>
      <c r="R133" s="3">
        <f t="shared" si="81"/>
        <v>0</v>
      </c>
      <c r="S133" s="3">
        <f t="shared" si="81"/>
        <v>0</v>
      </c>
      <c r="T133" s="3">
        <f t="shared" si="81"/>
        <v>0</v>
      </c>
      <c r="U133" s="3">
        <f t="shared" si="81"/>
        <v>0</v>
      </c>
      <c r="V133" s="3">
        <f t="shared" si="81"/>
        <v>0</v>
      </c>
      <c r="W133" s="3">
        <f t="shared" si="81"/>
        <v>0</v>
      </c>
      <c r="X133" s="3">
        <f t="shared" si="81"/>
        <v>0</v>
      </c>
      <c r="Y133" s="3">
        <f t="shared" si="81"/>
        <v>0</v>
      </c>
      <c r="Z133" s="3">
        <f t="shared" si="81"/>
        <v>0</v>
      </c>
      <c r="AA133" s="3">
        <f t="shared" si="81"/>
        <v>4695.9492399999999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18"/>
      <c r="AN133" s="3"/>
      <c r="AO133" s="3"/>
      <c r="AP133" s="633"/>
      <c r="AQ133" s="95"/>
    </row>
    <row r="134" spans="1:43" ht="15.75" x14ac:dyDescent="0.25">
      <c r="A134" s="1275"/>
      <c r="B134" s="42" t="s">
        <v>285</v>
      </c>
      <c r="C134" s="1304"/>
      <c r="D134" s="1304"/>
      <c r="E134" s="1304"/>
      <c r="F134" s="1304"/>
      <c r="G134" s="1304"/>
      <c r="H134" s="1305"/>
      <c r="I134" s="1289"/>
      <c r="J134" s="4"/>
      <c r="K134" s="47"/>
      <c r="L134" s="47"/>
      <c r="M134" s="47"/>
      <c r="N134" s="47"/>
      <c r="O134" s="47"/>
      <c r="P134" s="47">
        <v>508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"/>
      <c r="AN134" s="47"/>
      <c r="AO134" s="47"/>
      <c r="AP134" s="397"/>
      <c r="AQ134" s="96"/>
    </row>
    <row r="135" spans="1:43" ht="17.25" customHeight="1" x14ac:dyDescent="0.25">
      <c r="A135" s="1275"/>
      <c r="B135" s="42" t="s">
        <v>213</v>
      </c>
      <c r="C135" s="313"/>
      <c r="D135" s="313"/>
      <c r="E135" s="313"/>
      <c r="F135" s="313"/>
      <c r="G135" s="313"/>
      <c r="H135" s="1322"/>
      <c r="I135" s="1289"/>
      <c r="J135" s="1308"/>
      <c r="K135" s="47"/>
      <c r="L135" s="47"/>
      <c r="M135" s="47"/>
      <c r="N135" s="47"/>
      <c r="O135" s="47"/>
      <c r="P135" s="47">
        <v>2312.4299999999998</v>
      </c>
      <c r="Q135" s="47">
        <f>Q136</f>
        <v>4695.9492399999999</v>
      </c>
      <c r="R135" s="47"/>
      <c r="S135" s="47"/>
      <c r="T135" s="47"/>
      <c r="U135" s="47"/>
      <c r="V135" s="47"/>
      <c r="W135" s="47"/>
      <c r="X135" s="47"/>
      <c r="Y135" s="47"/>
      <c r="Z135" s="96"/>
      <c r="AA135" s="47">
        <f>AA136</f>
        <v>4695.9492399999999</v>
      </c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397"/>
      <c r="AQ135" s="96"/>
    </row>
    <row r="136" spans="1:43" s="266" customFormat="1" ht="17.25" hidden="1" customHeight="1" x14ac:dyDescent="0.25">
      <c r="A136" s="1211"/>
      <c r="B136" s="252" t="s">
        <v>479</v>
      </c>
      <c r="C136" s="363"/>
      <c r="D136" s="363"/>
      <c r="E136" s="363"/>
      <c r="F136" s="363"/>
      <c r="G136" s="363"/>
      <c r="H136" s="364"/>
      <c r="I136" s="1212"/>
      <c r="J136" s="258"/>
      <c r="K136" s="96"/>
      <c r="L136" s="96"/>
      <c r="M136" s="96"/>
      <c r="N136" s="96"/>
      <c r="O136" s="96"/>
      <c r="P136" s="96"/>
      <c r="Q136" s="96">
        <f>441.88433+600+380.35079+300+473.71412+2500</f>
        <v>4695.9492399999999</v>
      </c>
      <c r="R136" s="96"/>
      <c r="S136" s="96"/>
      <c r="T136" s="96"/>
      <c r="U136" s="96"/>
      <c r="V136" s="96"/>
      <c r="W136" s="96"/>
      <c r="X136" s="96"/>
      <c r="Y136" s="96"/>
      <c r="Z136" s="96"/>
      <c r="AA136" s="96">
        <f>1041.88433+680.35079+2973.71412</f>
        <v>4695.9492399999999</v>
      </c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268"/>
      <c r="AN136" s="96"/>
      <c r="AO136" s="96"/>
      <c r="AP136" s="405"/>
      <c r="AQ136" s="96"/>
    </row>
    <row r="137" spans="1:43" s="327" customFormat="1" ht="31.5" customHeight="1" x14ac:dyDescent="0.25">
      <c r="A137" s="789"/>
      <c r="B137" s="772" t="s">
        <v>406</v>
      </c>
      <c r="C137" s="312"/>
      <c r="D137" s="312"/>
      <c r="E137" s="312"/>
      <c r="F137" s="312"/>
      <c r="G137" s="312"/>
      <c r="H137" s="1277"/>
      <c r="I137" s="1319"/>
      <c r="J137" s="1286"/>
      <c r="K137" s="3"/>
      <c r="L137" s="3"/>
      <c r="M137" s="3"/>
      <c r="N137" s="3"/>
      <c r="O137" s="3"/>
      <c r="P137" s="3">
        <f>SUM(P138:P139)</f>
        <v>2801.43</v>
      </c>
      <c r="Q137" s="3">
        <f t="shared" ref="Q137:AA137" si="82">SUM(Q138:Q139)</f>
        <v>1785.5295699999999</v>
      </c>
      <c r="R137" s="3">
        <f t="shared" si="82"/>
        <v>0</v>
      </c>
      <c r="S137" s="3">
        <f t="shared" si="82"/>
        <v>0</v>
      </c>
      <c r="T137" s="3">
        <f t="shared" si="82"/>
        <v>0</v>
      </c>
      <c r="U137" s="3">
        <f t="shared" si="82"/>
        <v>0</v>
      </c>
      <c r="V137" s="3">
        <f t="shared" si="82"/>
        <v>0</v>
      </c>
      <c r="W137" s="3">
        <f t="shared" si="82"/>
        <v>0</v>
      </c>
      <c r="X137" s="3">
        <f t="shared" si="82"/>
        <v>0</v>
      </c>
      <c r="Y137" s="3">
        <f t="shared" si="82"/>
        <v>0</v>
      </c>
      <c r="Z137" s="3">
        <f t="shared" si="82"/>
        <v>0</v>
      </c>
      <c r="AA137" s="3">
        <f t="shared" si="82"/>
        <v>1785.5285699999999</v>
      </c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18"/>
      <c r="AN137" s="3"/>
      <c r="AO137" s="3"/>
      <c r="AP137" s="633"/>
      <c r="AQ137" s="95"/>
    </row>
    <row r="138" spans="1:43" ht="15.75" x14ac:dyDescent="0.25">
      <c r="A138" s="1275"/>
      <c r="B138" s="42" t="s">
        <v>285</v>
      </c>
      <c r="C138" s="1304"/>
      <c r="D138" s="1304"/>
      <c r="E138" s="1304"/>
      <c r="F138" s="1304"/>
      <c r="G138" s="1304"/>
      <c r="H138" s="1305"/>
      <c r="I138" s="1289"/>
      <c r="J138" s="4"/>
      <c r="K138" s="47"/>
      <c r="L138" s="47"/>
      <c r="M138" s="47"/>
      <c r="N138" s="47"/>
      <c r="O138" s="47"/>
      <c r="P138" s="47">
        <v>489</v>
      </c>
      <c r="Q138" s="47">
        <v>0</v>
      </c>
      <c r="R138" s="47"/>
      <c r="S138" s="47"/>
      <c r="T138" s="47"/>
      <c r="U138" s="47"/>
      <c r="V138" s="47"/>
      <c r="W138" s="47"/>
      <c r="X138" s="47"/>
      <c r="Y138" s="47"/>
      <c r="Z138" s="96"/>
      <c r="AA138" s="47">
        <v>0</v>
      </c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"/>
      <c r="AN138" s="47"/>
      <c r="AO138" s="47"/>
      <c r="AP138" s="397"/>
      <c r="AQ138" s="96"/>
    </row>
    <row r="139" spans="1:43" ht="17.25" customHeight="1" x14ac:dyDescent="0.25">
      <c r="A139" s="1275"/>
      <c r="B139" s="42" t="s">
        <v>213</v>
      </c>
      <c r="C139" s="313"/>
      <c r="D139" s="313"/>
      <c r="E139" s="313"/>
      <c r="F139" s="313"/>
      <c r="G139" s="313"/>
      <c r="H139" s="1322"/>
      <c r="I139" s="1289"/>
      <c r="J139" s="1308"/>
      <c r="K139" s="47"/>
      <c r="L139" s="47"/>
      <c r="M139" s="47"/>
      <c r="N139" s="47"/>
      <c r="O139" s="47"/>
      <c r="P139" s="47">
        <v>2312.4299999999998</v>
      </c>
      <c r="Q139" s="47">
        <f>Q140</f>
        <v>1785.5295699999999</v>
      </c>
      <c r="R139" s="47"/>
      <c r="S139" s="47"/>
      <c r="T139" s="47"/>
      <c r="U139" s="47"/>
      <c r="V139" s="47"/>
      <c r="W139" s="47"/>
      <c r="X139" s="47"/>
      <c r="Y139" s="47"/>
      <c r="Z139" s="96"/>
      <c r="AA139" s="47">
        <f>AA140</f>
        <v>1785.5285699999999</v>
      </c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397"/>
      <c r="AQ139" s="96"/>
    </row>
    <row r="140" spans="1:43" s="266" customFormat="1" ht="17.25" hidden="1" customHeight="1" x14ac:dyDescent="0.25">
      <c r="A140" s="1211"/>
      <c r="B140" s="252" t="s">
        <v>473</v>
      </c>
      <c r="C140" s="363"/>
      <c r="D140" s="363"/>
      <c r="E140" s="363"/>
      <c r="F140" s="363"/>
      <c r="G140" s="363"/>
      <c r="H140" s="364"/>
      <c r="I140" s="1212"/>
      <c r="J140" s="258"/>
      <c r="K140" s="96"/>
      <c r="L140" s="96"/>
      <c r="M140" s="96"/>
      <c r="N140" s="96"/>
      <c r="O140" s="96"/>
      <c r="P140" s="96"/>
      <c r="Q140" s="96">
        <f>552.02575+1233.50382</f>
        <v>1785.5295699999999</v>
      </c>
      <c r="R140" s="96"/>
      <c r="S140" s="96"/>
      <c r="T140" s="96"/>
      <c r="U140" s="96"/>
      <c r="V140" s="96"/>
      <c r="W140" s="96"/>
      <c r="X140" s="96"/>
      <c r="Y140" s="96"/>
      <c r="Z140" s="96"/>
      <c r="AA140" s="96">
        <f>552.02575+1233.50282</f>
        <v>1785.5285699999999</v>
      </c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268"/>
      <c r="AN140" s="96"/>
      <c r="AO140" s="96"/>
      <c r="AP140" s="405"/>
      <c r="AQ140" s="96"/>
    </row>
    <row r="141" spans="1:43" s="327" customFormat="1" ht="30" customHeight="1" x14ac:dyDescent="0.25">
      <c r="A141" s="1372" t="s">
        <v>61</v>
      </c>
      <c r="B141" s="609" t="s">
        <v>88</v>
      </c>
      <c r="C141" s="790"/>
      <c r="D141" s="790"/>
      <c r="E141" s="790"/>
      <c r="F141" s="790"/>
      <c r="G141" s="790"/>
      <c r="H141" s="790"/>
      <c r="I141" s="1463" t="s">
        <v>20</v>
      </c>
      <c r="J141" s="1622">
        <v>4106.3500000000004</v>
      </c>
      <c r="K141" s="3">
        <v>0</v>
      </c>
      <c r="L141" s="3">
        <f>L142+L145</f>
        <v>6022.96</v>
      </c>
      <c r="M141" s="3">
        <f>M142+M145</f>
        <v>0</v>
      </c>
      <c r="N141" s="3">
        <f>N142+N145</f>
        <v>980</v>
      </c>
      <c r="O141" s="3">
        <f>O142+O145</f>
        <v>0</v>
      </c>
      <c r="P141" s="3">
        <f>P142+P145</f>
        <v>420.48</v>
      </c>
      <c r="Q141" s="3">
        <f t="shared" ref="Q141:AO141" si="83">Q142+Q145</f>
        <v>24.7</v>
      </c>
      <c r="R141" s="3">
        <f t="shared" si="83"/>
        <v>0</v>
      </c>
      <c r="S141" s="3">
        <f t="shared" si="83"/>
        <v>0</v>
      </c>
      <c r="T141" s="3">
        <f t="shared" si="83"/>
        <v>980</v>
      </c>
      <c r="U141" s="3">
        <f t="shared" si="83"/>
        <v>980</v>
      </c>
      <c r="V141" s="3">
        <f t="shared" si="83"/>
        <v>0</v>
      </c>
      <c r="W141" s="3">
        <f t="shared" si="83"/>
        <v>0</v>
      </c>
      <c r="X141" s="3">
        <f t="shared" si="83"/>
        <v>0</v>
      </c>
      <c r="Y141" s="3">
        <f t="shared" si="83"/>
        <v>0</v>
      </c>
      <c r="Z141" s="95">
        <v>0</v>
      </c>
      <c r="AA141" s="3">
        <f t="shared" si="83"/>
        <v>0</v>
      </c>
      <c r="AB141" s="3">
        <f>AB142+AB145</f>
        <v>0</v>
      </c>
      <c r="AC141" s="3">
        <f>AC142+AC145</f>
        <v>0</v>
      </c>
      <c r="AD141" s="3">
        <f>AD142+AD145</f>
        <v>0</v>
      </c>
      <c r="AE141" s="3">
        <f>AE142+AE145</f>
        <v>0</v>
      </c>
      <c r="AF141" s="3">
        <f t="shared" si="83"/>
        <v>0</v>
      </c>
      <c r="AG141" s="3">
        <f t="shared" si="83"/>
        <v>0</v>
      </c>
      <c r="AH141" s="3">
        <f t="shared" si="83"/>
        <v>0</v>
      </c>
      <c r="AI141" s="3">
        <f t="shared" si="83"/>
        <v>0</v>
      </c>
      <c r="AJ141" s="3">
        <f t="shared" si="83"/>
        <v>0</v>
      </c>
      <c r="AK141" s="3">
        <f>P141-Q141</f>
        <v>395.78000000000003</v>
      </c>
      <c r="AL141" s="3">
        <f>AK141</f>
        <v>395.78000000000003</v>
      </c>
      <c r="AM141" s="318">
        <f>ROUND((Q141*100%/P141*100),2)</f>
        <v>5.87</v>
      </c>
      <c r="AN141" s="3">
        <f t="shared" si="83"/>
        <v>0</v>
      </c>
      <c r="AO141" s="3">
        <f t="shared" si="83"/>
        <v>0</v>
      </c>
      <c r="AP141" s="633" t="s">
        <v>256</v>
      </c>
      <c r="AQ141" s="95">
        <v>0</v>
      </c>
    </row>
    <row r="142" spans="1:43" x14ac:dyDescent="0.25">
      <c r="A142" s="1382"/>
      <c r="B142" s="23" t="s">
        <v>15</v>
      </c>
      <c r="C142" s="46"/>
      <c r="D142" s="46"/>
      <c r="E142" s="46"/>
      <c r="F142" s="46"/>
      <c r="G142" s="1272">
        <v>2019</v>
      </c>
      <c r="H142" s="1272">
        <v>2019</v>
      </c>
      <c r="I142" s="1464"/>
      <c r="J142" s="1623"/>
      <c r="K142" s="47"/>
      <c r="L142" s="47">
        <v>1000</v>
      </c>
      <c r="M142" s="47">
        <v>0</v>
      </c>
      <c r="N142" s="47">
        <v>980</v>
      </c>
      <c r="O142" s="47">
        <v>0</v>
      </c>
      <c r="P142" s="47">
        <v>0</v>
      </c>
      <c r="Q142" s="47">
        <v>0</v>
      </c>
      <c r="R142" s="47">
        <f t="shared" ref="R142:AA142" si="84">R143+R144</f>
        <v>0</v>
      </c>
      <c r="S142" s="47">
        <f t="shared" si="84"/>
        <v>0</v>
      </c>
      <c r="T142" s="47">
        <f t="shared" si="84"/>
        <v>980</v>
      </c>
      <c r="U142" s="47">
        <f t="shared" si="84"/>
        <v>980</v>
      </c>
      <c r="V142" s="47">
        <f t="shared" si="84"/>
        <v>0</v>
      </c>
      <c r="W142" s="47">
        <f t="shared" si="84"/>
        <v>0</v>
      </c>
      <c r="X142" s="47">
        <f t="shared" si="84"/>
        <v>0</v>
      </c>
      <c r="Y142" s="47">
        <f t="shared" si="84"/>
        <v>0</v>
      </c>
      <c r="Z142" s="96"/>
      <c r="AA142" s="47">
        <f t="shared" si="84"/>
        <v>0</v>
      </c>
      <c r="AB142" s="47">
        <f>AB143+AB144</f>
        <v>0</v>
      </c>
      <c r="AC142" s="47">
        <f>AC143+AC144</f>
        <v>0</v>
      </c>
      <c r="AD142" s="47">
        <f>AD143+AD144</f>
        <v>0</v>
      </c>
      <c r="AE142" s="47">
        <f>AE143+AE144</f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266" customFormat="1" hidden="1" x14ac:dyDescent="0.25">
      <c r="A143" s="1382"/>
      <c r="B143" s="443" t="s">
        <v>251</v>
      </c>
      <c r="C143" s="444"/>
      <c r="D143" s="444"/>
      <c r="E143" s="444"/>
      <c r="F143" s="444"/>
      <c r="G143" s="262"/>
      <c r="H143" s="262"/>
      <c r="I143" s="1464"/>
      <c r="J143" s="1623"/>
      <c r="K143" s="96"/>
      <c r="L143" s="96"/>
      <c r="M143" s="96"/>
      <c r="N143" s="96"/>
      <c r="O143" s="96"/>
      <c r="P143" s="96">
        <v>0</v>
      </c>
      <c r="Q143" s="96">
        <f>S143+U143</f>
        <v>980</v>
      </c>
      <c r="R143" s="96">
        <v>0</v>
      </c>
      <c r="S143" s="96">
        <v>0</v>
      </c>
      <c r="T143" s="96">
        <f>U143</f>
        <v>980</v>
      </c>
      <c r="U143" s="96">
        <v>980</v>
      </c>
      <c r="V143" s="96"/>
      <c r="W143" s="96"/>
      <c r="X143" s="96"/>
      <c r="Y143" s="96"/>
      <c r="Z143" s="96"/>
      <c r="AA143" s="96">
        <f>AB143</f>
        <v>0</v>
      </c>
      <c r="AB143" s="96">
        <v>0</v>
      </c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405"/>
      <c r="AQ143" s="96"/>
    </row>
    <row r="144" spans="1:43" s="266" customFormat="1" hidden="1" x14ac:dyDescent="0.25">
      <c r="A144" s="1382"/>
      <c r="B144" s="443" t="s">
        <v>252</v>
      </c>
      <c r="C144" s="444"/>
      <c r="D144" s="444"/>
      <c r="E144" s="444"/>
      <c r="F144" s="444"/>
      <c r="G144" s="262"/>
      <c r="H144" s="262"/>
      <c r="I144" s="1464"/>
      <c r="J144" s="1623"/>
      <c r="K144" s="96"/>
      <c r="L144" s="96"/>
      <c r="M144" s="96"/>
      <c r="N144" s="96"/>
      <c r="O144" s="96"/>
      <c r="P144" s="96"/>
      <c r="Q144" s="96">
        <f>S144</f>
        <v>0</v>
      </c>
      <c r="R144" s="96">
        <f>S144</f>
        <v>0</v>
      </c>
      <c r="S144" s="96">
        <v>0</v>
      </c>
      <c r="T144" s="96"/>
      <c r="U144" s="96"/>
      <c r="V144" s="96"/>
      <c r="W144" s="96"/>
      <c r="X144" s="96"/>
      <c r="Y144" s="96"/>
      <c r="Z144" s="96"/>
      <c r="AA144" s="96">
        <f>AB144</f>
        <v>0</v>
      </c>
      <c r="AB144" s="96">
        <v>0</v>
      </c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405"/>
      <c r="AQ144" s="96"/>
    </row>
    <row r="145" spans="1:43" x14ac:dyDescent="0.25">
      <c r="A145" s="1383"/>
      <c r="B145" s="23" t="s">
        <v>16</v>
      </c>
      <c r="C145" s="46"/>
      <c r="D145" s="46"/>
      <c r="E145" s="46"/>
      <c r="F145" s="46"/>
      <c r="G145" s="1272">
        <v>2020</v>
      </c>
      <c r="H145" s="1272">
        <v>2021</v>
      </c>
      <c r="I145" s="1465"/>
      <c r="J145" s="1624"/>
      <c r="K145" s="47"/>
      <c r="L145" s="47">
        <v>5022.96</v>
      </c>
      <c r="M145" s="47">
        <v>0</v>
      </c>
      <c r="N145" s="47">
        <v>0</v>
      </c>
      <c r="O145" s="47">
        <v>0</v>
      </c>
      <c r="P145" s="47">
        <v>420.48</v>
      </c>
      <c r="Q145" s="47">
        <v>24.7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96">
        <v>0</v>
      </c>
      <c r="Y145" s="96">
        <v>0</v>
      </c>
      <c r="Z145" s="96"/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0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397"/>
      <c r="AQ145" s="96"/>
    </row>
    <row r="146" spans="1:43" s="327" customFormat="1" ht="30" customHeight="1" x14ac:dyDescent="0.25">
      <c r="A146" s="1372" t="s">
        <v>61</v>
      </c>
      <c r="B146" s="609" t="s">
        <v>407</v>
      </c>
      <c r="C146" s="790"/>
      <c r="D146" s="790"/>
      <c r="E146" s="790"/>
      <c r="F146" s="790"/>
      <c r="G146" s="790"/>
      <c r="H146" s="790"/>
      <c r="I146" s="1463" t="s">
        <v>20</v>
      </c>
      <c r="J146" s="1622">
        <v>4106.3500000000004</v>
      </c>
      <c r="K146" s="3">
        <v>0</v>
      </c>
      <c r="L146" s="3">
        <f>L147+L150</f>
        <v>6022.96</v>
      </c>
      <c r="M146" s="3">
        <f>M147+M150</f>
        <v>0</v>
      </c>
      <c r="N146" s="3">
        <f>N147+N150</f>
        <v>980</v>
      </c>
      <c r="O146" s="3">
        <f>O147+O150</f>
        <v>0</v>
      </c>
      <c r="P146" s="3">
        <f>P147+P150</f>
        <v>1281.25</v>
      </c>
      <c r="Q146" s="3">
        <f t="shared" ref="Q146:Y146" si="85">Q147+Q150</f>
        <v>0</v>
      </c>
      <c r="R146" s="3">
        <f t="shared" si="85"/>
        <v>0</v>
      </c>
      <c r="S146" s="3">
        <f t="shared" si="85"/>
        <v>0</v>
      </c>
      <c r="T146" s="3">
        <f t="shared" si="85"/>
        <v>980</v>
      </c>
      <c r="U146" s="3">
        <f t="shared" si="85"/>
        <v>980</v>
      </c>
      <c r="V146" s="3">
        <f t="shared" si="85"/>
        <v>0</v>
      </c>
      <c r="W146" s="3">
        <f t="shared" si="85"/>
        <v>0</v>
      </c>
      <c r="X146" s="3">
        <f t="shared" si="85"/>
        <v>0</v>
      </c>
      <c r="Y146" s="3">
        <f t="shared" si="85"/>
        <v>0</v>
      </c>
      <c r="Z146" s="95">
        <v>0</v>
      </c>
      <c r="AA146" s="3">
        <f t="shared" ref="AA146" si="86">AA147+AA150</f>
        <v>0</v>
      </c>
      <c r="AB146" s="3">
        <f>AB147+AB150</f>
        <v>0</v>
      </c>
      <c r="AC146" s="3">
        <f>AC147+AC150</f>
        <v>0</v>
      </c>
      <c r="AD146" s="3">
        <f>AD147+AD150</f>
        <v>0</v>
      </c>
      <c r="AE146" s="3">
        <f>AE147+AE150</f>
        <v>0</v>
      </c>
      <c r="AF146" s="3">
        <f t="shared" ref="AF146:AJ146" si="87">AF147+AF150</f>
        <v>0</v>
      </c>
      <c r="AG146" s="3">
        <f t="shared" si="87"/>
        <v>0</v>
      </c>
      <c r="AH146" s="3">
        <f t="shared" si="87"/>
        <v>0</v>
      </c>
      <c r="AI146" s="3">
        <f t="shared" si="87"/>
        <v>0</v>
      </c>
      <c r="AJ146" s="3">
        <f t="shared" si="87"/>
        <v>0</v>
      </c>
      <c r="AK146" s="3">
        <f>P146-Q146</f>
        <v>1281.25</v>
      </c>
      <c r="AL146" s="3">
        <f>AK146</f>
        <v>1281.25</v>
      </c>
      <c r="AM146" s="318">
        <f>ROUND((Q146*100%/P146*100),2)</f>
        <v>0</v>
      </c>
      <c r="AN146" s="3">
        <f t="shared" ref="AN146:AO146" si="88">AN147+AN150</f>
        <v>0</v>
      </c>
      <c r="AO146" s="3">
        <f t="shared" si="88"/>
        <v>0</v>
      </c>
      <c r="AP146" s="633" t="s">
        <v>256</v>
      </c>
      <c r="AQ146" s="95">
        <v>0</v>
      </c>
    </row>
    <row r="147" spans="1:43" x14ac:dyDescent="0.25">
      <c r="A147" s="1382"/>
      <c r="B147" s="23" t="s">
        <v>15</v>
      </c>
      <c r="C147" s="46"/>
      <c r="D147" s="46"/>
      <c r="E147" s="46"/>
      <c r="F147" s="46"/>
      <c r="G147" s="1272">
        <v>2019</v>
      </c>
      <c r="H147" s="1272">
        <v>2019</v>
      </c>
      <c r="I147" s="1464"/>
      <c r="J147" s="1623"/>
      <c r="K147" s="47"/>
      <c r="L147" s="47">
        <v>1000</v>
      </c>
      <c r="M147" s="47">
        <v>0</v>
      </c>
      <c r="N147" s="47">
        <v>980</v>
      </c>
      <c r="O147" s="47">
        <v>0</v>
      </c>
      <c r="P147" s="47">
        <v>377.91</v>
      </c>
      <c r="Q147" s="47">
        <v>0</v>
      </c>
      <c r="R147" s="47">
        <f t="shared" ref="R147:Y147" si="89">R148+R149</f>
        <v>0</v>
      </c>
      <c r="S147" s="47">
        <f t="shared" si="89"/>
        <v>0</v>
      </c>
      <c r="T147" s="47">
        <f t="shared" si="89"/>
        <v>980</v>
      </c>
      <c r="U147" s="47">
        <f t="shared" si="89"/>
        <v>980</v>
      </c>
      <c r="V147" s="47">
        <f t="shared" si="89"/>
        <v>0</v>
      </c>
      <c r="W147" s="47">
        <f t="shared" si="89"/>
        <v>0</v>
      </c>
      <c r="X147" s="47">
        <f t="shared" si="89"/>
        <v>0</v>
      </c>
      <c r="Y147" s="47">
        <f t="shared" si="89"/>
        <v>0</v>
      </c>
      <c r="Z147" s="96"/>
      <c r="AA147" s="47">
        <f t="shared" ref="AA147" si="90">AA148+AA149</f>
        <v>0</v>
      </c>
      <c r="AB147" s="47">
        <f>AB148+AB149</f>
        <v>0</v>
      </c>
      <c r="AC147" s="47">
        <f>AC148+AC149</f>
        <v>0</v>
      </c>
      <c r="AD147" s="47">
        <f>AD148+AD149</f>
        <v>0</v>
      </c>
      <c r="AE147" s="47">
        <f>AE148+AE149</f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266" customFormat="1" hidden="1" x14ac:dyDescent="0.25">
      <c r="A148" s="1382"/>
      <c r="B148" s="443" t="s">
        <v>251</v>
      </c>
      <c r="C148" s="444"/>
      <c r="D148" s="444"/>
      <c r="E148" s="444"/>
      <c r="F148" s="444"/>
      <c r="G148" s="262"/>
      <c r="H148" s="262"/>
      <c r="I148" s="1464"/>
      <c r="J148" s="1623"/>
      <c r="K148" s="96"/>
      <c r="L148" s="96"/>
      <c r="M148" s="96"/>
      <c r="N148" s="96"/>
      <c r="O148" s="96"/>
      <c r="P148" s="96">
        <v>0</v>
      </c>
      <c r="Q148" s="96">
        <f>S148+U148</f>
        <v>980</v>
      </c>
      <c r="R148" s="96">
        <v>0</v>
      </c>
      <c r="S148" s="96">
        <v>0</v>
      </c>
      <c r="T148" s="96">
        <f>U148</f>
        <v>980</v>
      </c>
      <c r="U148" s="96">
        <v>980</v>
      </c>
      <c r="V148" s="96"/>
      <c r="W148" s="96"/>
      <c r="X148" s="96"/>
      <c r="Y148" s="96"/>
      <c r="Z148" s="96"/>
      <c r="AA148" s="96">
        <f>AB148</f>
        <v>0</v>
      </c>
      <c r="AB148" s="96">
        <v>0</v>
      </c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405"/>
      <c r="AQ148" s="96"/>
    </row>
    <row r="149" spans="1:43" s="266" customFormat="1" hidden="1" x14ac:dyDescent="0.25">
      <c r="A149" s="1382"/>
      <c r="B149" s="443" t="s">
        <v>252</v>
      </c>
      <c r="C149" s="444"/>
      <c r="D149" s="444"/>
      <c r="E149" s="444"/>
      <c r="F149" s="444"/>
      <c r="G149" s="262"/>
      <c r="H149" s="262"/>
      <c r="I149" s="1464"/>
      <c r="J149" s="1623"/>
      <c r="K149" s="96"/>
      <c r="L149" s="96"/>
      <c r="M149" s="96"/>
      <c r="N149" s="96"/>
      <c r="O149" s="96"/>
      <c r="P149" s="96"/>
      <c r="Q149" s="96">
        <f>S149</f>
        <v>0</v>
      </c>
      <c r="R149" s="96">
        <f>S149</f>
        <v>0</v>
      </c>
      <c r="S149" s="96">
        <v>0</v>
      </c>
      <c r="T149" s="96"/>
      <c r="U149" s="96"/>
      <c r="V149" s="96"/>
      <c r="W149" s="96"/>
      <c r="X149" s="96"/>
      <c r="Y149" s="96"/>
      <c r="Z149" s="96"/>
      <c r="AA149" s="96">
        <f>AB149</f>
        <v>0</v>
      </c>
      <c r="AB149" s="96">
        <v>0</v>
      </c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405"/>
      <c r="AQ149" s="96"/>
    </row>
    <row r="150" spans="1:43" x14ac:dyDescent="0.25">
      <c r="A150" s="1383"/>
      <c r="B150" s="23" t="s">
        <v>16</v>
      </c>
      <c r="C150" s="46"/>
      <c r="D150" s="46"/>
      <c r="E150" s="46"/>
      <c r="F150" s="46"/>
      <c r="G150" s="1272">
        <v>2020</v>
      </c>
      <c r="H150" s="1272">
        <v>2021</v>
      </c>
      <c r="I150" s="1465"/>
      <c r="J150" s="1624"/>
      <c r="K150" s="47"/>
      <c r="L150" s="47">
        <v>5022.96</v>
      </c>
      <c r="M150" s="47">
        <v>0</v>
      </c>
      <c r="N150" s="47">
        <v>0</v>
      </c>
      <c r="O150" s="47">
        <v>0</v>
      </c>
      <c r="P150" s="47">
        <v>903.34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96">
        <v>0</v>
      </c>
      <c r="Y150" s="96">
        <v>0</v>
      </c>
      <c r="Z150" s="96"/>
      <c r="AA150" s="47">
        <v>0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0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  <c r="AM150" s="47">
        <v>0</v>
      </c>
      <c r="AN150" s="47">
        <v>0</v>
      </c>
      <c r="AO150" s="47">
        <v>0</v>
      </c>
      <c r="AP150" s="397"/>
      <c r="AQ150" s="96"/>
    </row>
    <row r="151" spans="1:43" s="327" customFormat="1" ht="30" customHeight="1" x14ac:dyDescent="0.25">
      <c r="A151" s="1372" t="s">
        <v>61</v>
      </c>
      <c r="B151" s="609" t="s">
        <v>408</v>
      </c>
      <c r="C151" s="790"/>
      <c r="D151" s="790"/>
      <c r="E151" s="790"/>
      <c r="F151" s="790"/>
      <c r="G151" s="790"/>
      <c r="H151" s="790"/>
      <c r="I151" s="1463" t="s">
        <v>20</v>
      </c>
      <c r="J151" s="1622">
        <v>4106.3500000000004</v>
      </c>
      <c r="K151" s="3">
        <v>0</v>
      </c>
      <c r="L151" s="3">
        <f>L152+L155</f>
        <v>6022.96</v>
      </c>
      <c r="M151" s="3">
        <f>M152+M155</f>
        <v>0</v>
      </c>
      <c r="N151" s="3">
        <f>N152+N155</f>
        <v>980</v>
      </c>
      <c r="O151" s="3">
        <f>O152+O155</f>
        <v>0</v>
      </c>
      <c r="P151" s="3">
        <f>P152+P155</f>
        <v>1281.2539999999999</v>
      </c>
      <c r="Q151" s="3">
        <f t="shared" ref="Q151:Y151" si="91">Q152+Q155</f>
        <v>0</v>
      </c>
      <c r="R151" s="3">
        <f t="shared" si="91"/>
        <v>0</v>
      </c>
      <c r="S151" s="3">
        <f t="shared" si="91"/>
        <v>0</v>
      </c>
      <c r="T151" s="3">
        <f t="shared" si="91"/>
        <v>980</v>
      </c>
      <c r="U151" s="3">
        <f t="shared" si="91"/>
        <v>980</v>
      </c>
      <c r="V151" s="3">
        <f t="shared" si="91"/>
        <v>0</v>
      </c>
      <c r="W151" s="3">
        <f t="shared" si="91"/>
        <v>0</v>
      </c>
      <c r="X151" s="3">
        <f t="shared" si="91"/>
        <v>0</v>
      </c>
      <c r="Y151" s="3">
        <f t="shared" si="91"/>
        <v>0</v>
      </c>
      <c r="Z151" s="95">
        <v>0</v>
      </c>
      <c r="AA151" s="3">
        <f t="shared" ref="AA151" si="92">AA152+AA155</f>
        <v>0</v>
      </c>
      <c r="AB151" s="3">
        <f>AB152+AB155</f>
        <v>0</v>
      </c>
      <c r="AC151" s="3">
        <f>AC152+AC155</f>
        <v>0</v>
      </c>
      <c r="AD151" s="3">
        <f>AD152+AD155</f>
        <v>0</v>
      </c>
      <c r="AE151" s="3">
        <f>AE152+AE155</f>
        <v>0</v>
      </c>
      <c r="AF151" s="3">
        <f t="shared" ref="AF151:AJ151" si="93">AF152+AF155</f>
        <v>0</v>
      </c>
      <c r="AG151" s="3">
        <f t="shared" si="93"/>
        <v>0</v>
      </c>
      <c r="AH151" s="3">
        <f t="shared" si="93"/>
        <v>0</v>
      </c>
      <c r="AI151" s="3">
        <f t="shared" si="93"/>
        <v>0</v>
      </c>
      <c r="AJ151" s="3">
        <f t="shared" si="93"/>
        <v>0</v>
      </c>
      <c r="AK151" s="3">
        <f>P151-Q151</f>
        <v>1281.2539999999999</v>
      </c>
      <c r="AL151" s="3">
        <f>AK151</f>
        <v>1281.2539999999999</v>
      </c>
      <c r="AM151" s="318">
        <f>ROUND((Q151*100%/P151*100),2)</f>
        <v>0</v>
      </c>
      <c r="AN151" s="3">
        <f t="shared" ref="AN151:AO151" si="94">AN152+AN155</f>
        <v>0</v>
      </c>
      <c r="AO151" s="3">
        <f t="shared" si="94"/>
        <v>0</v>
      </c>
      <c r="AP151" s="633" t="s">
        <v>256</v>
      </c>
      <c r="AQ151" s="95">
        <v>0</v>
      </c>
    </row>
    <row r="152" spans="1:43" x14ac:dyDescent="0.25">
      <c r="A152" s="1382"/>
      <c r="B152" s="23" t="s">
        <v>15</v>
      </c>
      <c r="C152" s="46"/>
      <c r="D152" s="46"/>
      <c r="E152" s="46"/>
      <c r="F152" s="46"/>
      <c r="G152" s="1272">
        <v>2019</v>
      </c>
      <c r="H152" s="1272">
        <v>2019</v>
      </c>
      <c r="I152" s="1464"/>
      <c r="J152" s="1623"/>
      <c r="K152" s="47"/>
      <c r="L152" s="47">
        <v>1000</v>
      </c>
      <c r="M152" s="47">
        <v>0</v>
      </c>
      <c r="N152" s="47">
        <v>980</v>
      </c>
      <c r="O152" s="47">
        <v>0</v>
      </c>
      <c r="P152" s="47">
        <v>377.91399999999999</v>
      </c>
      <c r="Q152" s="47">
        <v>0</v>
      </c>
      <c r="R152" s="47">
        <f t="shared" ref="R152:Y152" si="95">R153+R154</f>
        <v>0</v>
      </c>
      <c r="S152" s="47">
        <f t="shared" si="95"/>
        <v>0</v>
      </c>
      <c r="T152" s="47">
        <f t="shared" si="95"/>
        <v>980</v>
      </c>
      <c r="U152" s="47">
        <f t="shared" si="95"/>
        <v>980</v>
      </c>
      <c r="V152" s="47">
        <f t="shared" si="95"/>
        <v>0</v>
      </c>
      <c r="W152" s="47">
        <f t="shared" si="95"/>
        <v>0</v>
      </c>
      <c r="X152" s="47">
        <f t="shared" si="95"/>
        <v>0</v>
      </c>
      <c r="Y152" s="47">
        <f t="shared" si="95"/>
        <v>0</v>
      </c>
      <c r="Z152" s="96"/>
      <c r="AA152" s="47">
        <f t="shared" ref="AA152" si="96">AA153+AA154</f>
        <v>0</v>
      </c>
      <c r="AB152" s="47">
        <f>AB153+AB154</f>
        <v>0</v>
      </c>
      <c r="AC152" s="47">
        <f>AC153+AC154</f>
        <v>0</v>
      </c>
      <c r="AD152" s="47">
        <f>AD153+AD154</f>
        <v>0</v>
      </c>
      <c r="AE152" s="47">
        <f>AE153+AE154</f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s="266" customFormat="1" hidden="1" x14ac:dyDescent="0.25">
      <c r="A153" s="1382"/>
      <c r="B153" s="443" t="s">
        <v>251</v>
      </c>
      <c r="C153" s="444"/>
      <c r="D153" s="444"/>
      <c r="E153" s="444"/>
      <c r="F153" s="444"/>
      <c r="G153" s="262"/>
      <c r="H153" s="262"/>
      <c r="I153" s="1464"/>
      <c r="J153" s="1623"/>
      <c r="K153" s="96"/>
      <c r="L153" s="96"/>
      <c r="M153" s="96"/>
      <c r="N153" s="96"/>
      <c r="O153" s="96"/>
      <c r="P153" s="96">
        <v>0</v>
      </c>
      <c r="Q153" s="96">
        <f>S153+U153</f>
        <v>980</v>
      </c>
      <c r="R153" s="96">
        <v>0</v>
      </c>
      <c r="S153" s="96">
        <v>0</v>
      </c>
      <c r="T153" s="96">
        <f>U153</f>
        <v>980</v>
      </c>
      <c r="U153" s="96">
        <v>980</v>
      </c>
      <c r="V153" s="96"/>
      <c r="W153" s="96"/>
      <c r="X153" s="96"/>
      <c r="Y153" s="96"/>
      <c r="Z153" s="96"/>
      <c r="AA153" s="96">
        <f>AB153</f>
        <v>0</v>
      </c>
      <c r="AB153" s="96">
        <v>0</v>
      </c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405"/>
      <c r="AQ153" s="96"/>
    </row>
    <row r="154" spans="1:43" s="266" customFormat="1" hidden="1" x14ac:dyDescent="0.25">
      <c r="A154" s="1382"/>
      <c r="B154" s="443" t="s">
        <v>252</v>
      </c>
      <c r="C154" s="444"/>
      <c r="D154" s="444"/>
      <c r="E154" s="444"/>
      <c r="F154" s="444"/>
      <c r="G154" s="262"/>
      <c r="H154" s="262"/>
      <c r="I154" s="1464"/>
      <c r="J154" s="1623"/>
      <c r="K154" s="96"/>
      <c r="L154" s="96"/>
      <c r="M154" s="96"/>
      <c r="N154" s="96"/>
      <c r="O154" s="96"/>
      <c r="P154" s="96"/>
      <c r="Q154" s="96">
        <f>S154</f>
        <v>0</v>
      </c>
      <c r="R154" s="96">
        <f>S154</f>
        <v>0</v>
      </c>
      <c r="S154" s="96">
        <v>0</v>
      </c>
      <c r="T154" s="96"/>
      <c r="U154" s="96"/>
      <c r="V154" s="96"/>
      <c r="W154" s="96"/>
      <c r="X154" s="96"/>
      <c r="Y154" s="96"/>
      <c r="Z154" s="96"/>
      <c r="AA154" s="96">
        <f>AB154</f>
        <v>0</v>
      </c>
      <c r="AB154" s="96">
        <v>0</v>
      </c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405"/>
      <c r="AQ154" s="96"/>
    </row>
    <row r="155" spans="1:43" x14ac:dyDescent="0.25">
      <c r="A155" s="1383"/>
      <c r="B155" s="23" t="s">
        <v>16</v>
      </c>
      <c r="C155" s="46"/>
      <c r="D155" s="46"/>
      <c r="E155" s="46"/>
      <c r="F155" s="46"/>
      <c r="G155" s="1272">
        <v>2020</v>
      </c>
      <c r="H155" s="1272">
        <v>2021</v>
      </c>
      <c r="I155" s="1465"/>
      <c r="J155" s="1624"/>
      <c r="K155" s="47"/>
      <c r="L155" s="47">
        <v>5022.96</v>
      </c>
      <c r="M155" s="47">
        <v>0</v>
      </c>
      <c r="N155" s="47">
        <v>0</v>
      </c>
      <c r="O155" s="47">
        <v>0</v>
      </c>
      <c r="P155" s="47">
        <v>903.34</v>
      </c>
      <c r="Q155" s="47">
        <v>0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47">
        <v>0</v>
      </c>
      <c r="X155" s="96">
        <v>0</v>
      </c>
      <c r="Y155" s="96">
        <v>0</v>
      </c>
      <c r="Z155" s="96"/>
      <c r="AA155" s="47">
        <v>0</v>
      </c>
      <c r="AB155" s="47">
        <v>0</v>
      </c>
      <c r="AC155" s="47">
        <v>0</v>
      </c>
      <c r="AD155" s="47">
        <v>0</v>
      </c>
      <c r="AE155" s="47">
        <v>0</v>
      </c>
      <c r="AF155" s="47">
        <v>0</v>
      </c>
      <c r="AG155" s="47">
        <v>0</v>
      </c>
      <c r="AH155" s="47">
        <v>0</v>
      </c>
      <c r="AI155" s="47">
        <v>0</v>
      </c>
      <c r="AJ155" s="47">
        <v>0</v>
      </c>
      <c r="AK155" s="47">
        <v>0</v>
      </c>
      <c r="AL155" s="47">
        <v>0</v>
      </c>
      <c r="AM155" s="47">
        <v>0</v>
      </c>
      <c r="AN155" s="47">
        <v>0</v>
      </c>
      <c r="AO155" s="47">
        <v>0</v>
      </c>
      <c r="AP155" s="397"/>
      <c r="AQ155" s="96"/>
    </row>
    <row r="156" spans="1:43" ht="15.75" x14ac:dyDescent="0.25">
      <c r="A156" s="1285"/>
      <c r="B156" s="791"/>
      <c r="C156" s="792"/>
      <c r="D156" s="792"/>
      <c r="E156" s="792"/>
      <c r="F156" s="792"/>
      <c r="G156" s="313"/>
      <c r="H156" s="313"/>
      <c r="I156" s="793"/>
      <c r="J156" s="794"/>
      <c r="K156" s="795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7"/>
      <c r="Y156" s="797"/>
      <c r="Z156" s="797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8"/>
      <c r="AQ156" s="797"/>
    </row>
    <row r="157" spans="1:43" s="925" customFormat="1" ht="15.75" x14ac:dyDescent="0.25">
      <c r="A157" s="929" t="s">
        <v>13</v>
      </c>
      <c r="B157" s="926"/>
      <c r="C157" s="927"/>
      <c r="D157" s="927"/>
      <c r="E157" s="927"/>
      <c r="F157" s="927"/>
      <c r="G157" s="927"/>
      <c r="H157" s="927"/>
      <c r="I157" s="927"/>
      <c r="J157" s="927"/>
      <c r="K157" s="927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  <c r="Z157" s="928"/>
      <c r="AA157" s="928"/>
      <c r="AB157" s="928"/>
      <c r="AC157" s="928"/>
      <c r="AD157" s="928"/>
      <c r="AE157" s="928"/>
      <c r="AF157" s="928"/>
      <c r="AG157" s="928"/>
      <c r="AH157" s="928"/>
      <c r="AI157" s="928"/>
      <c r="AJ157" s="928"/>
      <c r="AK157" s="928"/>
      <c r="AL157" s="928"/>
      <c r="AM157" s="928"/>
      <c r="AN157" s="928"/>
      <c r="AO157" s="928"/>
      <c r="AP157" s="930"/>
      <c r="AQ157" s="928"/>
    </row>
    <row r="158" spans="1:43" s="934" customFormat="1" ht="18" customHeight="1" x14ac:dyDescent="0.2">
      <c r="A158" s="1604" t="s">
        <v>443</v>
      </c>
      <c r="B158" s="1605"/>
      <c r="C158" s="1605"/>
      <c r="D158" s="1605"/>
      <c r="E158" s="1605"/>
      <c r="F158" s="1605"/>
      <c r="G158" s="1605"/>
      <c r="H158" s="1606"/>
      <c r="I158" s="931" t="s">
        <v>21</v>
      </c>
      <c r="J158" s="932">
        <f t="shared" ref="J158:AO158" si="97">J159+J160+J161+J162</f>
        <v>165965.11999999997</v>
      </c>
      <c r="K158" s="932">
        <f t="shared" si="97"/>
        <v>25354.1</v>
      </c>
      <c r="L158" s="932">
        <f t="shared" si="97"/>
        <v>1042119.19</v>
      </c>
      <c r="M158" s="932">
        <f t="shared" si="97"/>
        <v>571026.48</v>
      </c>
      <c r="N158" s="932">
        <f t="shared" si="97"/>
        <v>616839.18000000005</v>
      </c>
      <c r="O158" s="932">
        <f t="shared" si="97"/>
        <v>381271.67000000004</v>
      </c>
      <c r="P158" s="932">
        <f>P167+P170+P174+P183+P187+P190+P211+P216+P222+P228+P230+P241+P252+P255+P260+P263+P270+P272+P276+P281+P288+P291+P198+P201+P204+P232+P238+P245+P301+P311+P314</f>
        <v>292742.20000000007</v>
      </c>
      <c r="Q158" s="932">
        <f>Q167+Q170+Q174+Q183+Q187+Q190+Q211+Q216+Q222+Q228+Q230+Q241+Q252+Q255+Q260+Q263+Q270+Q272+Q276+Q281+Q288+Q291+Q198+Q201+Q204+Q232+Q238+Q245+Q301+Q311+Q314</f>
        <v>102497.79347</v>
      </c>
      <c r="R158" s="932">
        <f t="shared" ref="R158:Z158" si="98">R167+R170+R174+R183+R187+R190+R211+R216+R222+R228+R230+R241+R252+R255+R260+R263+R270+R272+R276+R281+R288+R291+R198+R201+R204+R232+R238+R245+R301+R311+R314</f>
        <v>23233.600000000002</v>
      </c>
      <c r="S158" s="932">
        <f t="shared" si="98"/>
        <v>26233.599999999999</v>
      </c>
      <c r="T158" s="932">
        <f t="shared" si="98"/>
        <v>25740.546000000002</v>
      </c>
      <c r="U158" s="932">
        <f t="shared" si="98"/>
        <v>27949.284000000003</v>
      </c>
      <c r="V158" s="932">
        <f t="shared" si="98"/>
        <v>54714.664999999994</v>
      </c>
      <c r="W158" s="932">
        <f t="shared" si="98"/>
        <v>55653.578999999998</v>
      </c>
      <c r="X158" s="932">
        <f t="shared" si="98"/>
        <v>21705.95</v>
      </c>
      <c r="Y158" s="932">
        <f t="shared" si="98"/>
        <v>21705.95</v>
      </c>
      <c r="Z158" s="932">
        <f t="shared" si="98"/>
        <v>21705.95</v>
      </c>
      <c r="AA158" s="932">
        <f>AA167+AA170+AA174+AA183+AA187+AA190+AA211+AA216+AA222+AA228+AA230+AA241+AA252+AA255+AA260+AA263+AA270+AA272+AA276+AA281+AA288+AA291+AA198+AA201+AA204+AA232+AA238+AA245+AA301+AA311+AA314</f>
        <v>117152.28928</v>
      </c>
      <c r="AB158" s="932">
        <f t="shared" si="97"/>
        <v>20471.075000000001</v>
      </c>
      <c r="AC158" s="932">
        <f t="shared" si="97"/>
        <v>35341.406000000003</v>
      </c>
      <c r="AD158" s="932">
        <f t="shared" si="97"/>
        <v>69790.480890000006</v>
      </c>
      <c r="AE158" s="932">
        <f t="shared" si="97"/>
        <v>0</v>
      </c>
      <c r="AF158" s="932">
        <f t="shared" si="97"/>
        <v>0</v>
      </c>
      <c r="AG158" s="932">
        <f t="shared" si="97"/>
        <v>0</v>
      </c>
      <c r="AH158" s="932">
        <f t="shared" si="97"/>
        <v>0</v>
      </c>
      <c r="AI158" s="932">
        <f t="shared" si="97"/>
        <v>0</v>
      </c>
      <c r="AJ158" s="932">
        <f t="shared" si="97"/>
        <v>0</v>
      </c>
      <c r="AK158" s="932">
        <f t="shared" si="97"/>
        <v>147083.31194000001</v>
      </c>
      <c r="AL158" s="932">
        <f t="shared" si="97"/>
        <v>147083.31194000001</v>
      </c>
      <c r="AM158" s="932" t="e">
        <f t="shared" si="97"/>
        <v>#DIV/0!</v>
      </c>
      <c r="AN158" s="932">
        <f t="shared" si="97"/>
        <v>0</v>
      </c>
      <c r="AO158" s="932">
        <f t="shared" si="97"/>
        <v>0</v>
      </c>
      <c r="AP158" s="933"/>
      <c r="AQ158" s="932">
        <f>AQ167+AQ170+AQ174+AQ183+AQ187+AQ190+AQ211+AQ216+AQ222+AQ228+AQ230+AQ241+AQ252+AQ255+AQ260+AQ263+AQ270+AQ272+AQ276+AQ281+AQ288+AQ291</f>
        <v>4894.7240000000002</v>
      </c>
    </row>
    <row r="159" spans="1:43" s="615" customFormat="1" ht="58.5" hidden="1" customHeight="1" x14ac:dyDescent="0.2">
      <c r="A159" s="1607"/>
      <c r="B159" s="1608"/>
      <c r="C159" s="1608"/>
      <c r="D159" s="1608"/>
      <c r="E159" s="1608"/>
      <c r="F159" s="1608"/>
      <c r="G159" s="1608"/>
      <c r="H159" s="1609"/>
      <c r="I159" s="23" t="s">
        <v>19</v>
      </c>
      <c r="J159" s="71">
        <f t="shared" ref="J159:AO162" si="99">J163+J207+J234</f>
        <v>152888.53999999998</v>
      </c>
      <c r="K159" s="71">
        <f t="shared" si="99"/>
        <v>25354.1</v>
      </c>
      <c r="L159" s="47">
        <f t="shared" si="99"/>
        <v>193023.18</v>
      </c>
      <c r="M159" s="47">
        <f t="shared" si="99"/>
        <v>42443.12</v>
      </c>
      <c r="N159" s="47">
        <f t="shared" si="99"/>
        <v>35331.160000000003</v>
      </c>
      <c r="O159" s="47">
        <f t="shared" si="99"/>
        <v>29531.94</v>
      </c>
      <c r="P159" s="47">
        <f t="shared" si="99"/>
        <v>100162.01</v>
      </c>
      <c r="Q159" s="47">
        <f t="shared" si="99"/>
        <v>0</v>
      </c>
      <c r="R159" s="47">
        <f t="shared" si="99"/>
        <v>743.47199999999998</v>
      </c>
      <c r="S159" s="47">
        <f t="shared" si="99"/>
        <v>3743.4719999999998</v>
      </c>
      <c r="T159" s="47">
        <f t="shared" si="99"/>
        <v>31.5</v>
      </c>
      <c r="U159" s="47">
        <f t="shared" si="99"/>
        <v>2236.8380000000002</v>
      </c>
      <c r="V159" s="47">
        <f t="shared" si="99"/>
        <v>0</v>
      </c>
      <c r="W159" s="47">
        <f t="shared" si="99"/>
        <v>0</v>
      </c>
      <c r="X159" s="47">
        <f t="shared" si="99"/>
        <v>0</v>
      </c>
      <c r="Y159" s="47">
        <f t="shared" si="99"/>
        <v>0</v>
      </c>
      <c r="Z159" s="96"/>
      <c r="AA159" s="47">
        <f t="shared" si="99"/>
        <v>0</v>
      </c>
      <c r="AB159" s="47">
        <f t="shared" si="99"/>
        <v>2948.8069999999998</v>
      </c>
      <c r="AC159" s="47">
        <f t="shared" si="99"/>
        <v>0</v>
      </c>
      <c r="AD159" s="47">
        <f t="shared" si="99"/>
        <v>31.5</v>
      </c>
      <c r="AE159" s="47">
        <f t="shared" si="99"/>
        <v>0</v>
      </c>
      <c r="AF159" s="47">
        <f t="shared" si="99"/>
        <v>0</v>
      </c>
      <c r="AG159" s="47">
        <f t="shared" si="99"/>
        <v>0</v>
      </c>
      <c r="AH159" s="47">
        <f t="shared" si="99"/>
        <v>0</v>
      </c>
      <c r="AI159" s="47">
        <f t="shared" si="99"/>
        <v>0</v>
      </c>
      <c r="AJ159" s="47">
        <f t="shared" si="99"/>
        <v>0</v>
      </c>
      <c r="AK159" s="47">
        <f t="shared" si="99"/>
        <v>28946.75</v>
      </c>
      <c r="AL159" s="47">
        <f t="shared" si="99"/>
        <v>28946.75</v>
      </c>
      <c r="AM159" s="47" t="e">
        <f t="shared" si="99"/>
        <v>#DIV/0!</v>
      </c>
      <c r="AN159" s="47">
        <f t="shared" si="99"/>
        <v>0</v>
      </c>
      <c r="AO159" s="47">
        <f t="shared" si="99"/>
        <v>0</v>
      </c>
      <c r="AP159" s="397"/>
      <c r="AQ159" s="96"/>
    </row>
    <row r="160" spans="1:43" s="615" customFormat="1" ht="45.75" hidden="1" customHeight="1" x14ac:dyDescent="0.2">
      <c r="A160" s="1607"/>
      <c r="B160" s="1608"/>
      <c r="C160" s="1608"/>
      <c r="D160" s="1608"/>
      <c r="E160" s="1608"/>
      <c r="F160" s="1608"/>
      <c r="G160" s="1608"/>
      <c r="H160" s="1609"/>
      <c r="I160" s="23" t="s">
        <v>20</v>
      </c>
      <c r="J160" s="71">
        <f t="shared" si="99"/>
        <v>13076.579999999998</v>
      </c>
      <c r="K160" s="71">
        <f t="shared" si="99"/>
        <v>0</v>
      </c>
      <c r="L160" s="47">
        <f t="shared" ref="L160:Y161" si="100">L164+L208+L235+L249</f>
        <v>353562.91999999993</v>
      </c>
      <c r="M160" s="47">
        <f t="shared" si="100"/>
        <v>36205.620000000003</v>
      </c>
      <c r="N160" s="47">
        <f t="shared" si="100"/>
        <v>88280.380000000019</v>
      </c>
      <c r="O160" s="47">
        <f t="shared" si="100"/>
        <v>53996.09</v>
      </c>
      <c r="P160" s="47">
        <f t="shared" si="100"/>
        <v>132010.46000000002</v>
      </c>
      <c r="Q160" s="47">
        <f t="shared" si="100"/>
        <v>2591.3799199999999</v>
      </c>
      <c r="R160" s="47">
        <f t="shared" si="100"/>
        <v>784.17799999999988</v>
      </c>
      <c r="S160" s="47">
        <f t="shared" si="100"/>
        <v>784.17799999999988</v>
      </c>
      <c r="T160" s="47">
        <f t="shared" si="100"/>
        <v>4003.096</v>
      </c>
      <c r="U160" s="47">
        <f t="shared" si="100"/>
        <v>4006.4960000000001</v>
      </c>
      <c r="V160" s="47">
        <f t="shared" si="100"/>
        <v>4331.41</v>
      </c>
      <c r="W160" s="47">
        <f t="shared" si="100"/>
        <v>5270.3239999999996</v>
      </c>
      <c r="X160" s="47">
        <f t="shared" si="100"/>
        <v>0</v>
      </c>
      <c r="Y160" s="47">
        <f t="shared" si="100"/>
        <v>0</v>
      </c>
      <c r="Z160" s="96"/>
      <c r="AA160" s="47">
        <f>AA164+AA208+AA235+AA249</f>
        <v>2473.1920300000002</v>
      </c>
      <c r="AB160" s="47">
        <f>AB164+AB208+AB235+AB249</f>
        <v>0</v>
      </c>
      <c r="AC160" s="47">
        <f>AC164+AC208+AC235+AC249</f>
        <v>3241.61</v>
      </c>
      <c r="AD160" s="47">
        <f>AD164+AD208+AD235+AD249</f>
        <v>69758.980890000006</v>
      </c>
      <c r="AE160" s="47">
        <f>AE164+AE208+AE235+AE249</f>
        <v>0</v>
      </c>
      <c r="AF160" s="47">
        <f t="shared" si="99"/>
        <v>0</v>
      </c>
      <c r="AG160" s="47">
        <f t="shared" si="99"/>
        <v>0</v>
      </c>
      <c r="AH160" s="47">
        <f t="shared" si="99"/>
        <v>0</v>
      </c>
      <c r="AI160" s="47">
        <f t="shared" si="99"/>
        <v>0</v>
      </c>
      <c r="AJ160" s="47">
        <f t="shared" si="99"/>
        <v>0</v>
      </c>
      <c r="AK160" s="47">
        <f t="shared" si="99"/>
        <v>118136.56194000001</v>
      </c>
      <c r="AL160" s="47">
        <f t="shared" si="99"/>
        <v>118136.56194000001</v>
      </c>
      <c r="AM160" s="47" t="e">
        <f t="shared" si="99"/>
        <v>#DIV/0!</v>
      </c>
      <c r="AN160" s="47">
        <f t="shared" si="99"/>
        <v>0</v>
      </c>
      <c r="AO160" s="47">
        <f t="shared" si="99"/>
        <v>0</v>
      </c>
      <c r="AP160" s="397"/>
      <c r="AQ160" s="96"/>
    </row>
    <row r="161" spans="1:43" s="615" customFormat="1" ht="28.5" hidden="1" customHeight="1" x14ac:dyDescent="0.2">
      <c r="A161" s="1607"/>
      <c r="B161" s="1608"/>
      <c r="C161" s="1608"/>
      <c r="D161" s="1608"/>
      <c r="E161" s="1608"/>
      <c r="F161" s="1608"/>
      <c r="G161" s="1608"/>
      <c r="H161" s="1609"/>
      <c r="I161" s="23" t="s">
        <v>10</v>
      </c>
      <c r="J161" s="71">
        <f t="shared" si="99"/>
        <v>0</v>
      </c>
      <c r="K161" s="71">
        <f t="shared" si="99"/>
        <v>0</v>
      </c>
      <c r="L161" s="47">
        <f t="shared" si="100"/>
        <v>495533.09</v>
      </c>
      <c r="M161" s="47">
        <f t="shared" si="100"/>
        <v>492377.74</v>
      </c>
      <c r="N161" s="47">
        <f t="shared" si="100"/>
        <v>493227.64</v>
      </c>
      <c r="O161" s="47">
        <f t="shared" si="100"/>
        <v>297742.64</v>
      </c>
      <c r="P161" s="47">
        <f t="shared" si="100"/>
        <v>0</v>
      </c>
      <c r="Q161" s="47">
        <f t="shared" si="100"/>
        <v>99508.413549999997</v>
      </c>
      <c r="R161" s="47">
        <f t="shared" si="100"/>
        <v>21705.95</v>
      </c>
      <c r="S161" s="47">
        <f t="shared" si="100"/>
        <v>21705.95</v>
      </c>
      <c r="T161" s="47">
        <f t="shared" si="100"/>
        <v>21705.95</v>
      </c>
      <c r="U161" s="47">
        <f t="shared" si="100"/>
        <v>21705.95</v>
      </c>
      <c r="V161" s="47">
        <f t="shared" si="100"/>
        <v>50383.255000000005</v>
      </c>
      <c r="W161" s="47">
        <f t="shared" si="100"/>
        <v>50383.255000000005</v>
      </c>
      <c r="X161" s="47">
        <f t="shared" si="100"/>
        <v>21705.95</v>
      </c>
      <c r="Y161" s="47">
        <f t="shared" si="100"/>
        <v>21705.95</v>
      </c>
      <c r="Z161" s="96"/>
      <c r="AA161" s="47">
        <f>AA165+AA209+AA236+AA250</f>
        <v>114281.09724999999</v>
      </c>
      <c r="AB161" s="47">
        <f>AB165+AB209+AB236+AB250</f>
        <v>17522.268</v>
      </c>
      <c r="AC161" s="47">
        <f>AC165+AC209+AC236+AC250</f>
        <v>32099.796000000002</v>
      </c>
      <c r="AD161" s="47">
        <f>AD165+AD209+AD236</f>
        <v>0</v>
      </c>
      <c r="AE161" s="47">
        <f>AE165+AE209+AE236</f>
        <v>0</v>
      </c>
      <c r="AF161" s="47">
        <f t="shared" si="99"/>
        <v>0</v>
      </c>
      <c r="AG161" s="47">
        <f t="shared" si="99"/>
        <v>0</v>
      </c>
      <c r="AH161" s="47">
        <f t="shared" si="99"/>
        <v>0</v>
      </c>
      <c r="AI161" s="47">
        <f t="shared" si="99"/>
        <v>0</v>
      </c>
      <c r="AJ161" s="47">
        <f t="shared" si="99"/>
        <v>0</v>
      </c>
      <c r="AK161" s="47">
        <f t="shared" si="99"/>
        <v>0</v>
      </c>
      <c r="AL161" s="47">
        <f t="shared" si="99"/>
        <v>0</v>
      </c>
      <c r="AM161" s="47">
        <f t="shared" si="99"/>
        <v>0</v>
      </c>
      <c r="AN161" s="47">
        <f t="shared" si="99"/>
        <v>0</v>
      </c>
      <c r="AO161" s="47">
        <f t="shared" si="99"/>
        <v>0</v>
      </c>
      <c r="AP161" s="397"/>
      <c r="AQ161" s="96"/>
    </row>
    <row r="162" spans="1:43" s="615" customFormat="1" ht="25.5" hidden="1" customHeight="1" x14ac:dyDescent="0.2">
      <c r="A162" s="1610"/>
      <c r="B162" s="1611"/>
      <c r="C162" s="1611"/>
      <c r="D162" s="1611"/>
      <c r="E162" s="1611"/>
      <c r="F162" s="1611"/>
      <c r="G162" s="1611"/>
      <c r="H162" s="1612"/>
      <c r="I162" s="23" t="s">
        <v>9</v>
      </c>
      <c r="J162" s="71">
        <f t="shared" si="99"/>
        <v>0</v>
      </c>
      <c r="K162" s="71">
        <f t="shared" si="99"/>
        <v>0</v>
      </c>
      <c r="L162" s="47">
        <v>0</v>
      </c>
      <c r="M162" s="47">
        <f>M166+M210+M237</f>
        <v>0</v>
      </c>
      <c r="N162" s="47">
        <f>N166+N210+N237</f>
        <v>0</v>
      </c>
      <c r="O162" s="47">
        <f>O166+O210+O237</f>
        <v>1</v>
      </c>
      <c r="P162" s="47">
        <f>P166+P210+P237</f>
        <v>0</v>
      </c>
      <c r="Q162" s="47">
        <f t="shared" ref="Q162:AO162" si="101">Q166+Q210+Q237</f>
        <v>0</v>
      </c>
      <c r="R162" s="47">
        <f t="shared" si="101"/>
        <v>0</v>
      </c>
      <c r="S162" s="47">
        <f t="shared" si="101"/>
        <v>0</v>
      </c>
      <c r="T162" s="47">
        <f t="shared" si="101"/>
        <v>0</v>
      </c>
      <c r="U162" s="47">
        <f t="shared" si="101"/>
        <v>0</v>
      </c>
      <c r="V162" s="47">
        <f t="shared" si="101"/>
        <v>0</v>
      </c>
      <c r="W162" s="47">
        <f t="shared" si="101"/>
        <v>0</v>
      </c>
      <c r="X162" s="47">
        <f t="shared" si="101"/>
        <v>0</v>
      </c>
      <c r="Y162" s="47">
        <f t="shared" si="101"/>
        <v>0</v>
      </c>
      <c r="Z162" s="96"/>
      <c r="AA162" s="47">
        <f t="shared" si="101"/>
        <v>0</v>
      </c>
      <c r="AB162" s="47">
        <f t="shared" si="101"/>
        <v>0</v>
      </c>
      <c r="AC162" s="47">
        <f t="shared" si="101"/>
        <v>0</v>
      </c>
      <c r="AD162" s="47">
        <f t="shared" si="101"/>
        <v>0</v>
      </c>
      <c r="AE162" s="47">
        <f t="shared" si="101"/>
        <v>0</v>
      </c>
      <c r="AF162" s="47">
        <f t="shared" si="101"/>
        <v>0</v>
      </c>
      <c r="AG162" s="47">
        <f>AG166+AG210+AG237</f>
        <v>0</v>
      </c>
      <c r="AH162" s="47">
        <f>AH166+AH210+AH237</f>
        <v>0</v>
      </c>
      <c r="AI162" s="47">
        <f>AI166+AI210+AI237</f>
        <v>0</v>
      </c>
      <c r="AJ162" s="47">
        <f>AJ166+AJ210+AJ237</f>
        <v>0</v>
      </c>
      <c r="AK162" s="47">
        <f t="shared" si="101"/>
        <v>0</v>
      </c>
      <c r="AL162" s="47">
        <f t="shared" si="101"/>
        <v>0</v>
      </c>
      <c r="AM162" s="47">
        <f t="shared" si="101"/>
        <v>0</v>
      </c>
      <c r="AN162" s="47">
        <f t="shared" si="101"/>
        <v>0</v>
      </c>
      <c r="AO162" s="47">
        <f t="shared" si="101"/>
        <v>0</v>
      </c>
      <c r="AP162" s="397"/>
      <c r="AQ162" s="96"/>
    </row>
    <row r="163" spans="1:43" ht="51.75" hidden="1" customHeight="1" x14ac:dyDescent="0.25">
      <c r="A163" s="1332" t="s">
        <v>27</v>
      </c>
      <c r="B163" s="1613" t="s">
        <v>214</v>
      </c>
      <c r="C163" s="1614"/>
      <c r="D163" s="1614"/>
      <c r="E163" s="1614"/>
      <c r="F163" s="1614"/>
      <c r="G163" s="1614"/>
      <c r="H163" s="1615"/>
      <c r="I163" s="23" t="s">
        <v>19</v>
      </c>
      <c r="J163" s="47">
        <f>J167+J170+J174</f>
        <v>152888.53999999998</v>
      </c>
      <c r="K163" s="47">
        <f>K167+K170+K174</f>
        <v>25354.1</v>
      </c>
      <c r="L163" s="47">
        <f>L167+L170+L174+L183+L187+L191</f>
        <v>193023.18</v>
      </c>
      <c r="M163" s="47">
        <f>M167+M170+M174+M183+M187+M191</f>
        <v>42443.12</v>
      </c>
      <c r="N163" s="47">
        <f>N167+N170+N174+N183+N187+N191</f>
        <v>35331.160000000003</v>
      </c>
      <c r="O163" s="47">
        <f>O167+O170+O174+O183+O187+O190</f>
        <v>29530.94</v>
      </c>
      <c r="P163" s="47">
        <f>P167+P170+P174+P183+P187+P191</f>
        <v>100162.01</v>
      </c>
      <c r="Q163" s="47">
        <f>Q167+Q170+Q174+Q183+Q187+Q190</f>
        <v>0</v>
      </c>
      <c r="R163" s="47">
        <f t="shared" ref="R163:AA163" si="102">R167+R170+R174+R183+R187+R190</f>
        <v>743.47199999999998</v>
      </c>
      <c r="S163" s="47">
        <f t="shared" si="102"/>
        <v>3743.4719999999998</v>
      </c>
      <c r="T163" s="47">
        <f t="shared" si="102"/>
        <v>31.5</v>
      </c>
      <c r="U163" s="47">
        <f t="shared" si="102"/>
        <v>2236.8380000000002</v>
      </c>
      <c r="V163" s="47">
        <f t="shared" si="102"/>
        <v>0</v>
      </c>
      <c r="W163" s="47">
        <f t="shared" si="102"/>
        <v>0</v>
      </c>
      <c r="X163" s="47">
        <f t="shared" si="102"/>
        <v>0</v>
      </c>
      <c r="Y163" s="47">
        <f t="shared" si="102"/>
        <v>0</v>
      </c>
      <c r="Z163" s="96"/>
      <c r="AA163" s="47">
        <f t="shared" si="102"/>
        <v>0</v>
      </c>
      <c r="AB163" s="47">
        <f>AB167+AB170+AB174+AB183+AB187+AB190</f>
        <v>2948.8069999999998</v>
      </c>
      <c r="AC163" s="47">
        <f>AC167+AC170+AC174+AC183+AC187+AC190</f>
        <v>0</v>
      </c>
      <c r="AD163" s="47">
        <f>AD167+AD170+AD174+AD183+AD187+AD190</f>
        <v>31.5</v>
      </c>
      <c r="AE163" s="47">
        <f>AE167+AE170+AE174+AE183+AE187+AE190</f>
        <v>0</v>
      </c>
      <c r="AF163" s="47">
        <f t="shared" ref="AF163:AO163" si="103">AF167+AF170+AF174</f>
        <v>0</v>
      </c>
      <c r="AG163" s="47">
        <f t="shared" si="103"/>
        <v>0</v>
      </c>
      <c r="AH163" s="47">
        <f t="shared" si="103"/>
        <v>0</v>
      </c>
      <c r="AI163" s="47">
        <f t="shared" si="103"/>
        <v>0</v>
      </c>
      <c r="AJ163" s="47">
        <f t="shared" si="103"/>
        <v>0</v>
      </c>
      <c r="AK163" s="47">
        <f t="shared" si="103"/>
        <v>28946.75</v>
      </c>
      <c r="AL163" s="47">
        <f t="shared" si="103"/>
        <v>28946.75</v>
      </c>
      <c r="AM163" s="47" t="e">
        <f t="shared" si="103"/>
        <v>#DIV/0!</v>
      </c>
      <c r="AN163" s="47">
        <f t="shared" si="103"/>
        <v>0</v>
      </c>
      <c r="AO163" s="47">
        <f t="shared" si="103"/>
        <v>0</v>
      </c>
      <c r="AP163" s="397"/>
      <c r="AQ163" s="96"/>
    </row>
    <row r="164" spans="1:43" ht="47.25" hidden="1" customHeight="1" x14ac:dyDescent="0.25">
      <c r="A164" s="1333"/>
      <c r="B164" s="1616"/>
      <c r="C164" s="1617"/>
      <c r="D164" s="1617"/>
      <c r="E164" s="1617"/>
      <c r="F164" s="1617"/>
      <c r="G164" s="1617"/>
      <c r="H164" s="1618"/>
      <c r="I164" s="23" t="s">
        <v>20</v>
      </c>
      <c r="J164" s="47">
        <v>0</v>
      </c>
      <c r="K164" s="47">
        <v>0</v>
      </c>
      <c r="L164" s="47">
        <f>M164+N164+O164</f>
        <v>0</v>
      </c>
      <c r="M164" s="47">
        <v>0</v>
      </c>
      <c r="N164" s="47">
        <v>0</v>
      </c>
      <c r="O164" s="47">
        <v>0</v>
      </c>
      <c r="P164" s="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47">
        <v>0</v>
      </c>
      <c r="X164" s="47">
        <v>0</v>
      </c>
      <c r="Y164" s="47">
        <v>0</v>
      </c>
      <c r="Z164" s="96"/>
      <c r="AA164" s="47">
        <v>0</v>
      </c>
      <c r="AB164" s="47">
        <v>0</v>
      </c>
      <c r="AC164" s="47">
        <v>0</v>
      </c>
      <c r="AD164" s="47">
        <v>0</v>
      </c>
      <c r="AE164" s="47">
        <v>0</v>
      </c>
      <c r="AF164" s="47">
        <v>0</v>
      </c>
      <c r="AG164" s="47">
        <v>0</v>
      </c>
      <c r="AH164" s="47">
        <v>0</v>
      </c>
      <c r="AI164" s="47">
        <v>0</v>
      </c>
      <c r="AJ164" s="47">
        <v>0</v>
      </c>
      <c r="AK164" s="47">
        <v>0</v>
      </c>
      <c r="AL164" s="47">
        <v>0</v>
      </c>
      <c r="AM164" s="47">
        <v>0</v>
      </c>
      <c r="AN164" s="47">
        <v>0</v>
      </c>
      <c r="AO164" s="47">
        <v>0</v>
      </c>
      <c r="AP164" s="397"/>
      <c r="AQ164" s="96"/>
    </row>
    <row r="165" spans="1:43" ht="28.5" hidden="1" customHeight="1" x14ac:dyDescent="0.25">
      <c r="A165" s="1333"/>
      <c r="B165" s="1616"/>
      <c r="C165" s="1617"/>
      <c r="D165" s="1617"/>
      <c r="E165" s="1617"/>
      <c r="F165" s="1617"/>
      <c r="G165" s="1617"/>
      <c r="H165" s="1618"/>
      <c r="I165" s="23" t="s">
        <v>10</v>
      </c>
      <c r="J165" s="47">
        <v>0</v>
      </c>
      <c r="K165" s="47">
        <v>0</v>
      </c>
      <c r="L165" s="47">
        <f>L197</f>
        <v>195485</v>
      </c>
      <c r="M165" s="47">
        <f>M197</f>
        <v>195485</v>
      </c>
      <c r="N165" s="47">
        <f>N197</f>
        <v>195485</v>
      </c>
      <c r="O165" s="47">
        <v>0</v>
      </c>
      <c r="P165" s="47">
        <f>P197</f>
        <v>0</v>
      </c>
      <c r="Q165" s="47">
        <v>0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47">
        <v>0</v>
      </c>
      <c r="X165" s="47">
        <v>0</v>
      </c>
      <c r="Y165" s="47">
        <v>0</v>
      </c>
      <c r="Z165" s="96"/>
      <c r="AA165" s="47">
        <v>0</v>
      </c>
      <c r="AB165" s="47">
        <v>0</v>
      </c>
      <c r="AC165" s="47">
        <v>0</v>
      </c>
      <c r="AD165" s="47">
        <v>0</v>
      </c>
      <c r="AE165" s="47">
        <v>0</v>
      </c>
      <c r="AF165" s="47">
        <v>0</v>
      </c>
      <c r="AG165" s="47">
        <v>0</v>
      </c>
      <c r="AH165" s="47">
        <v>0</v>
      </c>
      <c r="AI165" s="47">
        <v>0</v>
      </c>
      <c r="AJ165" s="47">
        <v>0</v>
      </c>
      <c r="AK165" s="47">
        <v>0</v>
      </c>
      <c r="AL165" s="47">
        <v>0</v>
      </c>
      <c r="AM165" s="47">
        <v>0</v>
      </c>
      <c r="AN165" s="47">
        <v>0</v>
      </c>
      <c r="AO165" s="47">
        <v>0</v>
      </c>
      <c r="AP165" s="397"/>
      <c r="AQ165" s="96"/>
    </row>
    <row r="166" spans="1:43" ht="25.5" hidden="1" customHeight="1" x14ac:dyDescent="0.25">
      <c r="A166" s="1334"/>
      <c r="B166" s="1619"/>
      <c r="C166" s="1620"/>
      <c r="D166" s="1620"/>
      <c r="E166" s="1620"/>
      <c r="F166" s="1620"/>
      <c r="G166" s="1620"/>
      <c r="H166" s="1621"/>
      <c r="I166" s="23" t="s">
        <v>9</v>
      </c>
      <c r="J166" s="47">
        <v>0</v>
      </c>
      <c r="K166" s="47">
        <v>0</v>
      </c>
      <c r="L166" s="47">
        <f>M166+N166+O166</f>
        <v>0</v>
      </c>
      <c r="M166" s="47">
        <v>0</v>
      </c>
      <c r="N166" s="47">
        <v>0</v>
      </c>
      <c r="O166" s="47">
        <v>0</v>
      </c>
      <c r="P166" s="47">
        <v>0</v>
      </c>
      <c r="Q166" s="47">
        <v>0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47">
        <v>0</v>
      </c>
      <c r="X166" s="47">
        <v>0</v>
      </c>
      <c r="Y166" s="47">
        <v>0</v>
      </c>
      <c r="Z166" s="96"/>
      <c r="AA166" s="47">
        <v>0</v>
      </c>
      <c r="AB166" s="47">
        <v>0</v>
      </c>
      <c r="AC166" s="47">
        <v>0</v>
      </c>
      <c r="AD166" s="47">
        <v>0</v>
      </c>
      <c r="AE166" s="47">
        <v>0</v>
      </c>
      <c r="AF166" s="47">
        <v>0</v>
      </c>
      <c r="AG166" s="47"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0</v>
      </c>
      <c r="AM166" s="47">
        <v>0</v>
      </c>
      <c r="AN166" s="47">
        <v>0</v>
      </c>
      <c r="AO166" s="47">
        <v>0</v>
      </c>
      <c r="AP166" s="397"/>
      <c r="AQ166" s="96"/>
    </row>
    <row r="167" spans="1:43" s="327" customFormat="1" ht="27.75" customHeight="1" x14ac:dyDescent="0.25">
      <c r="A167" s="1473" t="s">
        <v>34</v>
      </c>
      <c r="B167" s="780" t="s">
        <v>441</v>
      </c>
      <c r="C167" s="1332"/>
      <c r="D167" s="1332"/>
      <c r="E167" s="1332"/>
      <c r="F167" s="1644">
        <v>220000</v>
      </c>
      <c r="G167" s="1473">
        <v>2018</v>
      </c>
      <c r="H167" s="1473">
        <v>2021</v>
      </c>
      <c r="I167" s="1463" t="s">
        <v>19</v>
      </c>
      <c r="J167" s="1627">
        <v>66036</v>
      </c>
      <c r="K167" s="1627">
        <v>16509</v>
      </c>
      <c r="L167" s="804">
        <f t="shared" ref="L167:O167" si="104">L168</f>
        <v>67541.3</v>
      </c>
      <c r="M167" s="804">
        <f t="shared" si="104"/>
        <v>16509</v>
      </c>
      <c r="N167" s="804">
        <f t="shared" si="104"/>
        <v>800</v>
      </c>
      <c r="O167" s="804">
        <f t="shared" si="104"/>
        <v>6409</v>
      </c>
      <c r="P167" s="804">
        <v>27314.3</v>
      </c>
      <c r="Q167" s="804">
        <v>0</v>
      </c>
      <c r="R167" s="804">
        <f t="shared" ref="R167:AO168" si="105">R168</f>
        <v>36</v>
      </c>
      <c r="S167" s="804">
        <f t="shared" si="105"/>
        <v>36</v>
      </c>
      <c r="T167" s="804">
        <f t="shared" si="105"/>
        <v>31.5</v>
      </c>
      <c r="U167" s="804">
        <f t="shared" si="105"/>
        <v>31.5</v>
      </c>
      <c r="V167" s="804">
        <f t="shared" si="105"/>
        <v>0</v>
      </c>
      <c r="W167" s="804">
        <f t="shared" si="105"/>
        <v>0</v>
      </c>
      <c r="X167" s="804">
        <f t="shared" si="105"/>
        <v>0</v>
      </c>
      <c r="Y167" s="804">
        <f t="shared" si="105"/>
        <v>0</v>
      </c>
      <c r="Z167" s="805">
        <v>0</v>
      </c>
      <c r="AA167" s="804">
        <v>0</v>
      </c>
      <c r="AB167" s="804">
        <f t="shared" si="105"/>
        <v>36</v>
      </c>
      <c r="AC167" s="804">
        <f t="shared" si="105"/>
        <v>0</v>
      </c>
      <c r="AD167" s="804">
        <f t="shared" si="105"/>
        <v>31.5</v>
      </c>
      <c r="AE167" s="804">
        <f t="shared" si="105"/>
        <v>0</v>
      </c>
      <c r="AF167" s="804">
        <f t="shared" si="105"/>
        <v>0</v>
      </c>
      <c r="AG167" s="804">
        <f t="shared" si="105"/>
        <v>0</v>
      </c>
      <c r="AH167" s="804">
        <f t="shared" si="105"/>
        <v>0</v>
      </c>
      <c r="AI167" s="804">
        <f t="shared" si="105"/>
        <v>0</v>
      </c>
      <c r="AJ167" s="804">
        <f t="shared" si="105"/>
        <v>0</v>
      </c>
      <c r="AK167" s="3">
        <f>P167-Q167</f>
        <v>27314.3</v>
      </c>
      <c r="AL167" s="3">
        <f>AK167</f>
        <v>27314.3</v>
      </c>
      <c r="AM167" s="318">
        <f>ROUND((Q167*100%/P167*100),2)</f>
        <v>0</v>
      </c>
      <c r="AN167" s="804">
        <f t="shared" si="105"/>
        <v>0</v>
      </c>
      <c r="AO167" s="804">
        <f t="shared" si="105"/>
        <v>0</v>
      </c>
      <c r="AP167" s="806"/>
      <c r="AQ167" s="805">
        <v>0</v>
      </c>
    </row>
    <row r="168" spans="1:43" ht="18" hidden="1" customHeight="1" x14ac:dyDescent="0.25">
      <c r="A168" s="1474"/>
      <c r="B168" s="1298" t="s">
        <v>39</v>
      </c>
      <c r="C168" s="1334"/>
      <c r="D168" s="1334"/>
      <c r="E168" s="1334"/>
      <c r="F168" s="1472"/>
      <c r="G168" s="1474"/>
      <c r="H168" s="1474"/>
      <c r="I168" s="1465"/>
      <c r="J168" s="1629"/>
      <c r="K168" s="1629"/>
      <c r="L168" s="1308">
        <v>67541.3</v>
      </c>
      <c r="M168" s="83">
        <v>16509</v>
      </c>
      <c r="N168" s="83">
        <v>800</v>
      </c>
      <c r="O168" s="83">
        <v>6409</v>
      </c>
      <c r="P168" s="83">
        <v>6409</v>
      </c>
      <c r="Q168" s="83">
        <f>Q169</f>
        <v>67.5</v>
      </c>
      <c r="R168" s="83">
        <f t="shared" si="105"/>
        <v>36</v>
      </c>
      <c r="S168" s="83">
        <f t="shared" si="105"/>
        <v>36</v>
      </c>
      <c r="T168" s="83">
        <f t="shared" si="105"/>
        <v>31.5</v>
      </c>
      <c r="U168" s="83">
        <f t="shared" si="105"/>
        <v>31.5</v>
      </c>
      <c r="V168" s="83">
        <f t="shared" si="105"/>
        <v>0</v>
      </c>
      <c r="W168" s="83">
        <f t="shared" si="105"/>
        <v>0</v>
      </c>
      <c r="X168" s="83">
        <f t="shared" si="105"/>
        <v>0</v>
      </c>
      <c r="Y168" s="83">
        <f t="shared" si="105"/>
        <v>0</v>
      </c>
      <c r="Z168" s="259"/>
      <c r="AA168" s="83">
        <f t="shared" si="105"/>
        <v>67.5</v>
      </c>
      <c r="AB168" s="83">
        <f t="shared" si="105"/>
        <v>36</v>
      </c>
      <c r="AC168" s="83">
        <f t="shared" si="105"/>
        <v>0</v>
      </c>
      <c r="AD168" s="83">
        <f t="shared" si="105"/>
        <v>31.5</v>
      </c>
      <c r="AE168" s="83">
        <f t="shared" si="105"/>
        <v>0</v>
      </c>
      <c r="AF168" s="83">
        <f t="shared" si="105"/>
        <v>0</v>
      </c>
      <c r="AG168" s="83">
        <f t="shared" si="105"/>
        <v>0</v>
      </c>
      <c r="AH168" s="83">
        <f t="shared" si="105"/>
        <v>0</v>
      </c>
      <c r="AI168" s="83">
        <f t="shared" si="105"/>
        <v>0</v>
      </c>
      <c r="AJ168" s="83">
        <f t="shared" si="105"/>
        <v>0</v>
      </c>
      <c r="AK168" s="83">
        <f t="shared" si="105"/>
        <v>0</v>
      </c>
      <c r="AL168" s="83">
        <v>0</v>
      </c>
      <c r="AM168" s="83">
        <v>0</v>
      </c>
      <c r="AN168" s="83">
        <v>0</v>
      </c>
      <c r="AO168" s="83">
        <v>0</v>
      </c>
      <c r="AP168" s="409"/>
      <c r="AQ168" s="259"/>
    </row>
    <row r="169" spans="1:43" s="266" customFormat="1" ht="26.25" hidden="1" customHeight="1" x14ac:dyDescent="0.25">
      <c r="A169" s="616"/>
      <c r="B169" s="537" t="s">
        <v>300</v>
      </c>
      <c r="C169" s="647"/>
      <c r="D169" s="647"/>
      <c r="E169" s="647"/>
      <c r="F169" s="539"/>
      <c r="G169" s="540"/>
      <c r="H169" s="540"/>
      <c r="I169" s="370"/>
      <c r="J169" s="648"/>
      <c r="K169" s="648"/>
      <c r="L169" s="258"/>
      <c r="M169" s="259"/>
      <c r="N169" s="259"/>
      <c r="O169" s="259"/>
      <c r="P169" s="259"/>
      <c r="Q169" s="259">
        <f>S169+U169</f>
        <v>67.5</v>
      </c>
      <c r="R169" s="259">
        <f>S169</f>
        <v>36</v>
      </c>
      <c r="S169" s="259">
        <v>36</v>
      </c>
      <c r="T169" s="259">
        <f>U169</f>
        <v>31.5</v>
      </c>
      <c r="U169" s="259">
        <v>31.5</v>
      </c>
      <c r="V169" s="259"/>
      <c r="W169" s="259"/>
      <c r="X169" s="259"/>
      <c r="Y169" s="259"/>
      <c r="Z169" s="259"/>
      <c r="AA169" s="259">
        <f>AB169+AD169</f>
        <v>67.5</v>
      </c>
      <c r="AB169" s="259">
        <v>36</v>
      </c>
      <c r="AC169" s="259"/>
      <c r="AD169" s="259">
        <v>31.5</v>
      </c>
      <c r="AE169" s="259"/>
      <c r="AF169" s="259"/>
      <c r="AG169" s="259"/>
      <c r="AH169" s="259"/>
      <c r="AI169" s="259"/>
      <c r="AJ169" s="259"/>
      <c r="AK169" s="259"/>
      <c r="AL169" s="259"/>
      <c r="AM169" s="543"/>
      <c r="AN169" s="259"/>
      <c r="AO169" s="259"/>
      <c r="AP169" s="411"/>
      <c r="AQ169" s="259"/>
    </row>
    <row r="170" spans="1:43" s="327" customFormat="1" ht="24" customHeight="1" x14ac:dyDescent="0.25">
      <c r="A170" s="1473" t="s">
        <v>42</v>
      </c>
      <c r="B170" s="780" t="s">
        <v>205</v>
      </c>
      <c r="C170" s="807"/>
      <c r="D170" s="807"/>
      <c r="E170" s="807"/>
      <c r="F170" s="1644">
        <v>2400</v>
      </c>
      <c r="G170" s="807"/>
      <c r="H170" s="807"/>
      <c r="I170" s="1463" t="s">
        <v>19</v>
      </c>
      <c r="J170" s="25">
        <v>12351.86</v>
      </c>
      <c r="K170" s="25">
        <f t="shared" ref="K170:P170" si="106">K171+K173</f>
        <v>8845.1</v>
      </c>
      <c r="L170" s="3">
        <f t="shared" si="106"/>
        <v>25182.28</v>
      </c>
      <c r="M170" s="3">
        <f t="shared" si="106"/>
        <v>1753.38</v>
      </c>
      <c r="N170" s="3">
        <f t="shared" si="106"/>
        <v>1168.92</v>
      </c>
      <c r="O170" s="3">
        <f t="shared" si="106"/>
        <v>997.45</v>
      </c>
      <c r="P170" s="3">
        <f t="shared" si="106"/>
        <v>1632.45</v>
      </c>
      <c r="Q170" s="3">
        <f t="shared" ref="Q170:AO170" si="107">Q173+Q171</f>
        <v>0</v>
      </c>
      <c r="R170" s="3">
        <f t="shared" si="107"/>
        <v>707.47199999999998</v>
      </c>
      <c r="S170" s="3">
        <f t="shared" si="107"/>
        <v>707.47199999999998</v>
      </c>
      <c r="T170" s="3">
        <f t="shared" si="107"/>
        <v>0</v>
      </c>
      <c r="U170" s="3">
        <f t="shared" si="107"/>
        <v>0</v>
      </c>
      <c r="V170" s="3">
        <f t="shared" si="107"/>
        <v>0</v>
      </c>
      <c r="W170" s="3">
        <f t="shared" si="107"/>
        <v>0</v>
      </c>
      <c r="X170" s="3">
        <f t="shared" si="107"/>
        <v>0</v>
      </c>
      <c r="Y170" s="3">
        <f t="shared" si="107"/>
        <v>0</v>
      </c>
      <c r="Z170" s="95">
        <v>0</v>
      </c>
      <c r="AA170" s="3">
        <f t="shared" si="107"/>
        <v>0</v>
      </c>
      <c r="AB170" s="3">
        <f t="shared" si="107"/>
        <v>707.47</v>
      </c>
      <c r="AC170" s="3">
        <f t="shared" si="107"/>
        <v>0</v>
      </c>
      <c r="AD170" s="3">
        <f t="shared" si="107"/>
        <v>0</v>
      </c>
      <c r="AE170" s="3">
        <f t="shared" si="107"/>
        <v>0</v>
      </c>
      <c r="AF170" s="3">
        <f t="shared" si="107"/>
        <v>0</v>
      </c>
      <c r="AG170" s="3">
        <f t="shared" si="107"/>
        <v>0</v>
      </c>
      <c r="AH170" s="3">
        <f t="shared" si="107"/>
        <v>0</v>
      </c>
      <c r="AI170" s="3">
        <f t="shared" si="107"/>
        <v>0</v>
      </c>
      <c r="AJ170" s="3">
        <f t="shared" si="107"/>
        <v>0</v>
      </c>
      <c r="AK170" s="3">
        <f>P170-Q170</f>
        <v>1632.45</v>
      </c>
      <c r="AL170" s="3">
        <f>AK170</f>
        <v>1632.45</v>
      </c>
      <c r="AM170" s="318">
        <f>ROUND((Q170*100%/P170*100),2)</f>
        <v>0</v>
      </c>
      <c r="AN170" s="3">
        <f t="shared" si="107"/>
        <v>0</v>
      </c>
      <c r="AO170" s="3">
        <f t="shared" si="107"/>
        <v>0</v>
      </c>
      <c r="AP170" s="808"/>
      <c r="AQ170" s="95">
        <v>0</v>
      </c>
    </row>
    <row r="171" spans="1:43" ht="16.5" customHeight="1" x14ac:dyDescent="0.25">
      <c r="A171" s="1643"/>
      <c r="B171" s="1" t="s">
        <v>15</v>
      </c>
      <c r="C171" s="48"/>
      <c r="D171" s="48"/>
      <c r="E171" s="48"/>
      <c r="F171" s="1645"/>
      <c r="G171" s="1291">
        <v>2018</v>
      </c>
      <c r="H171" s="1291">
        <v>2018</v>
      </c>
      <c r="I171" s="1464"/>
      <c r="J171" s="634">
        <v>1815.76</v>
      </c>
      <c r="K171" s="634">
        <v>1815.76</v>
      </c>
      <c r="L171" s="47">
        <v>2458.14</v>
      </c>
      <c r="M171" s="47">
        <v>0</v>
      </c>
      <c r="N171" s="47">
        <v>412.99</v>
      </c>
      <c r="O171" s="47">
        <v>0</v>
      </c>
      <c r="P171" s="47">
        <v>246.67</v>
      </c>
      <c r="Q171" s="83">
        <v>0</v>
      </c>
      <c r="R171" s="83">
        <f t="shared" ref="R171:AG171" si="108">R172</f>
        <v>707.47199999999998</v>
      </c>
      <c r="S171" s="83">
        <f t="shared" si="108"/>
        <v>707.47199999999998</v>
      </c>
      <c r="T171" s="83">
        <f t="shared" si="108"/>
        <v>0</v>
      </c>
      <c r="U171" s="83">
        <f t="shared" si="108"/>
        <v>0</v>
      </c>
      <c r="V171" s="83">
        <f t="shared" si="108"/>
        <v>0</v>
      </c>
      <c r="W171" s="83">
        <f t="shared" si="108"/>
        <v>0</v>
      </c>
      <c r="X171" s="83">
        <f t="shared" si="108"/>
        <v>0</v>
      </c>
      <c r="Y171" s="83">
        <f t="shared" si="108"/>
        <v>0</v>
      </c>
      <c r="Z171" s="259"/>
      <c r="AA171" s="83">
        <v>0</v>
      </c>
      <c r="AB171" s="83">
        <f t="shared" si="108"/>
        <v>707.47</v>
      </c>
      <c r="AC171" s="83">
        <f t="shared" si="108"/>
        <v>0</v>
      </c>
      <c r="AD171" s="83">
        <f t="shared" si="108"/>
        <v>0</v>
      </c>
      <c r="AE171" s="83">
        <f t="shared" si="108"/>
        <v>0</v>
      </c>
      <c r="AF171" s="83">
        <f t="shared" si="108"/>
        <v>0</v>
      </c>
      <c r="AG171" s="83">
        <f t="shared" si="108"/>
        <v>0</v>
      </c>
      <c r="AH171" s="47">
        <v>0</v>
      </c>
      <c r="AI171" s="47">
        <v>0</v>
      </c>
      <c r="AJ171" s="47">
        <v>0</v>
      </c>
      <c r="AK171" s="47">
        <v>0</v>
      </c>
      <c r="AL171" s="47">
        <v>0</v>
      </c>
      <c r="AM171" s="47">
        <v>0</v>
      </c>
      <c r="AN171" s="47">
        <v>0</v>
      </c>
      <c r="AO171" s="47">
        <v>0</v>
      </c>
      <c r="AP171" s="617"/>
      <c r="AQ171" s="259"/>
    </row>
    <row r="172" spans="1:43" s="266" customFormat="1" ht="27" hidden="1" customHeight="1" x14ac:dyDescent="0.25">
      <c r="A172" s="1643"/>
      <c r="B172" s="537" t="s">
        <v>301</v>
      </c>
      <c r="C172" s="544"/>
      <c r="D172" s="544"/>
      <c r="E172" s="544"/>
      <c r="F172" s="1645"/>
      <c r="G172" s="104"/>
      <c r="H172" s="104"/>
      <c r="I172" s="1464"/>
      <c r="J172" s="636"/>
      <c r="K172" s="636"/>
      <c r="L172" s="96"/>
      <c r="M172" s="96"/>
      <c r="N172" s="96"/>
      <c r="O172" s="96"/>
      <c r="P172" s="96"/>
      <c r="Q172" s="259">
        <f>S172</f>
        <v>707.47199999999998</v>
      </c>
      <c r="R172" s="259">
        <f>S172</f>
        <v>707.47199999999998</v>
      </c>
      <c r="S172" s="259">
        <v>707.47199999999998</v>
      </c>
      <c r="T172" s="259"/>
      <c r="U172" s="259"/>
      <c r="V172" s="259"/>
      <c r="W172" s="259"/>
      <c r="X172" s="259"/>
      <c r="Y172" s="259"/>
      <c r="Z172" s="259"/>
      <c r="AA172" s="259">
        <f>AB172</f>
        <v>707.47</v>
      </c>
      <c r="AB172" s="259">
        <v>707.47</v>
      </c>
      <c r="AC172" s="259"/>
      <c r="AD172" s="259"/>
      <c r="AE172" s="259"/>
      <c r="AF172" s="259"/>
      <c r="AG172" s="259"/>
      <c r="AH172" s="96"/>
      <c r="AI172" s="96"/>
      <c r="AJ172" s="96"/>
      <c r="AK172" s="96"/>
      <c r="AL172" s="96"/>
      <c r="AM172" s="96"/>
      <c r="AN172" s="96"/>
      <c r="AO172" s="96"/>
      <c r="AP172" s="618"/>
      <c r="AQ172" s="259"/>
    </row>
    <row r="173" spans="1:43" ht="14.25" customHeight="1" x14ac:dyDescent="0.25">
      <c r="A173" s="1474"/>
      <c r="B173" s="1" t="s">
        <v>32</v>
      </c>
      <c r="C173" s="48"/>
      <c r="D173" s="48"/>
      <c r="E173" s="48"/>
      <c r="F173" s="1328"/>
      <c r="G173" s="1291">
        <v>2018</v>
      </c>
      <c r="H173" s="1291">
        <v>2021</v>
      </c>
      <c r="I173" s="1465"/>
      <c r="J173" s="634">
        <v>10536.1</v>
      </c>
      <c r="K173" s="634">
        <v>7029.34</v>
      </c>
      <c r="L173" s="47">
        <v>22724.14</v>
      </c>
      <c r="M173" s="47">
        <v>1753.38</v>
      </c>
      <c r="N173" s="47">
        <v>755.93</v>
      </c>
      <c r="O173" s="47">
        <v>997.45</v>
      </c>
      <c r="P173" s="47">
        <v>1385.78</v>
      </c>
      <c r="Q173" s="47">
        <v>0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47">
        <v>0</v>
      </c>
      <c r="X173" s="47">
        <v>0</v>
      </c>
      <c r="Y173" s="47">
        <v>0</v>
      </c>
      <c r="Z173" s="96"/>
      <c r="AA173" s="47">
        <v>0</v>
      </c>
      <c r="AB173" s="47">
        <v>0</v>
      </c>
      <c r="AC173" s="47">
        <v>0</v>
      </c>
      <c r="AD173" s="47">
        <v>0</v>
      </c>
      <c r="AE173" s="47">
        <v>0</v>
      </c>
      <c r="AF173" s="47">
        <v>0</v>
      </c>
      <c r="AG173" s="47">
        <v>0</v>
      </c>
      <c r="AH173" s="47">
        <v>0</v>
      </c>
      <c r="AI173" s="47">
        <v>0</v>
      </c>
      <c r="AJ173" s="47">
        <v>0</v>
      </c>
      <c r="AK173" s="47">
        <v>0</v>
      </c>
      <c r="AL173" s="47">
        <v>0</v>
      </c>
      <c r="AM173" s="47">
        <v>0</v>
      </c>
      <c r="AN173" s="47">
        <v>0</v>
      </c>
      <c r="AO173" s="47">
        <v>0</v>
      </c>
      <c r="AP173" s="397"/>
      <c r="AQ173" s="96"/>
    </row>
    <row r="174" spans="1:43" s="327" customFormat="1" ht="30.75" customHeight="1" x14ac:dyDescent="0.25">
      <c r="A174" s="1398" t="s">
        <v>63</v>
      </c>
      <c r="B174" s="780" t="s">
        <v>66</v>
      </c>
      <c r="C174" s="1471"/>
      <c r="D174" s="1471"/>
      <c r="E174" s="1471"/>
      <c r="F174" s="1466"/>
      <c r="G174" s="1489">
        <v>2019</v>
      </c>
      <c r="H174" s="1469">
        <v>2021</v>
      </c>
      <c r="I174" s="1466" t="s">
        <v>19</v>
      </c>
      <c r="J174" s="1648">
        <f>K174+L174</f>
        <v>74500.679999999993</v>
      </c>
      <c r="K174" s="1646">
        <v>0</v>
      </c>
      <c r="L174" s="70">
        <f t="shared" ref="L174:W174" si="109">L175</f>
        <v>74500.679999999993</v>
      </c>
      <c r="M174" s="70">
        <f t="shared" si="109"/>
        <v>24180.74</v>
      </c>
      <c r="N174" s="70">
        <f t="shared" si="109"/>
        <v>24180.74</v>
      </c>
      <c r="O174" s="70">
        <f t="shared" si="109"/>
        <v>13819.52</v>
      </c>
      <c r="P174" s="70">
        <v>0</v>
      </c>
      <c r="Q174" s="804">
        <f t="shared" si="109"/>
        <v>0</v>
      </c>
      <c r="R174" s="804">
        <f t="shared" si="109"/>
        <v>0</v>
      </c>
      <c r="S174" s="804">
        <f t="shared" si="109"/>
        <v>0</v>
      </c>
      <c r="T174" s="804">
        <f t="shared" si="109"/>
        <v>0</v>
      </c>
      <c r="U174" s="804">
        <f t="shared" si="109"/>
        <v>0</v>
      </c>
      <c r="V174" s="804">
        <f t="shared" si="109"/>
        <v>0</v>
      </c>
      <c r="W174" s="804">
        <f t="shared" si="109"/>
        <v>0</v>
      </c>
      <c r="X174" s="804">
        <f>X175</f>
        <v>0</v>
      </c>
      <c r="Y174" s="804">
        <f>Y175</f>
        <v>0</v>
      </c>
      <c r="Z174" s="805">
        <v>0</v>
      </c>
      <c r="AA174" s="804">
        <f>AA175</f>
        <v>0</v>
      </c>
      <c r="AB174" s="804">
        <f>AB175</f>
        <v>0</v>
      </c>
      <c r="AC174" s="804">
        <f>AC175</f>
        <v>0</v>
      </c>
      <c r="AD174" s="804">
        <f t="shared" ref="AD174:AO174" si="110">AD175</f>
        <v>0</v>
      </c>
      <c r="AE174" s="804">
        <f t="shared" si="110"/>
        <v>0</v>
      </c>
      <c r="AF174" s="804">
        <f t="shared" si="110"/>
        <v>0</v>
      </c>
      <c r="AG174" s="804">
        <f t="shared" si="110"/>
        <v>0</v>
      </c>
      <c r="AH174" s="804">
        <f t="shared" si="110"/>
        <v>0</v>
      </c>
      <c r="AI174" s="804">
        <f t="shared" si="110"/>
        <v>0</v>
      </c>
      <c r="AJ174" s="804">
        <f t="shared" si="110"/>
        <v>0</v>
      </c>
      <c r="AK174" s="3">
        <v>0</v>
      </c>
      <c r="AL174" s="3">
        <f>AK174</f>
        <v>0</v>
      </c>
      <c r="AM174" s="318" t="e">
        <f>ROUND((Q174*100%/P174*100),2)</f>
        <v>#DIV/0!</v>
      </c>
      <c r="AN174" s="804">
        <f t="shared" si="110"/>
        <v>0</v>
      </c>
      <c r="AO174" s="804">
        <f t="shared" si="110"/>
        <v>0</v>
      </c>
      <c r="AP174" s="806" t="s">
        <v>295</v>
      </c>
      <c r="AQ174" s="805">
        <v>0</v>
      </c>
    </row>
    <row r="175" spans="1:43" ht="18" hidden="1" customHeight="1" x14ac:dyDescent="0.25">
      <c r="A175" s="1488"/>
      <c r="B175" s="1" t="s">
        <v>16</v>
      </c>
      <c r="C175" s="1471"/>
      <c r="D175" s="1471"/>
      <c r="E175" s="1471"/>
      <c r="F175" s="1466"/>
      <c r="G175" s="1489"/>
      <c r="H175" s="1470"/>
      <c r="I175" s="1466"/>
      <c r="J175" s="1648"/>
      <c r="K175" s="1647"/>
      <c r="L175" s="1308">
        <v>74500.679999999993</v>
      </c>
      <c r="M175" s="83">
        <v>24180.74</v>
      </c>
      <c r="N175" s="83">
        <v>24180.74</v>
      </c>
      <c r="O175" s="83">
        <v>13819.52</v>
      </c>
      <c r="P175" s="83">
        <v>26139.200000000001</v>
      </c>
      <c r="Q175" s="83">
        <v>0</v>
      </c>
      <c r="R175" s="83">
        <f t="shared" ref="R175:W175" si="111">SUM(R176:R182)</f>
        <v>0</v>
      </c>
      <c r="S175" s="83">
        <f t="shared" si="111"/>
        <v>0</v>
      </c>
      <c r="T175" s="83">
        <f t="shared" si="111"/>
        <v>0</v>
      </c>
      <c r="U175" s="83">
        <f t="shared" si="111"/>
        <v>0</v>
      </c>
      <c r="V175" s="83">
        <f t="shared" si="111"/>
        <v>0</v>
      </c>
      <c r="W175" s="83">
        <f t="shared" si="111"/>
        <v>0</v>
      </c>
      <c r="X175" s="83">
        <v>0</v>
      </c>
      <c r="Y175" s="83">
        <f t="shared" ref="Y175:AE175" si="112">SUM(Y176:Y182)</f>
        <v>0</v>
      </c>
      <c r="Z175" s="259"/>
      <c r="AA175" s="83">
        <f t="shared" si="112"/>
        <v>0</v>
      </c>
      <c r="AB175" s="83">
        <f t="shared" si="112"/>
        <v>0</v>
      </c>
      <c r="AC175" s="83">
        <f t="shared" si="112"/>
        <v>0</v>
      </c>
      <c r="AD175" s="83">
        <f t="shared" si="112"/>
        <v>0</v>
      </c>
      <c r="AE175" s="83">
        <f t="shared" si="112"/>
        <v>0</v>
      </c>
      <c r="AF175" s="83">
        <f>SUM(AG175:AI175)</f>
        <v>0</v>
      </c>
      <c r="AG175" s="83">
        <f>SUM(AG176:AG182)</f>
        <v>0</v>
      </c>
      <c r="AH175" s="83">
        <f>SUM(AH176:AH182)</f>
        <v>0</v>
      </c>
      <c r="AI175" s="83">
        <v>0</v>
      </c>
      <c r="AJ175" s="83">
        <v>0</v>
      </c>
      <c r="AK175" s="83">
        <f>SUM(AK176:AK182)</f>
        <v>0</v>
      </c>
      <c r="AL175" s="83">
        <f>SUM(AL176:AL182)</f>
        <v>0</v>
      </c>
      <c r="AM175" s="83">
        <f>SUM(AM176:AM182)</f>
        <v>0</v>
      </c>
      <c r="AN175" s="83">
        <f>SUM(AN176:AN182)</f>
        <v>0</v>
      </c>
      <c r="AO175" s="83">
        <f>SUM(AO176:AO182)</f>
        <v>0</v>
      </c>
      <c r="AP175" s="409"/>
      <c r="AQ175" s="259"/>
    </row>
    <row r="176" spans="1:43" s="266" customFormat="1" ht="18" hidden="1" customHeight="1" x14ac:dyDescent="0.25">
      <c r="A176" s="324"/>
      <c r="B176" s="252" t="s">
        <v>152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/>
      <c r="X176" s="259"/>
      <c r="Y176" s="259"/>
      <c r="Z176" s="259"/>
      <c r="AA176" s="259">
        <v>0</v>
      </c>
      <c r="AB176" s="259"/>
      <c r="AC176" s="259"/>
      <c r="AD176" s="259"/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156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</f>
        <v>0</v>
      </c>
      <c r="R177" s="259"/>
      <c r="S177" s="259"/>
      <c r="T177" s="259"/>
      <c r="U177" s="259"/>
      <c r="V177" s="259">
        <v>0</v>
      </c>
      <c r="W177" s="259">
        <v>0</v>
      </c>
      <c r="X177" s="259"/>
      <c r="Y177" s="259"/>
      <c r="Z177" s="259"/>
      <c r="AA177" s="259"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26.25" hidden="1" customHeight="1" x14ac:dyDescent="0.25">
      <c r="A178" s="324"/>
      <c r="B178" s="252" t="s">
        <v>229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f>S178+U178+W178+Y178</f>
        <v>0</v>
      </c>
      <c r="R178" s="259"/>
      <c r="S178" s="259"/>
      <c r="T178" s="259"/>
      <c r="U178" s="259"/>
      <c r="V178" s="259"/>
      <c r="W178" s="259"/>
      <c r="X178" s="259">
        <v>0</v>
      </c>
      <c r="Y178" s="259">
        <v>0</v>
      </c>
      <c r="Z178" s="259"/>
      <c r="AA178" s="259">
        <v>0</v>
      </c>
      <c r="AB178" s="259">
        <v>0</v>
      </c>
      <c r="AC178" s="259"/>
      <c r="AD178" s="259"/>
      <c r="AE178" s="259"/>
      <c r="AF178" s="259">
        <f>SUM(AG178:AG178)</f>
        <v>0</v>
      </c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230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>
        <v>0</v>
      </c>
      <c r="X179" s="259">
        <v>0</v>
      </c>
      <c r="Y179" s="259">
        <v>0</v>
      </c>
      <c r="Z179" s="259"/>
      <c r="AA179" s="259">
        <f>AB179+AC179</f>
        <v>0</v>
      </c>
      <c r="AB179" s="259">
        <v>0</v>
      </c>
      <c r="AC179" s="259">
        <v>0</v>
      </c>
      <c r="AD179" s="259">
        <v>0</v>
      </c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266" customFormat="1" ht="18" hidden="1" customHeight="1" x14ac:dyDescent="0.25">
      <c r="A180" s="324"/>
      <c r="B180" s="252" t="s">
        <v>231</v>
      </c>
      <c r="C180" s="253"/>
      <c r="D180" s="253"/>
      <c r="E180" s="253"/>
      <c r="F180" s="363"/>
      <c r="G180" s="255"/>
      <c r="H180" s="256"/>
      <c r="I180" s="104"/>
      <c r="J180" s="533"/>
      <c r="K180" s="534"/>
      <c r="L180" s="258"/>
      <c r="M180" s="259"/>
      <c r="N180" s="259"/>
      <c r="O180" s="259"/>
      <c r="P180" s="83"/>
      <c r="Q180" s="259">
        <f>S180+U180+W180+Y180</f>
        <v>0</v>
      </c>
      <c r="R180" s="259"/>
      <c r="S180" s="259"/>
      <c r="T180" s="259">
        <v>0</v>
      </c>
      <c r="U180" s="259">
        <v>0</v>
      </c>
      <c r="V180" s="259"/>
      <c r="W180" s="259"/>
      <c r="X180" s="259">
        <v>0</v>
      </c>
      <c r="Y180" s="259">
        <v>0</v>
      </c>
      <c r="Z180" s="259"/>
      <c r="AA180" s="259">
        <f>AB180+AC180</f>
        <v>0</v>
      </c>
      <c r="AB180" s="259">
        <v>0</v>
      </c>
      <c r="AC180" s="259"/>
      <c r="AD180" s="259"/>
      <c r="AE180" s="259"/>
      <c r="AF180" s="259">
        <f>SUM(AG180:AG180)</f>
        <v>0</v>
      </c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411"/>
      <c r="AQ180" s="259"/>
    </row>
    <row r="181" spans="1:43" s="266" customFormat="1" ht="18" hidden="1" customHeight="1" x14ac:dyDescent="0.25">
      <c r="A181" s="324"/>
      <c r="B181" s="252" t="s">
        <v>259</v>
      </c>
      <c r="C181" s="253"/>
      <c r="D181" s="253"/>
      <c r="E181" s="253"/>
      <c r="F181" s="363"/>
      <c r="G181" s="255"/>
      <c r="H181" s="256"/>
      <c r="I181" s="104"/>
      <c r="J181" s="533"/>
      <c r="K181" s="534"/>
      <c r="L181" s="258"/>
      <c r="M181" s="259"/>
      <c r="N181" s="259"/>
      <c r="O181" s="259"/>
      <c r="P181" s="83"/>
      <c r="Q181" s="259">
        <v>0</v>
      </c>
      <c r="R181" s="259"/>
      <c r="S181" s="259"/>
      <c r="T181" s="259">
        <v>0</v>
      </c>
      <c r="U181" s="259">
        <v>0</v>
      </c>
      <c r="V181" s="259"/>
      <c r="W181" s="259"/>
      <c r="X181" s="259"/>
      <c r="Y181" s="259"/>
      <c r="Z181" s="259"/>
      <c r="AA181" s="259">
        <f>AB181+AC181</f>
        <v>0</v>
      </c>
      <c r="AB181" s="259"/>
      <c r="AC181" s="259">
        <v>0</v>
      </c>
      <c r="AD181" s="259"/>
      <c r="AE181" s="259"/>
      <c r="AF181" s="259"/>
      <c r="AG181" s="259"/>
      <c r="AH181" s="259"/>
      <c r="AI181" s="259"/>
      <c r="AJ181" s="259"/>
      <c r="AK181" s="259"/>
      <c r="AL181" s="259"/>
      <c r="AM181" s="259"/>
      <c r="AN181" s="259"/>
      <c r="AO181" s="259"/>
      <c r="AP181" s="411"/>
      <c r="AQ181" s="259"/>
    </row>
    <row r="182" spans="1:43" s="266" customFormat="1" ht="18" hidden="1" customHeight="1" x14ac:dyDescent="0.25">
      <c r="A182" s="324"/>
      <c r="B182" s="252" t="s">
        <v>153</v>
      </c>
      <c r="C182" s="253"/>
      <c r="D182" s="253"/>
      <c r="E182" s="253"/>
      <c r="F182" s="363"/>
      <c r="G182" s="255"/>
      <c r="H182" s="256"/>
      <c r="I182" s="104"/>
      <c r="J182" s="533"/>
      <c r="K182" s="534"/>
      <c r="L182" s="258"/>
      <c r="M182" s="259"/>
      <c r="N182" s="259"/>
      <c r="O182" s="259"/>
      <c r="P182" s="83"/>
      <c r="Q182" s="259">
        <f>S182+U182+W182+Y182</f>
        <v>0</v>
      </c>
      <c r="R182" s="259">
        <f>S182</f>
        <v>0</v>
      </c>
      <c r="S182" s="259">
        <v>0</v>
      </c>
      <c r="T182" s="259">
        <v>0</v>
      </c>
      <c r="U182" s="259">
        <v>0</v>
      </c>
      <c r="V182" s="259"/>
      <c r="W182" s="259"/>
      <c r="X182" s="259">
        <v>0</v>
      </c>
      <c r="Y182" s="259">
        <v>0</v>
      </c>
      <c r="Z182" s="259"/>
      <c r="AA182" s="259">
        <v>0</v>
      </c>
      <c r="AB182" s="259">
        <v>0</v>
      </c>
      <c r="AC182" s="259"/>
      <c r="AD182" s="259"/>
      <c r="AE182" s="259"/>
      <c r="AF182" s="259">
        <f>SUM(AG182:AG182)</f>
        <v>0</v>
      </c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s="327" customFormat="1" ht="42" customHeight="1" x14ac:dyDescent="0.25">
      <c r="A183" s="1398" t="s">
        <v>167</v>
      </c>
      <c r="B183" s="772" t="s">
        <v>168</v>
      </c>
      <c r="C183" s="809"/>
      <c r="D183" s="809"/>
      <c r="E183" s="809"/>
      <c r="F183" s="312"/>
      <c r="G183" s="775"/>
      <c r="H183" s="810"/>
      <c r="I183" s="1326" t="s">
        <v>19</v>
      </c>
      <c r="J183" s="283"/>
      <c r="K183" s="811"/>
      <c r="L183" s="1286">
        <f>L184</f>
        <v>7644.31</v>
      </c>
      <c r="M183" s="1286">
        <f>M184</f>
        <v>0</v>
      </c>
      <c r="N183" s="1286">
        <f t="shared" ref="N183:AO183" si="113">N184</f>
        <v>377.26</v>
      </c>
      <c r="O183" s="1286">
        <f t="shared" si="113"/>
        <v>0</v>
      </c>
      <c r="P183" s="1286">
        <f>P184+P186</f>
        <v>70000</v>
      </c>
      <c r="Q183" s="1286">
        <f>Q184+Q186</f>
        <v>0</v>
      </c>
      <c r="R183" s="1286">
        <f t="shared" ref="R183:AA183" si="114">R184+R186</f>
        <v>0</v>
      </c>
      <c r="S183" s="1286">
        <f t="shared" si="114"/>
        <v>0</v>
      </c>
      <c r="T183" s="1286">
        <f t="shared" si="114"/>
        <v>0</v>
      </c>
      <c r="U183" s="1286">
        <f t="shared" si="114"/>
        <v>0</v>
      </c>
      <c r="V183" s="1286">
        <f t="shared" si="114"/>
        <v>0</v>
      </c>
      <c r="W183" s="1286">
        <f t="shared" si="114"/>
        <v>0</v>
      </c>
      <c r="X183" s="1286">
        <f t="shared" si="114"/>
        <v>0</v>
      </c>
      <c r="Y183" s="1286">
        <f t="shared" si="114"/>
        <v>0</v>
      </c>
      <c r="Z183" s="1286">
        <f t="shared" si="114"/>
        <v>0</v>
      </c>
      <c r="AA183" s="1286">
        <f t="shared" si="114"/>
        <v>0</v>
      </c>
      <c r="AB183" s="1286">
        <f t="shared" si="113"/>
        <v>0</v>
      </c>
      <c r="AC183" s="1286">
        <f t="shared" si="113"/>
        <v>0</v>
      </c>
      <c r="AD183" s="1286">
        <f t="shared" si="113"/>
        <v>0</v>
      </c>
      <c r="AE183" s="1286">
        <f t="shared" si="113"/>
        <v>0</v>
      </c>
      <c r="AF183" s="1286">
        <f t="shared" si="113"/>
        <v>0</v>
      </c>
      <c r="AG183" s="1286">
        <f t="shared" si="113"/>
        <v>0</v>
      </c>
      <c r="AH183" s="1286">
        <f t="shared" si="113"/>
        <v>0</v>
      </c>
      <c r="AI183" s="1286">
        <f t="shared" si="113"/>
        <v>0</v>
      </c>
      <c r="AJ183" s="1286">
        <f t="shared" si="113"/>
        <v>0</v>
      </c>
      <c r="AK183" s="1286">
        <f t="shared" si="113"/>
        <v>0</v>
      </c>
      <c r="AL183" s="1286">
        <f t="shared" si="113"/>
        <v>0</v>
      </c>
      <c r="AM183" s="1286">
        <f t="shared" si="113"/>
        <v>0</v>
      </c>
      <c r="AN183" s="1286">
        <f t="shared" si="113"/>
        <v>0</v>
      </c>
      <c r="AO183" s="1286">
        <f t="shared" si="113"/>
        <v>0</v>
      </c>
      <c r="AP183" s="806" t="s">
        <v>244</v>
      </c>
      <c r="AQ183" s="812">
        <v>0</v>
      </c>
    </row>
    <row r="184" spans="1:43" ht="18" customHeight="1" x14ac:dyDescent="0.25">
      <c r="A184" s="1488"/>
      <c r="B184" s="42" t="s">
        <v>15</v>
      </c>
      <c r="C184" s="334"/>
      <c r="D184" s="334"/>
      <c r="E184" s="334"/>
      <c r="F184" s="313"/>
      <c r="G184" s="335"/>
      <c r="H184" s="336"/>
      <c r="I184" s="1328"/>
      <c r="J184" s="1310"/>
      <c r="K184" s="649"/>
      <c r="L184" s="1308">
        <v>7644.31</v>
      </c>
      <c r="M184" s="83">
        <v>0</v>
      </c>
      <c r="N184" s="83">
        <v>377.26</v>
      </c>
      <c r="O184" s="83">
        <v>0</v>
      </c>
      <c r="P184" s="83">
        <v>7000</v>
      </c>
      <c r="Q184" s="83">
        <v>0</v>
      </c>
      <c r="R184" s="83">
        <v>0</v>
      </c>
      <c r="S184" s="83">
        <v>0</v>
      </c>
      <c r="T184" s="83">
        <f>SUM(T185:T186)</f>
        <v>0</v>
      </c>
      <c r="U184" s="83">
        <f>SUM(U185:U186)</f>
        <v>0</v>
      </c>
      <c r="V184" s="83">
        <f t="shared" ref="V184:AE184" si="115">SUM(V185:V186)</f>
        <v>0</v>
      </c>
      <c r="W184" s="83">
        <f t="shared" si="115"/>
        <v>0</v>
      </c>
      <c r="X184" s="83">
        <f t="shared" si="115"/>
        <v>0</v>
      </c>
      <c r="Y184" s="83">
        <f t="shared" si="115"/>
        <v>0</v>
      </c>
      <c r="Z184" s="259"/>
      <c r="AA184" s="83">
        <f t="shared" si="115"/>
        <v>0</v>
      </c>
      <c r="AB184" s="83">
        <f t="shared" si="115"/>
        <v>0</v>
      </c>
      <c r="AC184" s="83">
        <f t="shared" si="115"/>
        <v>0</v>
      </c>
      <c r="AD184" s="83">
        <f t="shared" si="115"/>
        <v>0</v>
      </c>
      <c r="AE184" s="83">
        <f t="shared" si="115"/>
        <v>0</v>
      </c>
      <c r="AF184" s="83">
        <v>0</v>
      </c>
      <c r="AG184" s="83">
        <v>0</v>
      </c>
      <c r="AH184" s="83">
        <v>0</v>
      </c>
      <c r="AI184" s="83">
        <v>0</v>
      </c>
      <c r="AJ184" s="83">
        <v>0</v>
      </c>
      <c r="AK184" s="83">
        <v>0</v>
      </c>
      <c r="AL184" s="83">
        <v>0</v>
      </c>
      <c r="AM184" s="83">
        <v>0</v>
      </c>
      <c r="AN184" s="83">
        <v>0</v>
      </c>
      <c r="AO184" s="83">
        <v>0</v>
      </c>
      <c r="AP184" s="409"/>
      <c r="AQ184" s="259"/>
    </row>
    <row r="185" spans="1:43" s="266" customFormat="1" ht="18" hidden="1" customHeight="1" x14ac:dyDescent="0.25">
      <c r="A185" s="366"/>
      <c r="B185" s="252" t="s">
        <v>232</v>
      </c>
      <c r="C185" s="253"/>
      <c r="D185" s="253"/>
      <c r="E185" s="253"/>
      <c r="F185" s="363"/>
      <c r="G185" s="255"/>
      <c r="H185" s="256"/>
      <c r="I185" s="367"/>
      <c r="J185" s="533"/>
      <c r="K185" s="534"/>
      <c r="L185" s="258"/>
      <c r="M185" s="259"/>
      <c r="N185" s="259"/>
      <c r="O185" s="259"/>
      <c r="P185" s="83"/>
      <c r="Q185" s="259"/>
      <c r="R185" s="259"/>
      <c r="S185" s="259"/>
      <c r="T185" s="259"/>
      <c r="U185" s="259"/>
      <c r="V185" s="259"/>
      <c r="W185" s="259"/>
      <c r="X185" s="83"/>
      <c r="Y185" s="83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411"/>
      <c r="AQ185" s="259"/>
    </row>
    <row r="186" spans="1:43" ht="18" customHeight="1" x14ac:dyDescent="0.25">
      <c r="A186" s="1288"/>
      <c r="B186" s="42" t="s">
        <v>32</v>
      </c>
      <c r="C186" s="334"/>
      <c r="D186" s="334"/>
      <c r="E186" s="334"/>
      <c r="F186" s="313"/>
      <c r="G186" s="335"/>
      <c r="H186" s="336"/>
      <c r="I186" s="1273"/>
      <c r="J186" s="1310"/>
      <c r="K186" s="649"/>
      <c r="L186" s="1308"/>
      <c r="M186" s="83"/>
      <c r="N186" s="83"/>
      <c r="O186" s="83"/>
      <c r="P186" s="83">
        <v>63000</v>
      </c>
      <c r="Q186" s="83">
        <f>S186+U186</f>
        <v>0</v>
      </c>
      <c r="R186" s="83"/>
      <c r="S186" s="83"/>
      <c r="T186" s="83">
        <v>0</v>
      </c>
      <c r="U186" s="83">
        <v>0</v>
      </c>
      <c r="V186" s="83"/>
      <c r="W186" s="83"/>
      <c r="X186" s="83"/>
      <c r="Y186" s="83"/>
      <c r="Z186" s="83"/>
      <c r="AA186" s="83">
        <f>SUM(AB186:AC186)</f>
        <v>0</v>
      </c>
      <c r="AB186" s="83"/>
      <c r="AC186" s="83">
        <v>0</v>
      </c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409"/>
      <c r="AQ186" s="83"/>
    </row>
    <row r="187" spans="1:43" s="327" customFormat="1" ht="26.25" customHeight="1" x14ac:dyDescent="0.25">
      <c r="A187" s="1398" t="s">
        <v>169</v>
      </c>
      <c r="B187" s="772" t="s">
        <v>170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1286">
        <f>L188</f>
        <v>8790.08</v>
      </c>
      <c r="M187" s="1286">
        <f>M188</f>
        <v>0</v>
      </c>
      <c r="N187" s="1286">
        <f t="shared" ref="N187:AO188" si="116">N188</f>
        <v>612.4</v>
      </c>
      <c r="O187" s="1286">
        <f t="shared" si="116"/>
        <v>7188.28</v>
      </c>
      <c r="P187" s="1286">
        <v>1215.26</v>
      </c>
      <c r="Q187" s="1286">
        <v>0</v>
      </c>
      <c r="R187" s="1286">
        <f t="shared" si="116"/>
        <v>0</v>
      </c>
      <c r="S187" s="1286">
        <f t="shared" si="116"/>
        <v>0</v>
      </c>
      <c r="T187" s="1286">
        <f t="shared" si="116"/>
        <v>0</v>
      </c>
      <c r="U187" s="1286">
        <f t="shared" si="116"/>
        <v>2205.3380000000002</v>
      </c>
      <c r="V187" s="1286">
        <f t="shared" si="116"/>
        <v>0</v>
      </c>
      <c r="W187" s="1286">
        <f t="shared" si="116"/>
        <v>0</v>
      </c>
      <c r="X187" s="1286">
        <f t="shared" si="116"/>
        <v>0</v>
      </c>
      <c r="Y187" s="1286">
        <f t="shared" si="116"/>
        <v>0</v>
      </c>
      <c r="Z187" s="1286">
        <v>0</v>
      </c>
      <c r="AA187" s="1286">
        <v>0</v>
      </c>
      <c r="AB187" s="1286">
        <f>AB188</f>
        <v>2205.337</v>
      </c>
      <c r="AC187" s="1286">
        <f>AC188</f>
        <v>0</v>
      </c>
      <c r="AD187" s="1286">
        <f>AD188</f>
        <v>0</v>
      </c>
      <c r="AE187" s="1286">
        <f>AE188</f>
        <v>0</v>
      </c>
      <c r="AF187" s="1286">
        <f t="shared" si="116"/>
        <v>0</v>
      </c>
      <c r="AG187" s="1286">
        <f t="shared" si="116"/>
        <v>0</v>
      </c>
      <c r="AH187" s="1286">
        <f t="shared" si="116"/>
        <v>0</v>
      </c>
      <c r="AI187" s="1286">
        <f t="shared" si="116"/>
        <v>0</v>
      </c>
      <c r="AJ187" s="1286">
        <f t="shared" si="116"/>
        <v>0</v>
      </c>
      <c r="AK187" s="1286">
        <f t="shared" si="116"/>
        <v>0</v>
      </c>
      <c r="AL187" s="1286">
        <f t="shared" si="116"/>
        <v>0</v>
      </c>
      <c r="AM187" s="1286">
        <f t="shared" si="116"/>
        <v>0</v>
      </c>
      <c r="AN187" s="1286">
        <f t="shared" si="116"/>
        <v>0</v>
      </c>
      <c r="AO187" s="1286">
        <f t="shared" si="116"/>
        <v>0</v>
      </c>
      <c r="AP187" s="806"/>
      <c r="AQ187" s="1286">
        <v>0</v>
      </c>
    </row>
    <row r="188" spans="1:43" ht="24" hidden="1" customHeight="1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1310"/>
      <c r="K188" s="649"/>
      <c r="L188" s="1308">
        <v>8790.08</v>
      </c>
      <c r="M188" s="83">
        <v>0</v>
      </c>
      <c r="N188" s="83">
        <v>612.4</v>
      </c>
      <c r="O188" s="83">
        <v>7188.28</v>
      </c>
      <c r="P188" s="83">
        <v>8177.68</v>
      </c>
      <c r="Q188" s="83">
        <f>Q189</f>
        <v>2205.3380000000002</v>
      </c>
      <c r="R188" s="83">
        <f t="shared" si="116"/>
        <v>0</v>
      </c>
      <c r="S188" s="83">
        <f t="shared" si="116"/>
        <v>0</v>
      </c>
      <c r="T188" s="83">
        <f t="shared" si="116"/>
        <v>0</v>
      </c>
      <c r="U188" s="83">
        <f t="shared" si="116"/>
        <v>2205.3380000000002</v>
      </c>
      <c r="V188" s="83">
        <f t="shared" si="116"/>
        <v>0</v>
      </c>
      <c r="W188" s="83">
        <f t="shared" si="116"/>
        <v>0</v>
      </c>
      <c r="X188" s="83">
        <f t="shared" si="116"/>
        <v>0</v>
      </c>
      <c r="Y188" s="83">
        <f t="shared" si="116"/>
        <v>0</v>
      </c>
      <c r="Z188" s="259"/>
      <c r="AA188" s="83">
        <f t="shared" si="116"/>
        <v>2205.337</v>
      </c>
      <c r="AB188" s="83">
        <f t="shared" si="116"/>
        <v>2205.337</v>
      </c>
      <c r="AC188" s="83">
        <f t="shared" si="116"/>
        <v>0</v>
      </c>
      <c r="AD188" s="83">
        <f>AD189</f>
        <v>0</v>
      </c>
      <c r="AE188" s="83">
        <f>AE189</f>
        <v>0</v>
      </c>
      <c r="AF188" s="83">
        <f t="shared" si="116"/>
        <v>0</v>
      </c>
      <c r="AG188" s="83">
        <f t="shared" si="116"/>
        <v>0</v>
      </c>
      <c r="AH188" s="83">
        <v>0</v>
      </c>
      <c r="AI188" s="83">
        <v>0</v>
      </c>
      <c r="AJ188" s="83"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27" hidden="1" customHeight="1" x14ac:dyDescent="0.25">
      <c r="A189" s="366"/>
      <c r="B189" s="252" t="s">
        <v>302</v>
      </c>
      <c r="C189" s="253"/>
      <c r="D189" s="253"/>
      <c r="E189" s="253"/>
      <c r="F189" s="363"/>
      <c r="G189" s="255"/>
      <c r="H189" s="256"/>
      <c r="I189" s="367"/>
      <c r="J189" s="533"/>
      <c r="K189" s="534"/>
      <c r="L189" s="258"/>
      <c r="M189" s="259"/>
      <c r="N189" s="259"/>
      <c r="O189" s="259"/>
      <c r="P189" s="259"/>
      <c r="Q189" s="259">
        <f>S189+U189</f>
        <v>2205.3380000000002</v>
      </c>
      <c r="R189" s="259"/>
      <c r="S189" s="259"/>
      <c r="T189" s="259"/>
      <c r="U189" s="259">
        <v>2205.3380000000002</v>
      </c>
      <c r="V189" s="259"/>
      <c r="W189" s="259"/>
      <c r="X189" s="259"/>
      <c r="Y189" s="259"/>
      <c r="Z189" s="259"/>
      <c r="AA189" s="259">
        <f>AB189</f>
        <v>2205.337</v>
      </c>
      <c r="AB189" s="259">
        <v>2205.337</v>
      </c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327" customFormat="1" ht="43.5" customHeight="1" x14ac:dyDescent="0.25">
      <c r="A190" s="1398" t="s">
        <v>171</v>
      </c>
      <c r="B190" s="772" t="s">
        <v>172</v>
      </c>
      <c r="C190" s="809"/>
      <c r="D190" s="809"/>
      <c r="E190" s="809"/>
      <c r="F190" s="312"/>
      <c r="G190" s="775"/>
      <c r="H190" s="810"/>
      <c r="I190" s="1326" t="s">
        <v>19</v>
      </c>
      <c r="J190" s="283"/>
      <c r="K190" s="811"/>
      <c r="L190" s="1286">
        <f>L191+L197</f>
        <v>204849.53</v>
      </c>
      <c r="M190" s="1286">
        <f>M191+M197</f>
        <v>195485</v>
      </c>
      <c r="N190" s="1286">
        <f>N191+N197</f>
        <v>203676.84</v>
      </c>
      <c r="O190" s="1286">
        <f t="shared" ref="O190:AO190" si="117">O191</f>
        <v>1116.69</v>
      </c>
      <c r="P190" s="1286">
        <f>P191+P197</f>
        <v>0</v>
      </c>
      <c r="Q190" s="1286">
        <f t="shared" si="117"/>
        <v>0</v>
      </c>
      <c r="R190" s="1286">
        <f t="shared" si="117"/>
        <v>0</v>
      </c>
      <c r="S190" s="1286">
        <f t="shared" si="117"/>
        <v>3000</v>
      </c>
      <c r="T190" s="1286">
        <f t="shared" si="117"/>
        <v>0</v>
      </c>
      <c r="U190" s="1286">
        <f t="shared" si="117"/>
        <v>0</v>
      </c>
      <c r="V190" s="1286">
        <f t="shared" si="117"/>
        <v>0</v>
      </c>
      <c r="W190" s="1286">
        <f t="shared" si="117"/>
        <v>0</v>
      </c>
      <c r="X190" s="1286">
        <f t="shared" si="117"/>
        <v>0</v>
      </c>
      <c r="Y190" s="1286">
        <f t="shared" si="117"/>
        <v>0</v>
      </c>
      <c r="Z190" s="812">
        <v>0</v>
      </c>
      <c r="AA190" s="1286">
        <f t="shared" si="117"/>
        <v>0</v>
      </c>
      <c r="AB190" s="1286">
        <f t="shared" si="117"/>
        <v>0</v>
      </c>
      <c r="AC190" s="1286">
        <f t="shared" si="117"/>
        <v>0</v>
      </c>
      <c r="AD190" s="1286">
        <f t="shared" si="117"/>
        <v>0</v>
      </c>
      <c r="AE190" s="1286">
        <f t="shared" si="117"/>
        <v>0</v>
      </c>
      <c r="AF190" s="1286">
        <f t="shared" si="117"/>
        <v>0</v>
      </c>
      <c r="AG190" s="1286">
        <f t="shared" si="117"/>
        <v>0</v>
      </c>
      <c r="AH190" s="1286">
        <f t="shared" si="117"/>
        <v>0</v>
      </c>
      <c r="AI190" s="1286">
        <f t="shared" si="117"/>
        <v>0</v>
      </c>
      <c r="AJ190" s="1286">
        <f t="shared" si="117"/>
        <v>0</v>
      </c>
      <c r="AK190" s="1286">
        <f t="shared" si="117"/>
        <v>0</v>
      </c>
      <c r="AL190" s="1286">
        <f t="shared" si="117"/>
        <v>0</v>
      </c>
      <c r="AM190" s="1286">
        <f t="shared" si="117"/>
        <v>0</v>
      </c>
      <c r="AN190" s="1286">
        <f t="shared" si="117"/>
        <v>0</v>
      </c>
      <c r="AO190" s="1286">
        <f t="shared" si="117"/>
        <v>0</v>
      </c>
      <c r="AP190" s="813" t="s">
        <v>295</v>
      </c>
      <c r="AQ190" s="812">
        <v>0</v>
      </c>
    </row>
    <row r="191" spans="1:43" x14ac:dyDescent="0.25">
      <c r="A191" s="1488"/>
      <c r="B191" s="42" t="s">
        <v>15</v>
      </c>
      <c r="C191" s="334"/>
      <c r="D191" s="334"/>
      <c r="E191" s="334"/>
      <c r="F191" s="313"/>
      <c r="G191" s="335"/>
      <c r="H191" s="336"/>
      <c r="I191" s="1328"/>
      <c r="J191" s="1310"/>
      <c r="K191" s="649"/>
      <c r="L191" s="1308">
        <v>9364.5300000000007</v>
      </c>
      <c r="M191" s="83">
        <v>0</v>
      </c>
      <c r="N191" s="83">
        <v>8191.84</v>
      </c>
      <c r="O191" s="83">
        <v>1116.69</v>
      </c>
      <c r="P191" s="83">
        <v>0</v>
      </c>
      <c r="Q191" s="83">
        <v>0</v>
      </c>
      <c r="R191" s="83">
        <f>P191</f>
        <v>0</v>
      </c>
      <c r="S191" s="83">
        <f>SUM(S192:S196)</f>
        <v>3000</v>
      </c>
      <c r="T191" s="83">
        <v>0</v>
      </c>
      <c r="U191" s="83">
        <v>0</v>
      </c>
      <c r="V191" s="83">
        <v>0</v>
      </c>
      <c r="W191" s="83">
        <v>0</v>
      </c>
      <c r="X191" s="83">
        <v>0</v>
      </c>
      <c r="Y191" s="83">
        <v>0</v>
      </c>
      <c r="Z191" s="259"/>
      <c r="AA191" s="83">
        <f>SUM(AA192:AA196)</f>
        <v>0</v>
      </c>
      <c r="AB191" s="83">
        <f t="shared" ref="AB191:AJ191" si="118">SUM(AB192:AB194)</f>
        <v>0</v>
      </c>
      <c r="AC191" s="83">
        <f t="shared" si="118"/>
        <v>0</v>
      </c>
      <c r="AD191" s="83">
        <f t="shared" si="118"/>
        <v>0</v>
      </c>
      <c r="AE191" s="83">
        <f>SUM(AE192:AE196)</f>
        <v>0</v>
      </c>
      <c r="AF191" s="83">
        <f t="shared" si="118"/>
        <v>0</v>
      </c>
      <c r="AG191" s="83">
        <f t="shared" si="118"/>
        <v>0</v>
      </c>
      <c r="AH191" s="83">
        <f t="shared" si="118"/>
        <v>0</v>
      </c>
      <c r="AI191" s="83">
        <f t="shared" si="118"/>
        <v>0</v>
      </c>
      <c r="AJ191" s="83">
        <f t="shared" si="118"/>
        <v>0</v>
      </c>
      <c r="AK191" s="83">
        <v>0</v>
      </c>
      <c r="AL191" s="83">
        <v>0</v>
      </c>
      <c r="AM191" s="83">
        <v>0</v>
      </c>
      <c r="AN191" s="83">
        <v>0</v>
      </c>
      <c r="AO191" s="83">
        <v>0</v>
      </c>
      <c r="AP191" s="409"/>
      <c r="AQ191" s="259"/>
    </row>
    <row r="192" spans="1:43" s="266" customFormat="1" ht="15.75" hidden="1" x14ac:dyDescent="0.25">
      <c r="A192" s="324"/>
      <c r="B192" s="252" t="s">
        <v>233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83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83"/>
      <c r="Z192" s="259"/>
      <c r="AA192" s="259"/>
      <c r="AB192" s="259"/>
      <c r="AC192" s="259"/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262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S193+U193+W193</f>
        <v>3000</v>
      </c>
      <c r="R193" s="259">
        <f>S193</f>
        <v>3000</v>
      </c>
      <c r="S193" s="259">
        <v>3000</v>
      </c>
      <c r="T193" s="259">
        <f>U193</f>
        <v>0</v>
      </c>
      <c r="U193" s="259">
        <v>0</v>
      </c>
      <c r="V193" s="259"/>
      <c r="W193" s="259">
        <v>0</v>
      </c>
      <c r="X193" s="259"/>
      <c r="Y193" s="259"/>
      <c r="Z193" s="259"/>
      <c r="AA193" s="259">
        <f>SUM(AB193:AC193)</f>
        <v>0</v>
      </c>
      <c r="AB193" s="259"/>
      <c r="AC193" s="259">
        <v>0</v>
      </c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s="266" customFormat="1" ht="15.75" hidden="1" x14ac:dyDescent="0.25">
      <c r="A194" s="324"/>
      <c r="B194" s="252" t="s">
        <v>263</v>
      </c>
      <c r="C194" s="253"/>
      <c r="D194" s="253"/>
      <c r="E194" s="253"/>
      <c r="F194" s="363"/>
      <c r="G194" s="255"/>
      <c r="H194" s="256"/>
      <c r="I194" s="368"/>
      <c r="J194" s="533"/>
      <c r="K194" s="534"/>
      <c r="L194" s="258"/>
      <c r="M194" s="259"/>
      <c r="N194" s="259"/>
      <c r="O194" s="259"/>
      <c r="P194" s="259"/>
      <c r="Q194" s="259">
        <v>0</v>
      </c>
      <c r="R194" s="259">
        <v>0</v>
      </c>
      <c r="S194" s="259">
        <v>0</v>
      </c>
      <c r="T194" s="259">
        <v>0</v>
      </c>
      <c r="U194" s="259">
        <v>0</v>
      </c>
      <c r="V194" s="259"/>
      <c r="W194" s="259"/>
      <c r="X194" s="259"/>
      <c r="Y194" s="259"/>
      <c r="Z194" s="259"/>
      <c r="AA194" s="259">
        <f>SUM(AB194:AC194)</f>
        <v>0</v>
      </c>
      <c r="AB194" s="259"/>
      <c r="AC194" s="259">
        <v>0</v>
      </c>
      <c r="AD194" s="259"/>
      <c r="AE194" s="259"/>
      <c r="AF194" s="259"/>
      <c r="AG194" s="259"/>
      <c r="AH194" s="259"/>
      <c r="AI194" s="259"/>
      <c r="AJ194" s="259"/>
      <c r="AK194" s="259"/>
      <c r="AL194" s="259"/>
      <c r="AM194" s="259"/>
      <c r="AN194" s="259"/>
      <c r="AO194" s="259"/>
      <c r="AP194" s="411"/>
      <c r="AQ194" s="259"/>
    </row>
    <row r="195" spans="1:43" s="266" customFormat="1" ht="15.75" hidden="1" x14ac:dyDescent="0.25">
      <c r="A195" s="324"/>
      <c r="B195" s="252" t="s">
        <v>292</v>
      </c>
      <c r="C195" s="253"/>
      <c r="D195" s="253"/>
      <c r="E195" s="253"/>
      <c r="F195" s="363"/>
      <c r="G195" s="255"/>
      <c r="H195" s="256"/>
      <c r="I195" s="368"/>
      <c r="J195" s="533"/>
      <c r="K195" s="534"/>
      <c r="L195" s="258"/>
      <c r="M195" s="259"/>
      <c r="N195" s="259"/>
      <c r="O195" s="259"/>
      <c r="P195" s="259"/>
      <c r="Q195" s="259">
        <f>Y195</f>
        <v>0</v>
      </c>
      <c r="R195" s="259"/>
      <c r="S195" s="259"/>
      <c r="T195" s="259"/>
      <c r="U195" s="259"/>
      <c r="V195" s="259"/>
      <c r="W195" s="259"/>
      <c r="X195" s="259">
        <f>Y195</f>
        <v>0</v>
      </c>
      <c r="Y195" s="259">
        <v>0</v>
      </c>
      <c r="Z195" s="259"/>
      <c r="AA195" s="259">
        <f>SUM(AB195:AE195)</f>
        <v>0</v>
      </c>
      <c r="AB195" s="259"/>
      <c r="AC195" s="259"/>
      <c r="AD195" s="259"/>
      <c r="AE195" s="259">
        <v>0</v>
      </c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  <c r="AP195" s="411"/>
      <c r="AQ195" s="259"/>
    </row>
    <row r="196" spans="1:43" s="266" customFormat="1" ht="15.75" hidden="1" x14ac:dyDescent="0.25">
      <c r="A196" s="324"/>
      <c r="B196" s="252" t="s">
        <v>293</v>
      </c>
      <c r="C196" s="253"/>
      <c r="D196" s="253"/>
      <c r="E196" s="253"/>
      <c r="F196" s="363"/>
      <c r="G196" s="255"/>
      <c r="H196" s="256"/>
      <c r="I196" s="368"/>
      <c r="J196" s="533"/>
      <c r="K196" s="534"/>
      <c r="L196" s="258"/>
      <c r="M196" s="259"/>
      <c r="N196" s="259"/>
      <c r="O196" s="259"/>
      <c r="P196" s="259"/>
      <c r="Q196" s="259">
        <f>Y196</f>
        <v>0</v>
      </c>
      <c r="R196" s="259"/>
      <c r="S196" s="259"/>
      <c r="T196" s="259"/>
      <c r="U196" s="259"/>
      <c r="V196" s="259"/>
      <c r="W196" s="259"/>
      <c r="X196" s="259">
        <f>Y196</f>
        <v>0</v>
      </c>
      <c r="Y196" s="259">
        <v>0</v>
      </c>
      <c r="Z196" s="259"/>
      <c r="AA196" s="259">
        <f>SUM(AB196:AE196)</f>
        <v>0</v>
      </c>
      <c r="AB196" s="259"/>
      <c r="AC196" s="259"/>
      <c r="AD196" s="259"/>
      <c r="AE196" s="259">
        <v>0</v>
      </c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259"/>
      <c r="AP196" s="411"/>
      <c r="AQ196" s="259"/>
    </row>
    <row r="197" spans="1:43" ht="17.25" customHeight="1" x14ac:dyDescent="0.25">
      <c r="A197" s="1294"/>
      <c r="B197" s="42" t="s">
        <v>32</v>
      </c>
      <c r="C197" s="334"/>
      <c r="D197" s="334"/>
      <c r="E197" s="334"/>
      <c r="F197" s="313"/>
      <c r="G197" s="335"/>
      <c r="H197" s="336"/>
      <c r="I197" s="1290" t="s">
        <v>10</v>
      </c>
      <c r="J197" s="1310"/>
      <c r="K197" s="649"/>
      <c r="L197" s="1308">
        <v>195485</v>
      </c>
      <c r="M197" s="1308">
        <v>195485</v>
      </c>
      <c r="N197" s="1308">
        <v>195485</v>
      </c>
      <c r="O197" s="1308">
        <v>195485</v>
      </c>
      <c r="P197" s="1308">
        <v>0</v>
      </c>
      <c r="Q197" s="83"/>
      <c r="R197" s="83"/>
      <c r="S197" s="83"/>
      <c r="T197" s="83"/>
      <c r="U197" s="83"/>
      <c r="V197" s="83"/>
      <c r="W197" s="83"/>
      <c r="X197" s="83"/>
      <c r="Y197" s="83"/>
      <c r="Z197" s="259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259"/>
    </row>
    <row r="198" spans="1:43" s="327" customFormat="1" ht="25.5" x14ac:dyDescent="0.25">
      <c r="A198" s="1318"/>
      <c r="B198" s="772" t="s">
        <v>409</v>
      </c>
      <c r="C198" s="809"/>
      <c r="D198" s="809"/>
      <c r="E198" s="809"/>
      <c r="F198" s="312"/>
      <c r="G198" s="775"/>
      <c r="H198" s="810"/>
      <c r="I198" s="1320"/>
      <c r="J198" s="283"/>
      <c r="K198" s="811"/>
      <c r="L198" s="1286"/>
      <c r="M198" s="1286"/>
      <c r="N198" s="1286"/>
      <c r="O198" s="1286"/>
      <c r="P198" s="1286">
        <f>P199+P200</f>
        <v>12759.949999999999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1294"/>
      <c r="B199" s="42" t="s">
        <v>39</v>
      </c>
      <c r="C199" s="334"/>
      <c r="D199" s="334"/>
      <c r="E199" s="334"/>
      <c r="F199" s="313"/>
      <c r="G199" s="335"/>
      <c r="H199" s="336"/>
      <c r="I199" s="1290"/>
      <c r="J199" s="1310"/>
      <c r="K199" s="649"/>
      <c r="L199" s="1308"/>
      <c r="M199" s="1308"/>
      <c r="N199" s="1308"/>
      <c r="O199" s="1308"/>
      <c r="P199" s="1308">
        <v>1652.72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1294"/>
      <c r="B200" s="42" t="s">
        <v>32</v>
      </c>
      <c r="C200" s="334"/>
      <c r="D200" s="334"/>
      <c r="E200" s="334"/>
      <c r="F200" s="313"/>
      <c r="G200" s="335"/>
      <c r="H200" s="336"/>
      <c r="I200" s="1274"/>
      <c r="J200" s="1310"/>
      <c r="K200" s="649"/>
      <c r="L200" s="1308"/>
      <c r="M200" s="83"/>
      <c r="N200" s="83"/>
      <c r="O200" s="83"/>
      <c r="P200" s="83">
        <v>11107.23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15.75" x14ac:dyDescent="0.25">
      <c r="A201" s="1318"/>
      <c r="B201" s="772" t="s">
        <v>410</v>
      </c>
      <c r="C201" s="809"/>
      <c r="D201" s="809"/>
      <c r="E201" s="809"/>
      <c r="F201" s="312"/>
      <c r="G201" s="775"/>
      <c r="H201" s="810"/>
      <c r="I201" s="1320"/>
      <c r="J201" s="283"/>
      <c r="K201" s="811"/>
      <c r="L201" s="1286"/>
      <c r="M201" s="1286"/>
      <c r="N201" s="1286"/>
      <c r="O201" s="1286"/>
      <c r="P201" s="1286">
        <f>P202+P203</f>
        <v>21627.71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1294"/>
      <c r="B202" s="42" t="s">
        <v>39</v>
      </c>
      <c r="C202" s="334"/>
      <c r="D202" s="334"/>
      <c r="E202" s="334"/>
      <c r="F202" s="313"/>
      <c r="G202" s="335"/>
      <c r="H202" s="336"/>
      <c r="I202" s="1290"/>
      <c r="J202" s="1310"/>
      <c r="K202" s="649"/>
      <c r="L202" s="1308"/>
      <c r="M202" s="1308"/>
      <c r="N202" s="1308"/>
      <c r="O202" s="1308"/>
      <c r="P202" s="1308">
        <v>1821.34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1294"/>
      <c r="B203" s="42" t="s">
        <v>16</v>
      </c>
      <c r="C203" s="334"/>
      <c r="D203" s="334"/>
      <c r="E203" s="334"/>
      <c r="F203" s="313"/>
      <c r="G203" s="335"/>
      <c r="H203" s="336"/>
      <c r="I203" s="1274"/>
      <c r="J203" s="1310"/>
      <c r="K203" s="649"/>
      <c r="L203" s="1308"/>
      <c r="M203" s="83"/>
      <c r="N203" s="83"/>
      <c r="O203" s="83"/>
      <c r="P203" s="83">
        <v>19806.37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s="327" customFormat="1" ht="25.5" x14ac:dyDescent="0.25">
      <c r="A204" s="1318"/>
      <c r="B204" s="772" t="s">
        <v>411</v>
      </c>
      <c r="C204" s="809"/>
      <c r="D204" s="809"/>
      <c r="E204" s="809"/>
      <c r="F204" s="312"/>
      <c r="G204" s="775"/>
      <c r="H204" s="810"/>
      <c r="I204" s="1320"/>
      <c r="J204" s="283"/>
      <c r="K204" s="811"/>
      <c r="L204" s="1286"/>
      <c r="M204" s="1286"/>
      <c r="N204" s="1286"/>
      <c r="O204" s="1286"/>
      <c r="P204" s="1286">
        <f>P205+P206</f>
        <v>12759.59</v>
      </c>
      <c r="Q204" s="816">
        <v>0</v>
      </c>
      <c r="R204" s="816"/>
      <c r="S204" s="816"/>
      <c r="T204" s="816"/>
      <c r="U204" s="816"/>
      <c r="V204" s="816"/>
      <c r="W204" s="816"/>
      <c r="X204" s="816"/>
      <c r="Y204" s="816"/>
      <c r="Z204" s="817"/>
      <c r="AA204" s="816">
        <v>0</v>
      </c>
      <c r="AB204" s="816"/>
      <c r="AC204" s="816"/>
      <c r="AD204" s="816"/>
      <c r="AE204" s="816"/>
      <c r="AF204" s="816"/>
      <c r="AG204" s="816"/>
      <c r="AH204" s="816"/>
      <c r="AI204" s="816"/>
      <c r="AJ204" s="816"/>
      <c r="AK204" s="816"/>
      <c r="AL204" s="816"/>
      <c r="AM204" s="816"/>
      <c r="AN204" s="816"/>
      <c r="AO204" s="816"/>
      <c r="AP204" s="818"/>
      <c r="AQ204" s="817"/>
    </row>
    <row r="205" spans="1:43" ht="15.75" x14ac:dyDescent="0.25">
      <c r="A205" s="1294"/>
      <c r="B205" s="42" t="s">
        <v>39</v>
      </c>
      <c r="C205" s="334"/>
      <c r="D205" s="334"/>
      <c r="E205" s="334"/>
      <c r="F205" s="313"/>
      <c r="G205" s="335"/>
      <c r="H205" s="336"/>
      <c r="I205" s="1290"/>
      <c r="J205" s="1310"/>
      <c r="K205" s="649"/>
      <c r="L205" s="1308"/>
      <c r="M205" s="1308"/>
      <c r="N205" s="1308"/>
      <c r="O205" s="1308"/>
      <c r="P205" s="1308">
        <v>1652.36</v>
      </c>
      <c r="Q205" s="83">
        <v>0</v>
      </c>
      <c r="R205" s="83"/>
      <c r="S205" s="83"/>
      <c r="T205" s="83"/>
      <c r="U205" s="83"/>
      <c r="V205" s="83"/>
      <c r="W205" s="83"/>
      <c r="X205" s="83"/>
      <c r="Y205" s="83"/>
      <c r="Z205" s="259"/>
      <c r="AA205" s="83">
        <v>0</v>
      </c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409"/>
      <c r="AQ205" s="259"/>
    </row>
    <row r="206" spans="1:43" ht="15.75" x14ac:dyDescent="0.25">
      <c r="A206" s="1294"/>
      <c r="B206" s="42" t="s">
        <v>32</v>
      </c>
      <c r="C206" s="334"/>
      <c r="D206" s="334"/>
      <c r="E206" s="334"/>
      <c r="F206" s="313"/>
      <c r="G206" s="335"/>
      <c r="H206" s="336"/>
      <c r="I206" s="1274"/>
      <c r="J206" s="1310"/>
      <c r="K206" s="649"/>
      <c r="L206" s="1308"/>
      <c r="M206" s="83"/>
      <c r="N206" s="83"/>
      <c r="O206" s="83"/>
      <c r="P206" s="83">
        <v>11107.23</v>
      </c>
      <c r="Q206" s="83">
        <v>0</v>
      </c>
      <c r="R206" s="83"/>
      <c r="S206" s="83"/>
      <c r="T206" s="83"/>
      <c r="U206" s="83"/>
      <c r="V206" s="83"/>
      <c r="W206" s="83"/>
      <c r="X206" s="83"/>
      <c r="Y206" s="83"/>
      <c r="Z206" s="83"/>
      <c r="AA206" s="83">
        <v>0</v>
      </c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409"/>
      <c r="AQ206" s="83"/>
    </row>
    <row r="207" spans="1:43" ht="43.5" hidden="1" customHeight="1" x14ac:dyDescent="0.25">
      <c r="A207" s="1535" t="s">
        <v>24</v>
      </c>
      <c r="B207" s="1613" t="s">
        <v>206</v>
      </c>
      <c r="C207" s="1614"/>
      <c r="D207" s="1614"/>
      <c r="E207" s="1614"/>
      <c r="F207" s="1614"/>
      <c r="G207" s="1614"/>
      <c r="H207" s="1615"/>
      <c r="I207" s="23" t="s">
        <v>19</v>
      </c>
      <c r="J207" s="1310">
        <v>0</v>
      </c>
      <c r="K207" s="1310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ht="41.25" hidden="1" customHeight="1" x14ac:dyDescent="0.25">
      <c r="A208" s="1535"/>
      <c r="B208" s="1616"/>
      <c r="C208" s="1617"/>
      <c r="D208" s="1617"/>
      <c r="E208" s="1617"/>
      <c r="F208" s="1617"/>
      <c r="G208" s="1617"/>
      <c r="H208" s="1618"/>
      <c r="I208" s="23" t="s">
        <v>20</v>
      </c>
      <c r="J208" s="1310">
        <f>J211</f>
        <v>6379.79</v>
      </c>
      <c r="K208" s="1310">
        <f>K211</f>
        <v>0</v>
      </c>
      <c r="L208" s="47">
        <f t="shared" ref="L208:AK208" si="119">L211+L216+L222</f>
        <v>13097.62</v>
      </c>
      <c r="M208" s="47">
        <f t="shared" si="119"/>
        <v>4269.0300000000007</v>
      </c>
      <c r="N208" s="47">
        <f t="shared" si="119"/>
        <v>5370.84</v>
      </c>
      <c r="O208" s="47">
        <f t="shared" si="119"/>
        <v>3372.5</v>
      </c>
      <c r="P208" s="47">
        <f t="shared" si="119"/>
        <v>78556.570000000007</v>
      </c>
      <c r="Q208" s="47">
        <f t="shared" si="119"/>
        <v>0</v>
      </c>
      <c r="R208" s="47">
        <f t="shared" si="119"/>
        <v>0</v>
      </c>
      <c r="S208" s="47">
        <f t="shared" si="119"/>
        <v>0</v>
      </c>
      <c r="T208" s="47">
        <f t="shared" si="119"/>
        <v>753.46</v>
      </c>
      <c r="U208" s="47">
        <f t="shared" si="119"/>
        <v>753.46</v>
      </c>
      <c r="V208" s="47">
        <f t="shared" si="119"/>
        <v>4173.82</v>
      </c>
      <c r="W208" s="47">
        <f t="shared" si="119"/>
        <v>4173.82</v>
      </c>
      <c r="X208" s="47">
        <f t="shared" si="119"/>
        <v>0</v>
      </c>
      <c r="Y208" s="47">
        <f t="shared" si="119"/>
        <v>0</v>
      </c>
      <c r="Z208" s="96"/>
      <c r="AA208" s="47">
        <f t="shared" si="119"/>
        <v>0</v>
      </c>
      <c r="AB208" s="47">
        <f t="shared" si="119"/>
        <v>0</v>
      </c>
      <c r="AC208" s="47">
        <f t="shared" si="119"/>
        <v>753.46</v>
      </c>
      <c r="AD208" s="47">
        <f t="shared" si="119"/>
        <v>4900</v>
      </c>
      <c r="AE208" s="47">
        <f t="shared" si="119"/>
        <v>0</v>
      </c>
      <c r="AF208" s="47">
        <f t="shared" si="119"/>
        <v>0</v>
      </c>
      <c r="AG208" s="47">
        <f t="shared" si="119"/>
        <v>0</v>
      </c>
      <c r="AH208" s="47">
        <f t="shared" si="119"/>
        <v>0</v>
      </c>
      <c r="AI208" s="47">
        <f t="shared" si="119"/>
        <v>0</v>
      </c>
      <c r="AJ208" s="47">
        <f t="shared" si="119"/>
        <v>0</v>
      </c>
      <c r="AK208" s="47">
        <f t="shared" si="119"/>
        <v>78556.570000000007</v>
      </c>
      <c r="AL208" s="47">
        <f>AL211</f>
        <v>78556.570000000007</v>
      </c>
      <c r="AM208" s="47">
        <f>AM211</f>
        <v>0</v>
      </c>
      <c r="AN208" s="47">
        <f>AN211</f>
        <v>0</v>
      </c>
      <c r="AO208" s="47">
        <f>AO211</f>
        <v>0</v>
      </c>
      <c r="AP208" s="397"/>
      <c r="AQ208" s="96"/>
    </row>
    <row r="209" spans="1:43" ht="38.25" hidden="1" customHeight="1" x14ac:dyDescent="0.25">
      <c r="A209" s="1535"/>
      <c r="B209" s="1616"/>
      <c r="C209" s="1617"/>
      <c r="D209" s="1617"/>
      <c r="E209" s="1617"/>
      <c r="F209" s="1617"/>
      <c r="G209" s="1617"/>
      <c r="H209" s="1618"/>
      <c r="I209" s="23" t="s">
        <v>10</v>
      </c>
      <c r="J209" s="1310">
        <v>0</v>
      </c>
      <c r="K209" s="1310">
        <v>0</v>
      </c>
      <c r="L209" s="47">
        <f>L228+L230</f>
        <v>2305.4499999999998</v>
      </c>
      <c r="M209" s="47">
        <f>M228+M230</f>
        <v>1650.1</v>
      </c>
      <c r="N209" s="47">
        <f t="shared" ref="N209:AJ209" si="120">N228+N230</f>
        <v>0</v>
      </c>
      <c r="O209" s="47">
        <f t="shared" si="120"/>
        <v>0</v>
      </c>
      <c r="P209" s="47">
        <f t="shared" si="120"/>
        <v>0</v>
      </c>
      <c r="Q209" s="47">
        <f t="shared" si="120"/>
        <v>99.9</v>
      </c>
      <c r="R209" s="47">
        <f t="shared" si="120"/>
        <v>0</v>
      </c>
      <c r="S209" s="47">
        <f t="shared" si="120"/>
        <v>0</v>
      </c>
      <c r="T209" s="47">
        <f t="shared" si="120"/>
        <v>0</v>
      </c>
      <c r="U209" s="47">
        <f t="shared" si="120"/>
        <v>0</v>
      </c>
      <c r="V209" s="47">
        <f t="shared" si="120"/>
        <v>0</v>
      </c>
      <c r="W209" s="47">
        <f t="shared" si="120"/>
        <v>0</v>
      </c>
      <c r="X209" s="47">
        <f t="shared" si="120"/>
        <v>0</v>
      </c>
      <c r="Y209" s="47">
        <f t="shared" si="120"/>
        <v>0</v>
      </c>
      <c r="Z209" s="96"/>
      <c r="AA209" s="47">
        <f t="shared" si="120"/>
        <v>99.9</v>
      </c>
      <c r="AB209" s="47">
        <f t="shared" si="120"/>
        <v>0</v>
      </c>
      <c r="AC209" s="47">
        <f t="shared" si="120"/>
        <v>0</v>
      </c>
      <c r="AD209" s="47">
        <f t="shared" si="120"/>
        <v>0</v>
      </c>
      <c r="AE209" s="47">
        <f t="shared" si="120"/>
        <v>0</v>
      </c>
      <c r="AF209" s="47">
        <f t="shared" si="120"/>
        <v>0</v>
      </c>
      <c r="AG209" s="47">
        <f t="shared" si="120"/>
        <v>0</v>
      </c>
      <c r="AH209" s="47">
        <f t="shared" si="120"/>
        <v>0</v>
      </c>
      <c r="AI209" s="47">
        <f t="shared" si="120"/>
        <v>0</v>
      </c>
      <c r="AJ209" s="47">
        <f t="shared" si="120"/>
        <v>0</v>
      </c>
      <c r="AK209" s="47">
        <v>0</v>
      </c>
      <c r="AL209" s="47">
        <v>0</v>
      </c>
      <c r="AM209" s="47">
        <v>0</v>
      </c>
      <c r="AN209" s="47">
        <v>0</v>
      </c>
      <c r="AO209" s="47">
        <v>0</v>
      </c>
      <c r="AP209" s="397"/>
      <c r="AQ209" s="96"/>
    </row>
    <row r="210" spans="1:43" ht="25.5" hidden="1" x14ac:dyDescent="0.25">
      <c r="A210" s="1535"/>
      <c r="B210" s="1619"/>
      <c r="C210" s="1620"/>
      <c r="D210" s="1620"/>
      <c r="E210" s="1620"/>
      <c r="F210" s="1620"/>
      <c r="G210" s="1620"/>
      <c r="H210" s="1621"/>
      <c r="I210" s="23" t="s">
        <v>9</v>
      </c>
      <c r="J210" s="1310">
        <v>0</v>
      </c>
      <c r="K210" s="1310">
        <v>0</v>
      </c>
      <c r="L210" s="47">
        <v>0</v>
      </c>
      <c r="M210" s="47">
        <v>0</v>
      </c>
      <c r="N210" s="47">
        <v>0</v>
      </c>
      <c r="O210" s="47">
        <v>1</v>
      </c>
      <c r="P210" s="47">
        <v>0</v>
      </c>
      <c r="Q210" s="47">
        <v>0</v>
      </c>
      <c r="R210" s="47">
        <v>0</v>
      </c>
      <c r="S210" s="47">
        <v>0</v>
      </c>
      <c r="T210" s="47">
        <v>0</v>
      </c>
      <c r="U210" s="47">
        <v>0</v>
      </c>
      <c r="V210" s="47">
        <v>0</v>
      </c>
      <c r="W210" s="47">
        <v>0</v>
      </c>
      <c r="X210" s="47">
        <v>0</v>
      </c>
      <c r="Y210" s="47">
        <v>0</v>
      </c>
      <c r="Z210" s="96"/>
      <c r="AA210" s="47">
        <v>0</v>
      </c>
      <c r="AB210" s="47">
        <v>0</v>
      </c>
      <c r="AC210" s="47">
        <v>0</v>
      </c>
      <c r="AD210" s="47">
        <v>0</v>
      </c>
      <c r="AE210" s="47">
        <v>0</v>
      </c>
      <c r="AF210" s="47">
        <v>0</v>
      </c>
      <c r="AG210" s="47">
        <v>0</v>
      </c>
      <c r="AH210" s="47">
        <v>0</v>
      </c>
      <c r="AI210" s="47">
        <v>0</v>
      </c>
      <c r="AJ210" s="47">
        <v>0</v>
      </c>
      <c r="AK210" s="47">
        <v>0</v>
      </c>
      <c r="AL210" s="47">
        <v>0</v>
      </c>
      <c r="AM210" s="47">
        <v>0</v>
      </c>
      <c r="AN210" s="47">
        <v>0</v>
      </c>
      <c r="AO210" s="47">
        <v>0</v>
      </c>
      <c r="AP210" s="397"/>
      <c r="AQ210" s="96"/>
    </row>
    <row r="211" spans="1:43" s="327" customFormat="1" ht="33" customHeight="1" x14ac:dyDescent="0.25">
      <c r="A211" s="1450" t="s">
        <v>30</v>
      </c>
      <c r="B211" s="780" t="s">
        <v>173</v>
      </c>
      <c r="C211" s="1326">
        <v>300</v>
      </c>
      <c r="D211" s="1326">
        <v>570</v>
      </c>
      <c r="E211" s="1326"/>
      <c r="F211" s="1326"/>
      <c r="G211" s="778"/>
      <c r="H211" s="778"/>
      <c r="I211" s="1463" t="s">
        <v>20</v>
      </c>
      <c r="J211" s="1622">
        <v>6379.79</v>
      </c>
      <c r="K211" s="3">
        <v>0</v>
      </c>
      <c r="L211" s="3">
        <f t="shared" ref="L211:AJ211" si="121">L212+L215</f>
        <v>5597.58</v>
      </c>
      <c r="M211" s="3">
        <f t="shared" si="121"/>
        <v>0</v>
      </c>
      <c r="N211" s="3">
        <f t="shared" si="121"/>
        <v>5370.84</v>
      </c>
      <c r="O211" s="3">
        <f t="shared" si="121"/>
        <v>3372.5</v>
      </c>
      <c r="P211" s="3">
        <f t="shared" si="121"/>
        <v>78556.570000000007</v>
      </c>
      <c r="Q211" s="3">
        <f t="shared" si="121"/>
        <v>0</v>
      </c>
      <c r="R211" s="3">
        <f t="shared" si="121"/>
        <v>0</v>
      </c>
      <c r="S211" s="3">
        <f t="shared" si="121"/>
        <v>0</v>
      </c>
      <c r="T211" s="3">
        <f t="shared" si="121"/>
        <v>753.46</v>
      </c>
      <c r="U211" s="3">
        <f t="shared" si="121"/>
        <v>753.46</v>
      </c>
      <c r="V211" s="3">
        <f t="shared" si="121"/>
        <v>4173.82</v>
      </c>
      <c r="W211" s="3">
        <f t="shared" si="121"/>
        <v>4173.82</v>
      </c>
      <c r="X211" s="3">
        <f t="shared" si="121"/>
        <v>0</v>
      </c>
      <c r="Y211" s="3">
        <f t="shared" si="121"/>
        <v>0</v>
      </c>
      <c r="Z211" s="95">
        <v>0</v>
      </c>
      <c r="AA211" s="3">
        <f t="shared" si="121"/>
        <v>0</v>
      </c>
      <c r="AB211" s="3">
        <f t="shared" si="121"/>
        <v>0</v>
      </c>
      <c r="AC211" s="3">
        <f t="shared" si="121"/>
        <v>753.46</v>
      </c>
      <c r="AD211" s="3">
        <f t="shared" si="121"/>
        <v>4900</v>
      </c>
      <c r="AE211" s="3">
        <f t="shared" si="121"/>
        <v>0</v>
      </c>
      <c r="AF211" s="3">
        <f t="shared" si="121"/>
        <v>0</v>
      </c>
      <c r="AG211" s="3">
        <f t="shared" si="121"/>
        <v>0</v>
      </c>
      <c r="AH211" s="3">
        <f t="shared" si="121"/>
        <v>0</v>
      </c>
      <c r="AI211" s="3">
        <f t="shared" si="121"/>
        <v>0</v>
      </c>
      <c r="AJ211" s="3">
        <f t="shared" si="121"/>
        <v>0</v>
      </c>
      <c r="AK211" s="3">
        <f>P211-Q211</f>
        <v>78556.570000000007</v>
      </c>
      <c r="AL211" s="3">
        <f>AK211</f>
        <v>78556.570000000007</v>
      </c>
      <c r="AM211" s="318">
        <f>ROUND((Q211*100%/P211*100),2)</f>
        <v>0</v>
      </c>
      <c r="AN211" s="3">
        <f>AN212+AN215</f>
        <v>0</v>
      </c>
      <c r="AO211" s="3">
        <f>AO212+AO215</f>
        <v>0</v>
      </c>
      <c r="AP211" s="633" t="s">
        <v>245</v>
      </c>
      <c r="AQ211" s="95">
        <v>0</v>
      </c>
    </row>
    <row r="212" spans="1:43" x14ac:dyDescent="0.25">
      <c r="A212" s="1399"/>
      <c r="B212" s="1" t="s">
        <v>15</v>
      </c>
      <c r="C212" s="1327"/>
      <c r="D212" s="1327"/>
      <c r="E212" s="1327"/>
      <c r="F212" s="1327"/>
      <c r="G212" s="1291">
        <v>2019</v>
      </c>
      <c r="H212" s="1291">
        <v>2019</v>
      </c>
      <c r="I212" s="1464"/>
      <c r="J212" s="1623"/>
      <c r="K212" s="47"/>
      <c r="L212" s="47">
        <v>5597.58</v>
      </c>
      <c r="M212" s="50">
        <v>0</v>
      </c>
      <c r="N212" s="50">
        <v>5370.84</v>
      </c>
      <c r="O212" s="50">
        <v>0</v>
      </c>
      <c r="P212" s="447">
        <v>89.08</v>
      </c>
      <c r="Q212" s="447">
        <v>0</v>
      </c>
      <c r="R212" s="447">
        <f t="shared" ref="R212:AD212" si="122">SUM(R213:R214)</f>
        <v>0</v>
      </c>
      <c r="S212" s="447">
        <f t="shared" si="122"/>
        <v>0</v>
      </c>
      <c r="T212" s="447">
        <f t="shared" si="122"/>
        <v>753.46</v>
      </c>
      <c r="U212" s="447">
        <f t="shared" si="122"/>
        <v>753.46</v>
      </c>
      <c r="V212" s="447">
        <f t="shared" si="122"/>
        <v>4173.82</v>
      </c>
      <c r="W212" s="447">
        <f t="shared" si="122"/>
        <v>4173.82</v>
      </c>
      <c r="X212" s="447">
        <f t="shared" si="122"/>
        <v>0</v>
      </c>
      <c r="Y212" s="447">
        <f t="shared" si="122"/>
        <v>0</v>
      </c>
      <c r="Z212" s="584"/>
      <c r="AA212" s="447">
        <v>0</v>
      </c>
      <c r="AB212" s="447">
        <f t="shared" si="122"/>
        <v>0</v>
      </c>
      <c r="AC212" s="447">
        <f t="shared" si="122"/>
        <v>753.46</v>
      </c>
      <c r="AD212" s="447">
        <f t="shared" si="122"/>
        <v>4900</v>
      </c>
      <c r="AE212" s="50">
        <f t="shared" ref="AE212:AO212" si="123">SUM(AE214)</f>
        <v>0</v>
      </c>
      <c r="AF212" s="50">
        <f>SUM(AF214)</f>
        <v>0</v>
      </c>
      <c r="AG212" s="50">
        <f>SUM(AG214)</f>
        <v>0</v>
      </c>
      <c r="AH212" s="50">
        <f>SUM(AH214)</f>
        <v>0</v>
      </c>
      <c r="AI212" s="50">
        <f>SUM(AI214)</f>
        <v>0</v>
      </c>
      <c r="AJ212" s="50">
        <f>SUM(AJ214)</f>
        <v>0</v>
      </c>
      <c r="AK212" s="50">
        <f t="shared" si="123"/>
        <v>0</v>
      </c>
      <c r="AL212" s="50">
        <f t="shared" si="123"/>
        <v>0</v>
      </c>
      <c r="AM212" s="50">
        <f t="shared" si="123"/>
        <v>0</v>
      </c>
      <c r="AN212" s="50">
        <f t="shared" si="123"/>
        <v>0</v>
      </c>
      <c r="AO212" s="50">
        <f t="shared" si="123"/>
        <v>0</v>
      </c>
      <c r="AP212" s="412"/>
      <c r="AQ212" s="584"/>
    </row>
    <row r="213" spans="1:43" s="266" customFormat="1" hidden="1" x14ac:dyDescent="0.25">
      <c r="A213" s="1399"/>
      <c r="B213" s="92" t="s">
        <v>322</v>
      </c>
      <c r="C213" s="1327"/>
      <c r="D213" s="1327"/>
      <c r="E213" s="1327"/>
      <c r="F213" s="1327"/>
      <c r="G213" s="104"/>
      <c r="H213" s="104"/>
      <c r="I213" s="1464"/>
      <c r="J213" s="1623"/>
      <c r="K213" s="96"/>
      <c r="L213" s="96"/>
      <c r="M213" s="263"/>
      <c r="N213" s="263"/>
      <c r="O213" s="263"/>
      <c r="P213" s="584"/>
      <c r="Q213" s="584">
        <f>V213</f>
        <v>4173.82</v>
      </c>
      <c r="R213" s="584"/>
      <c r="S213" s="584"/>
      <c r="T213" s="584"/>
      <c r="U213" s="584"/>
      <c r="V213" s="584">
        <f>W213</f>
        <v>4173.82</v>
      </c>
      <c r="W213" s="584">
        <v>4173.82</v>
      </c>
      <c r="X213" s="584"/>
      <c r="Y213" s="584"/>
      <c r="Z213" s="584"/>
      <c r="AA213" s="584">
        <f>AD213</f>
        <v>4900</v>
      </c>
      <c r="AB213" s="584"/>
      <c r="AC213" s="584"/>
      <c r="AD213" s="584">
        <v>4900</v>
      </c>
      <c r="AE213" s="263"/>
      <c r="AF213" s="263"/>
      <c r="AG213" s="263"/>
      <c r="AH213" s="263"/>
      <c r="AI213" s="263"/>
      <c r="AJ213" s="263"/>
      <c r="AK213" s="263"/>
      <c r="AL213" s="263"/>
      <c r="AM213" s="263"/>
      <c r="AN213" s="263"/>
      <c r="AO213" s="263"/>
      <c r="AP213" s="413"/>
      <c r="AQ213" s="584"/>
    </row>
    <row r="214" spans="1:43" s="266" customFormat="1" hidden="1" x14ac:dyDescent="0.25">
      <c r="A214" s="1399"/>
      <c r="B214" s="92" t="s">
        <v>267</v>
      </c>
      <c r="C214" s="1327"/>
      <c r="D214" s="1327"/>
      <c r="E214" s="1327"/>
      <c r="F214" s="1327"/>
      <c r="G214" s="104"/>
      <c r="H214" s="104"/>
      <c r="I214" s="1464"/>
      <c r="J214" s="1623"/>
      <c r="K214" s="96"/>
      <c r="L214" s="96"/>
      <c r="M214" s="263"/>
      <c r="N214" s="263"/>
      <c r="O214" s="263"/>
      <c r="P214" s="263"/>
      <c r="Q214" s="263">
        <f>S214+U214</f>
        <v>753.46</v>
      </c>
      <c r="R214" s="263"/>
      <c r="S214" s="263"/>
      <c r="T214" s="263">
        <f>U214</f>
        <v>753.46</v>
      </c>
      <c r="U214" s="263">
        <f>ROUND((904.153/1.2),2)</f>
        <v>753.46</v>
      </c>
      <c r="V214" s="263"/>
      <c r="W214" s="263"/>
      <c r="X214" s="263"/>
      <c r="Y214" s="263"/>
      <c r="Z214" s="263"/>
      <c r="AA214" s="263">
        <f>AC214</f>
        <v>753.46</v>
      </c>
      <c r="AB214" s="263"/>
      <c r="AC214" s="263">
        <v>753.46</v>
      </c>
      <c r="AD214" s="263"/>
      <c r="AE214" s="263"/>
      <c r="AF214" s="263">
        <f>SUM(AG214:AG214)</f>
        <v>0</v>
      </c>
      <c r="AG214" s="263"/>
      <c r="AH214" s="263"/>
      <c r="AI214" s="263"/>
      <c r="AJ214" s="263"/>
      <c r="AK214" s="263"/>
      <c r="AL214" s="263"/>
      <c r="AM214" s="263"/>
      <c r="AN214" s="263"/>
      <c r="AO214" s="263"/>
      <c r="AP214" s="413"/>
      <c r="AQ214" s="263"/>
    </row>
    <row r="215" spans="1:43" ht="15.75" customHeight="1" x14ac:dyDescent="0.25">
      <c r="A215" s="1488"/>
      <c r="B215" s="1297" t="s">
        <v>16</v>
      </c>
      <c r="C215" s="1328"/>
      <c r="D215" s="1328"/>
      <c r="E215" s="1328"/>
      <c r="F215" s="1328"/>
      <c r="G215" s="1291">
        <v>2021</v>
      </c>
      <c r="H215" s="1291">
        <v>2021</v>
      </c>
      <c r="I215" s="1465"/>
      <c r="J215" s="1624"/>
      <c r="K215" s="47"/>
      <c r="L215" s="47">
        <v>0</v>
      </c>
      <c r="M215" s="50">
        <v>0</v>
      </c>
      <c r="N215" s="50">
        <v>0</v>
      </c>
      <c r="O215" s="50">
        <v>3372.5</v>
      </c>
      <c r="P215" s="50">
        <v>78467.490000000005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50">
        <v>0</v>
      </c>
      <c r="W215" s="50">
        <v>0</v>
      </c>
      <c r="X215" s="50">
        <v>0</v>
      </c>
      <c r="Y215" s="50">
        <v>0</v>
      </c>
      <c r="Z215" s="263"/>
      <c r="AA215" s="50">
        <v>0</v>
      </c>
      <c r="AB215" s="50">
        <v>0</v>
      </c>
      <c r="AC215" s="50">
        <v>0</v>
      </c>
      <c r="AD215" s="50">
        <v>0</v>
      </c>
      <c r="AE215" s="50">
        <v>0</v>
      </c>
      <c r="AF215" s="50">
        <v>0</v>
      </c>
      <c r="AG215" s="50">
        <v>0</v>
      </c>
      <c r="AH215" s="50">
        <v>0</v>
      </c>
      <c r="AI215" s="50">
        <v>0</v>
      </c>
      <c r="AJ215" s="50">
        <v>0</v>
      </c>
      <c r="AK215" s="50">
        <v>0</v>
      </c>
      <c r="AL215" s="50">
        <v>0</v>
      </c>
      <c r="AM215" s="50">
        <v>0</v>
      </c>
      <c r="AN215" s="50">
        <v>0</v>
      </c>
      <c r="AO215" s="50">
        <v>0</v>
      </c>
      <c r="AP215" s="412"/>
      <c r="AQ215" s="263"/>
    </row>
    <row r="216" spans="1:43" s="327" customFormat="1" ht="42" customHeight="1" x14ac:dyDescent="0.25">
      <c r="A216" s="1649" t="s">
        <v>174</v>
      </c>
      <c r="B216" s="780" t="s">
        <v>175</v>
      </c>
      <c r="C216" s="133"/>
      <c r="D216" s="133"/>
      <c r="E216" s="133"/>
      <c r="F216" s="133"/>
      <c r="G216" s="778"/>
      <c r="H216" s="778"/>
      <c r="I216" s="1651" t="s">
        <v>20</v>
      </c>
      <c r="J216" s="1292"/>
      <c r="K216" s="3"/>
      <c r="L216" s="3">
        <f>L217</f>
        <v>3750.02</v>
      </c>
      <c r="M216" s="3">
        <f>M217</f>
        <v>1639</v>
      </c>
      <c r="N216" s="3">
        <f t="shared" ref="N216:AO216" si="124">N217</f>
        <v>0</v>
      </c>
      <c r="O216" s="3">
        <f t="shared" si="124"/>
        <v>0</v>
      </c>
      <c r="P216" s="3">
        <f t="shared" si="124"/>
        <v>0</v>
      </c>
      <c r="Q216" s="3">
        <f t="shared" si="124"/>
        <v>0</v>
      </c>
      <c r="R216" s="3">
        <f t="shared" si="124"/>
        <v>0</v>
      </c>
      <c r="S216" s="3">
        <f t="shared" si="124"/>
        <v>0</v>
      </c>
      <c r="T216" s="3">
        <f t="shared" si="124"/>
        <v>0</v>
      </c>
      <c r="U216" s="3">
        <f t="shared" si="124"/>
        <v>0</v>
      </c>
      <c r="V216" s="3">
        <f t="shared" si="124"/>
        <v>0</v>
      </c>
      <c r="W216" s="3">
        <f t="shared" si="124"/>
        <v>0</v>
      </c>
      <c r="X216" s="3">
        <f t="shared" si="124"/>
        <v>0</v>
      </c>
      <c r="Y216" s="3">
        <f t="shared" si="124"/>
        <v>0</v>
      </c>
      <c r="Z216" s="95">
        <v>0</v>
      </c>
      <c r="AA216" s="3">
        <f t="shared" si="124"/>
        <v>0</v>
      </c>
      <c r="AB216" s="3">
        <f t="shared" si="124"/>
        <v>0</v>
      </c>
      <c r="AC216" s="3">
        <f t="shared" si="124"/>
        <v>0</v>
      </c>
      <c r="AD216" s="3">
        <f t="shared" si="124"/>
        <v>0</v>
      </c>
      <c r="AE216" s="3">
        <f t="shared" si="124"/>
        <v>0</v>
      </c>
      <c r="AF216" s="3">
        <f t="shared" si="124"/>
        <v>0</v>
      </c>
      <c r="AG216" s="3">
        <f t="shared" si="124"/>
        <v>0</v>
      </c>
      <c r="AH216" s="3">
        <f t="shared" si="124"/>
        <v>0</v>
      </c>
      <c r="AI216" s="3">
        <f t="shared" si="124"/>
        <v>0</v>
      </c>
      <c r="AJ216" s="3">
        <f t="shared" si="124"/>
        <v>0</v>
      </c>
      <c r="AK216" s="3">
        <f t="shared" si="124"/>
        <v>0</v>
      </c>
      <c r="AL216" s="3">
        <f t="shared" si="124"/>
        <v>0</v>
      </c>
      <c r="AM216" s="3">
        <f t="shared" si="124"/>
        <v>0</v>
      </c>
      <c r="AN216" s="3">
        <f t="shared" si="124"/>
        <v>0</v>
      </c>
      <c r="AO216" s="3">
        <f t="shared" si="124"/>
        <v>0</v>
      </c>
      <c r="AP216" s="633" t="s">
        <v>256</v>
      </c>
      <c r="AQ216" s="95">
        <v>0</v>
      </c>
    </row>
    <row r="217" spans="1:43" s="327" customFormat="1" ht="15.75" hidden="1" customHeight="1" x14ac:dyDescent="0.25">
      <c r="A217" s="1650"/>
      <c r="B217" s="772" t="s">
        <v>15</v>
      </c>
      <c r="C217" s="133"/>
      <c r="D217" s="133"/>
      <c r="E217" s="133"/>
      <c r="F217" s="133"/>
      <c r="G217" s="312"/>
      <c r="H217" s="1277"/>
      <c r="I217" s="1652"/>
      <c r="J217" s="1292"/>
      <c r="K217" s="318"/>
      <c r="L217" s="3">
        <v>3750.02</v>
      </c>
      <c r="M217" s="3">
        <v>1639</v>
      </c>
      <c r="N217" s="3">
        <v>0</v>
      </c>
      <c r="O217" s="3">
        <v>0</v>
      </c>
      <c r="P217" s="3">
        <v>0</v>
      </c>
      <c r="Q217" s="819">
        <f>SUM(Q218:Q221)</f>
        <v>0</v>
      </c>
      <c r="R217" s="819">
        <f t="shared" ref="R217:AJ217" si="125">SUM(R218:R221)</f>
        <v>0</v>
      </c>
      <c r="S217" s="819">
        <f t="shared" si="125"/>
        <v>0</v>
      </c>
      <c r="T217" s="819">
        <f t="shared" si="125"/>
        <v>0</v>
      </c>
      <c r="U217" s="819">
        <f t="shared" si="125"/>
        <v>0</v>
      </c>
      <c r="V217" s="819">
        <f t="shared" si="125"/>
        <v>0</v>
      </c>
      <c r="W217" s="819">
        <f t="shared" si="125"/>
        <v>0</v>
      </c>
      <c r="X217" s="3">
        <v>0</v>
      </c>
      <c r="Y217" s="819">
        <f t="shared" si="125"/>
        <v>0</v>
      </c>
      <c r="Z217" s="820"/>
      <c r="AA217" s="819">
        <f t="shared" si="125"/>
        <v>0</v>
      </c>
      <c r="AB217" s="819">
        <f t="shared" si="125"/>
        <v>0</v>
      </c>
      <c r="AC217" s="819">
        <f t="shared" si="125"/>
        <v>0</v>
      </c>
      <c r="AD217" s="819">
        <f t="shared" si="125"/>
        <v>0</v>
      </c>
      <c r="AE217" s="819">
        <f t="shared" si="125"/>
        <v>0</v>
      </c>
      <c r="AF217" s="819">
        <f t="shared" si="125"/>
        <v>0</v>
      </c>
      <c r="AG217" s="819">
        <f t="shared" si="125"/>
        <v>0</v>
      </c>
      <c r="AH217" s="819">
        <f t="shared" si="125"/>
        <v>0</v>
      </c>
      <c r="AI217" s="819">
        <f t="shared" si="125"/>
        <v>0</v>
      </c>
      <c r="AJ217" s="819">
        <f t="shared" si="125"/>
        <v>0</v>
      </c>
      <c r="AK217" s="819">
        <f>SUM(AK218:AK221)</f>
        <v>0</v>
      </c>
      <c r="AL217" s="819">
        <f>SUM(AL218:AL221)</f>
        <v>0</v>
      </c>
      <c r="AM217" s="819">
        <f>SUM(AM218:AM221)</f>
        <v>0</v>
      </c>
      <c r="AN217" s="819">
        <f>SUM(AN218:AN221)</f>
        <v>0</v>
      </c>
      <c r="AO217" s="819">
        <f>SUM(AO218:AO221)</f>
        <v>0</v>
      </c>
      <c r="AP217" s="821"/>
      <c r="AQ217" s="820"/>
    </row>
    <row r="218" spans="1:43" s="827" customFormat="1" ht="15.75" hidden="1" customHeight="1" x14ac:dyDescent="0.25">
      <c r="A218" s="822"/>
      <c r="B218" s="823" t="s">
        <v>234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827" customFormat="1" ht="15.75" hidden="1" customHeight="1" x14ac:dyDescent="0.25">
      <c r="A219" s="822"/>
      <c r="B219" s="823" t="s">
        <v>235</v>
      </c>
      <c r="C219" s="369"/>
      <c r="D219" s="369"/>
      <c r="E219" s="369"/>
      <c r="F219" s="369"/>
      <c r="G219" s="254"/>
      <c r="H219" s="824"/>
      <c r="I219" s="825"/>
      <c r="J219" s="371"/>
      <c r="K219" s="372"/>
      <c r="L219" s="95"/>
      <c r="M219" s="95"/>
      <c r="N219" s="95"/>
      <c r="O219" s="95"/>
      <c r="P219" s="3"/>
      <c r="Q219" s="820">
        <f>Y219</f>
        <v>0</v>
      </c>
      <c r="R219" s="820"/>
      <c r="S219" s="820"/>
      <c r="T219" s="820"/>
      <c r="U219" s="820"/>
      <c r="V219" s="820"/>
      <c r="W219" s="820"/>
      <c r="X219" s="820">
        <v>0</v>
      </c>
      <c r="Y219" s="820">
        <v>0</v>
      </c>
      <c r="Z219" s="820"/>
      <c r="AA219" s="820">
        <v>0</v>
      </c>
      <c r="AB219" s="820">
        <v>0</v>
      </c>
      <c r="AC219" s="820"/>
      <c r="AD219" s="820"/>
      <c r="AE219" s="820"/>
      <c r="AF219" s="820"/>
      <c r="AG219" s="820"/>
      <c r="AH219" s="820"/>
      <c r="AI219" s="820"/>
      <c r="AJ219" s="820"/>
      <c r="AK219" s="820"/>
      <c r="AL219" s="820"/>
      <c r="AM219" s="820"/>
      <c r="AN219" s="820"/>
      <c r="AO219" s="820"/>
      <c r="AP219" s="826"/>
      <c r="AQ219" s="820"/>
    </row>
    <row r="220" spans="1:43" s="827" customFormat="1" ht="15.75" hidden="1" customHeight="1" x14ac:dyDescent="0.25">
      <c r="A220" s="822"/>
      <c r="B220" s="823" t="s">
        <v>236</v>
      </c>
      <c r="C220" s="369"/>
      <c r="D220" s="369"/>
      <c r="E220" s="369"/>
      <c r="F220" s="369"/>
      <c r="G220" s="254"/>
      <c r="H220" s="824"/>
      <c r="I220" s="825"/>
      <c r="J220" s="371"/>
      <c r="K220" s="372"/>
      <c r="L220" s="95"/>
      <c r="M220" s="95"/>
      <c r="N220" s="95"/>
      <c r="O220" s="95"/>
      <c r="P220" s="3"/>
      <c r="Q220" s="820">
        <f>Y220</f>
        <v>0</v>
      </c>
      <c r="R220" s="820"/>
      <c r="S220" s="820"/>
      <c r="T220" s="820"/>
      <c r="U220" s="820"/>
      <c r="V220" s="820"/>
      <c r="W220" s="820"/>
      <c r="X220" s="820">
        <v>0</v>
      </c>
      <c r="Y220" s="820">
        <v>0</v>
      </c>
      <c r="Z220" s="820"/>
      <c r="AA220" s="820">
        <v>0</v>
      </c>
      <c r="AB220" s="820">
        <v>0</v>
      </c>
      <c r="AC220" s="820"/>
      <c r="AD220" s="820"/>
      <c r="AE220" s="820"/>
      <c r="AF220" s="820"/>
      <c r="AG220" s="820"/>
      <c r="AH220" s="820"/>
      <c r="AI220" s="820"/>
      <c r="AJ220" s="820"/>
      <c r="AK220" s="820"/>
      <c r="AL220" s="820"/>
      <c r="AM220" s="820"/>
      <c r="AN220" s="820"/>
      <c r="AO220" s="820"/>
      <c r="AP220" s="826"/>
      <c r="AQ220" s="820"/>
    </row>
    <row r="221" spans="1:43" s="827" customFormat="1" ht="15.75" hidden="1" customHeight="1" x14ac:dyDescent="0.25">
      <c r="A221" s="822"/>
      <c r="B221" s="823" t="s">
        <v>237</v>
      </c>
      <c r="C221" s="369"/>
      <c r="D221" s="369"/>
      <c r="E221" s="369"/>
      <c r="F221" s="369"/>
      <c r="G221" s="254"/>
      <c r="H221" s="824"/>
      <c r="I221" s="825"/>
      <c r="J221" s="371"/>
      <c r="K221" s="372"/>
      <c r="L221" s="95"/>
      <c r="M221" s="95"/>
      <c r="N221" s="95"/>
      <c r="O221" s="95"/>
      <c r="P221" s="3"/>
      <c r="Q221" s="820">
        <f>Y221</f>
        <v>0</v>
      </c>
      <c r="R221" s="820"/>
      <c r="S221" s="820"/>
      <c r="T221" s="820"/>
      <c r="U221" s="820"/>
      <c r="V221" s="820"/>
      <c r="W221" s="820"/>
      <c r="X221" s="820">
        <v>0</v>
      </c>
      <c r="Y221" s="820">
        <v>0</v>
      </c>
      <c r="Z221" s="820"/>
      <c r="AA221" s="820">
        <v>0</v>
      </c>
      <c r="AB221" s="820">
        <v>0</v>
      </c>
      <c r="AC221" s="820"/>
      <c r="AD221" s="820"/>
      <c r="AE221" s="820"/>
      <c r="AF221" s="820"/>
      <c r="AG221" s="820"/>
      <c r="AH221" s="820"/>
      <c r="AI221" s="820"/>
      <c r="AJ221" s="820"/>
      <c r="AK221" s="820"/>
      <c r="AL221" s="820"/>
      <c r="AM221" s="820"/>
      <c r="AN221" s="820"/>
      <c r="AO221" s="820"/>
      <c r="AP221" s="826"/>
      <c r="AQ221" s="820"/>
    </row>
    <row r="222" spans="1:43" s="327" customFormat="1" ht="40.5" customHeight="1" x14ac:dyDescent="0.25">
      <c r="A222" s="1317" t="s">
        <v>176</v>
      </c>
      <c r="B222" s="780" t="s">
        <v>177</v>
      </c>
      <c r="C222" s="133"/>
      <c r="D222" s="133"/>
      <c r="E222" s="133"/>
      <c r="F222" s="133"/>
      <c r="G222" s="778"/>
      <c r="H222" s="778"/>
      <c r="I222" s="1463" t="s">
        <v>20</v>
      </c>
      <c r="J222" s="1292"/>
      <c r="K222" s="3"/>
      <c r="L222" s="3">
        <f>L223</f>
        <v>3750.02</v>
      </c>
      <c r="M222" s="3">
        <f>M223</f>
        <v>2630.03</v>
      </c>
      <c r="N222" s="3">
        <f t="shared" ref="N222:AO222" si="126">N223</f>
        <v>0</v>
      </c>
      <c r="O222" s="3">
        <f t="shared" si="126"/>
        <v>0</v>
      </c>
      <c r="P222" s="3">
        <f t="shared" si="126"/>
        <v>0</v>
      </c>
      <c r="Q222" s="3">
        <f t="shared" si="126"/>
        <v>0</v>
      </c>
      <c r="R222" s="3">
        <f t="shared" si="126"/>
        <v>0</v>
      </c>
      <c r="S222" s="3">
        <f t="shared" si="126"/>
        <v>0</v>
      </c>
      <c r="T222" s="3">
        <f t="shared" si="126"/>
        <v>0</v>
      </c>
      <c r="U222" s="3">
        <f t="shared" si="126"/>
        <v>0</v>
      </c>
      <c r="V222" s="3">
        <f t="shared" si="126"/>
        <v>0</v>
      </c>
      <c r="W222" s="3">
        <f t="shared" si="126"/>
        <v>0</v>
      </c>
      <c r="X222" s="3">
        <f t="shared" si="126"/>
        <v>0</v>
      </c>
      <c r="Y222" s="3">
        <f t="shared" si="126"/>
        <v>0</v>
      </c>
      <c r="Z222" s="95">
        <v>0</v>
      </c>
      <c r="AA222" s="3">
        <f t="shared" si="126"/>
        <v>0</v>
      </c>
      <c r="AB222" s="3">
        <f t="shared" si="126"/>
        <v>0</v>
      </c>
      <c r="AC222" s="3">
        <f t="shared" si="126"/>
        <v>0</v>
      </c>
      <c r="AD222" s="3">
        <f t="shared" si="126"/>
        <v>0</v>
      </c>
      <c r="AE222" s="3">
        <f t="shared" si="126"/>
        <v>0</v>
      </c>
      <c r="AF222" s="3">
        <f t="shared" si="126"/>
        <v>0</v>
      </c>
      <c r="AG222" s="3">
        <f t="shared" si="126"/>
        <v>0</v>
      </c>
      <c r="AH222" s="3">
        <f t="shared" si="126"/>
        <v>0</v>
      </c>
      <c r="AI222" s="3">
        <f t="shared" si="126"/>
        <v>0</v>
      </c>
      <c r="AJ222" s="3">
        <f t="shared" si="126"/>
        <v>0</v>
      </c>
      <c r="AK222" s="3">
        <f t="shared" si="126"/>
        <v>0</v>
      </c>
      <c r="AL222" s="3">
        <f t="shared" si="126"/>
        <v>0</v>
      </c>
      <c r="AM222" s="3">
        <f t="shared" si="126"/>
        <v>0</v>
      </c>
      <c r="AN222" s="3">
        <f t="shared" si="126"/>
        <v>0</v>
      </c>
      <c r="AO222" s="3">
        <f t="shared" si="126"/>
        <v>0</v>
      </c>
      <c r="AP222" s="633" t="s">
        <v>256</v>
      </c>
      <c r="AQ222" s="95">
        <v>0</v>
      </c>
    </row>
    <row r="223" spans="1:43" ht="15.75" hidden="1" customHeight="1" x14ac:dyDescent="0.25">
      <c r="A223" s="1288"/>
      <c r="B223" s="42" t="s">
        <v>15</v>
      </c>
      <c r="C223" s="341"/>
      <c r="D223" s="341"/>
      <c r="E223" s="341"/>
      <c r="F223" s="341"/>
      <c r="G223" s="313"/>
      <c r="H223" s="1322"/>
      <c r="I223" s="1465"/>
      <c r="J223" s="1307"/>
      <c r="K223" s="4"/>
      <c r="L223" s="47">
        <v>3750.02</v>
      </c>
      <c r="M223" s="47">
        <v>2630.03</v>
      </c>
      <c r="N223" s="47">
        <v>0</v>
      </c>
      <c r="O223" s="47">
        <v>0</v>
      </c>
      <c r="P223" s="47">
        <v>0</v>
      </c>
      <c r="Q223" s="50">
        <f>SUM(Q224:Q227)</f>
        <v>0</v>
      </c>
      <c r="R223" s="50">
        <f t="shared" ref="R223:W223" si="127">SUM(R224:R227)</f>
        <v>0</v>
      </c>
      <c r="S223" s="50">
        <f t="shared" si="127"/>
        <v>0</v>
      </c>
      <c r="T223" s="50">
        <f t="shared" si="127"/>
        <v>0</v>
      </c>
      <c r="U223" s="50">
        <f t="shared" si="127"/>
        <v>0</v>
      </c>
      <c r="V223" s="50">
        <f t="shared" si="127"/>
        <v>0</v>
      </c>
      <c r="W223" s="50">
        <f t="shared" si="127"/>
        <v>0</v>
      </c>
      <c r="X223" s="47">
        <v>0</v>
      </c>
      <c r="Y223" s="50">
        <f t="shared" ref="Y223:AJ223" si="128">SUM(Y224:Y227)</f>
        <v>0</v>
      </c>
      <c r="Z223" s="263"/>
      <c r="AA223" s="50">
        <f t="shared" si="128"/>
        <v>0</v>
      </c>
      <c r="AB223" s="50">
        <f t="shared" si="128"/>
        <v>0</v>
      </c>
      <c r="AC223" s="50">
        <f t="shared" si="128"/>
        <v>0</v>
      </c>
      <c r="AD223" s="50">
        <f t="shared" si="128"/>
        <v>0</v>
      </c>
      <c r="AE223" s="50">
        <f t="shared" si="128"/>
        <v>0</v>
      </c>
      <c r="AF223" s="50">
        <f t="shared" si="128"/>
        <v>0</v>
      </c>
      <c r="AG223" s="50">
        <f t="shared" si="128"/>
        <v>0</v>
      </c>
      <c r="AH223" s="50">
        <f t="shared" si="128"/>
        <v>0</v>
      </c>
      <c r="AI223" s="50">
        <f t="shared" si="128"/>
        <v>0</v>
      </c>
      <c r="AJ223" s="50">
        <f t="shared" si="128"/>
        <v>0</v>
      </c>
      <c r="AK223" s="50">
        <v>0</v>
      </c>
      <c r="AL223" s="50">
        <v>0</v>
      </c>
      <c r="AM223" s="50">
        <v>0</v>
      </c>
      <c r="AN223" s="50">
        <v>0</v>
      </c>
      <c r="AO223" s="50">
        <v>0</v>
      </c>
      <c r="AP223" s="412"/>
      <c r="AQ223" s="263"/>
    </row>
    <row r="224" spans="1:43" s="266" customFormat="1" ht="15.75" hidden="1" customHeight="1" x14ac:dyDescent="0.25">
      <c r="A224" s="366"/>
      <c r="B224" s="252" t="s">
        <v>238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266" customFormat="1" ht="15.75" hidden="1" customHeight="1" x14ac:dyDescent="0.25">
      <c r="A225" s="366"/>
      <c r="B225" s="252" t="s">
        <v>239</v>
      </c>
      <c r="C225" s="453"/>
      <c r="D225" s="453"/>
      <c r="E225" s="453"/>
      <c r="F225" s="453"/>
      <c r="G225" s="363"/>
      <c r="H225" s="364"/>
      <c r="I225" s="370"/>
      <c r="J225" s="651"/>
      <c r="K225" s="268"/>
      <c r="L225" s="96"/>
      <c r="M225" s="96"/>
      <c r="N225" s="96"/>
      <c r="O225" s="96"/>
      <c r="P225" s="47"/>
      <c r="Q225" s="263">
        <f>Y225</f>
        <v>0</v>
      </c>
      <c r="R225" s="263"/>
      <c r="S225" s="263"/>
      <c r="T225" s="263"/>
      <c r="U225" s="263"/>
      <c r="V225" s="263"/>
      <c r="W225" s="263"/>
      <c r="X225" s="263">
        <v>0</v>
      </c>
      <c r="Y225" s="263">
        <v>0</v>
      </c>
      <c r="Z225" s="263"/>
      <c r="AA225" s="263">
        <v>0</v>
      </c>
      <c r="AB225" s="263">
        <v>0</v>
      </c>
      <c r="AC225" s="263"/>
      <c r="AD225" s="263"/>
      <c r="AE225" s="263"/>
      <c r="AF225" s="263"/>
      <c r="AG225" s="263"/>
      <c r="AH225" s="263"/>
      <c r="AI225" s="263"/>
      <c r="AJ225" s="263"/>
      <c r="AK225" s="263"/>
      <c r="AL225" s="263"/>
      <c r="AM225" s="263"/>
      <c r="AN225" s="263"/>
      <c r="AO225" s="263"/>
      <c r="AP225" s="413"/>
      <c r="AQ225" s="263"/>
    </row>
    <row r="226" spans="1:43" s="266" customFormat="1" ht="15.75" hidden="1" customHeight="1" x14ac:dyDescent="0.25">
      <c r="A226" s="366"/>
      <c r="B226" s="252" t="s">
        <v>234</v>
      </c>
      <c r="C226" s="453"/>
      <c r="D226" s="453"/>
      <c r="E226" s="453"/>
      <c r="F226" s="453"/>
      <c r="G226" s="363"/>
      <c r="H226" s="364"/>
      <c r="I226" s="370"/>
      <c r="J226" s="651"/>
      <c r="K226" s="268"/>
      <c r="L226" s="96"/>
      <c r="M226" s="96"/>
      <c r="N226" s="96"/>
      <c r="O226" s="96"/>
      <c r="P226" s="47"/>
      <c r="Q226" s="263">
        <f>Y226</f>
        <v>0</v>
      </c>
      <c r="R226" s="263"/>
      <c r="S226" s="263"/>
      <c r="T226" s="263"/>
      <c r="U226" s="263"/>
      <c r="V226" s="263"/>
      <c r="W226" s="263"/>
      <c r="X226" s="263">
        <v>0</v>
      </c>
      <c r="Y226" s="263">
        <v>0</v>
      </c>
      <c r="Z226" s="263"/>
      <c r="AA226" s="263">
        <v>0</v>
      </c>
      <c r="AB226" s="263">
        <v>0</v>
      </c>
      <c r="AC226" s="263"/>
      <c r="AD226" s="263"/>
      <c r="AE226" s="263"/>
      <c r="AF226" s="263"/>
      <c r="AG226" s="263"/>
      <c r="AH226" s="263"/>
      <c r="AI226" s="263"/>
      <c r="AJ226" s="263"/>
      <c r="AK226" s="263"/>
      <c r="AL226" s="263"/>
      <c r="AM226" s="263"/>
      <c r="AN226" s="263"/>
      <c r="AO226" s="263"/>
      <c r="AP226" s="413"/>
      <c r="AQ226" s="263"/>
    </row>
    <row r="227" spans="1:43" s="266" customFormat="1" ht="15.75" hidden="1" customHeight="1" x14ac:dyDescent="0.25">
      <c r="A227" s="366"/>
      <c r="B227" s="252" t="s">
        <v>237</v>
      </c>
      <c r="C227" s="453"/>
      <c r="D227" s="453"/>
      <c r="E227" s="453"/>
      <c r="F227" s="453"/>
      <c r="G227" s="363"/>
      <c r="H227" s="364"/>
      <c r="I227" s="370"/>
      <c r="J227" s="651"/>
      <c r="K227" s="268"/>
      <c r="L227" s="96"/>
      <c r="M227" s="96"/>
      <c r="N227" s="96"/>
      <c r="O227" s="96"/>
      <c r="P227" s="47"/>
      <c r="Q227" s="263">
        <f>Y227</f>
        <v>0</v>
      </c>
      <c r="R227" s="263"/>
      <c r="S227" s="263"/>
      <c r="T227" s="263"/>
      <c r="U227" s="263"/>
      <c r="V227" s="263"/>
      <c r="W227" s="263"/>
      <c r="X227" s="263">
        <v>0</v>
      </c>
      <c r="Y227" s="263">
        <v>0</v>
      </c>
      <c r="Z227" s="263"/>
      <c r="AA227" s="263">
        <v>0</v>
      </c>
      <c r="AB227" s="263">
        <v>0</v>
      </c>
      <c r="AC227" s="263"/>
      <c r="AD227" s="263"/>
      <c r="AE227" s="263"/>
      <c r="AF227" s="263"/>
      <c r="AG227" s="263"/>
      <c r="AH227" s="263"/>
      <c r="AI227" s="263"/>
      <c r="AJ227" s="263"/>
      <c r="AK227" s="263"/>
      <c r="AL227" s="263"/>
      <c r="AM227" s="263"/>
      <c r="AN227" s="263"/>
      <c r="AO227" s="263"/>
      <c r="AP227" s="413"/>
      <c r="AQ227" s="263"/>
    </row>
    <row r="228" spans="1:43" s="327" customFormat="1" ht="52.5" customHeight="1" x14ac:dyDescent="0.25">
      <c r="A228" s="1317" t="s">
        <v>178</v>
      </c>
      <c r="B228" s="780" t="s">
        <v>180</v>
      </c>
      <c r="C228" s="133"/>
      <c r="D228" s="133"/>
      <c r="E228" s="133"/>
      <c r="F228" s="133"/>
      <c r="G228" s="778"/>
      <c r="H228" s="778"/>
      <c r="I228" s="1651" t="s">
        <v>181</v>
      </c>
      <c r="J228" s="1292"/>
      <c r="K228" s="3"/>
      <c r="L228" s="3">
        <f>L229</f>
        <v>962.68</v>
      </c>
      <c r="M228" s="3">
        <f>M229</f>
        <v>403.33</v>
      </c>
      <c r="N228" s="3">
        <f t="shared" ref="N228:AO228" si="129">N229</f>
        <v>0</v>
      </c>
      <c r="O228" s="3">
        <f t="shared" si="129"/>
        <v>0</v>
      </c>
      <c r="P228" s="3">
        <f t="shared" si="129"/>
        <v>0</v>
      </c>
      <c r="Q228" s="3">
        <f>Q229</f>
        <v>99.9</v>
      </c>
      <c r="R228" s="3">
        <f t="shared" si="129"/>
        <v>0</v>
      </c>
      <c r="S228" s="3">
        <f t="shared" si="129"/>
        <v>0</v>
      </c>
      <c r="T228" s="3">
        <f t="shared" si="129"/>
        <v>0</v>
      </c>
      <c r="U228" s="3">
        <f t="shared" si="129"/>
        <v>0</v>
      </c>
      <c r="V228" s="3">
        <f t="shared" si="129"/>
        <v>0</v>
      </c>
      <c r="W228" s="3">
        <f t="shared" si="129"/>
        <v>0</v>
      </c>
      <c r="X228" s="3">
        <f t="shared" si="129"/>
        <v>0</v>
      </c>
      <c r="Y228" s="3">
        <f t="shared" si="129"/>
        <v>0</v>
      </c>
      <c r="Z228" s="95">
        <v>0</v>
      </c>
      <c r="AA228" s="3">
        <f>AA229</f>
        <v>99.9</v>
      </c>
      <c r="AB228" s="3">
        <f t="shared" si="129"/>
        <v>0</v>
      </c>
      <c r="AC228" s="3">
        <f t="shared" si="129"/>
        <v>0</v>
      </c>
      <c r="AD228" s="3">
        <f t="shared" si="129"/>
        <v>0</v>
      </c>
      <c r="AE228" s="3">
        <f t="shared" si="129"/>
        <v>0</v>
      </c>
      <c r="AF228" s="3">
        <f t="shared" si="129"/>
        <v>0</v>
      </c>
      <c r="AG228" s="3">
        <f t="shared" si="129"/>
        <v>0</v>
      </c>
      <c r="AH228" s="3">
        <f t="shared" si="129"/>
        <v>0</v>
      </c>
      <c r="AI228" s="3">
        <f t="shared" si="129"/>
        <v>0</v>
      </c>
      <c r="AJ228" s="3">
        <f t="shared" si="129"/>
        <v>0</v>
      </c>
      <c r="AK228" s="3">
        <f t="shared" si="129"/>
        <v>0</v>
      </c>
      <c r="AL228" s="3">
        <f t="shared" si="129"/>
        <v>0</v>
      </c>
      <c r="AM228" s="3">
        <f t="shared" si="129"/>
        <v>0</v>
      </c>
      <c r="AN228" s="3">
        <f t="shared" si="129"/>
        <v>0</v>
      </c>
      <c r="AO228" s="3">
        <f t="shared" si="129"/>
        <v>0</v>
      </c>
      <c r="AP228" s="829" t="s">
        <v>207</v>
      </c>
      <c r="AQ228" s="95">
        <v>0</v>
      </c>
    </row>
    <row r="229" spans="1:43" ht="15.75" customHeight="1" x14ac:dyDescent="0.25">
      <c r="A229" s="1288"/>
      <c r="B229" s="42" t="s">
        <v>16</v>
      </c>
      <c r="C229" s="341"/>
      <c r="D229" s="341"/>
      <c r="E229" s="341"/>
      <c r="F229" s="341"/>
      <c r="G229" s="313"/>
      <c r="H229" s="1322"/>
      <c r="I229" s="1652"/>
      <c r="J229" s="1307"/>
      <c r="K229" s="4"/>
      <c r="L229" s="47">
        <v>962.68</v>
      </c>
      <c r="M229" s="47">
        <v>403.33</v>
      </c>
      <c r="N229" s="47">
        <v>0</v>
      </c>
      <c r="O229" s="50">
        <v>0</v>
      </c>
      <c r="P229" s="50">
        <v>0</v>
      </c>
      <c r="Q229" s="50">
        <v>99.9</v>
      </c>
      <c r="R229" s="50">
        <v>0</v>
      </c>
      <c r="S229" s="50">
        <v>0</v>
      </c>
      <c r="T229" s="50">
        <v>0</v>
      </c>
      <c r="U229" s="50">
        <v>0</v>
      </c>
      <c r="V229" s="50">
        <v>0</v>
      </c>
      <c r="W229" s="50">
        <v>0</v>
      </c>
      <c r="X229" s="50">
        <v>0</v>
      </c>
      <c r="Y229" s="50">
        <v>0</v>
      </c>
      <c r="Z229" s="263"/>
      <c r="AA229" s="50">
        <v>99.9</v>
      </c>
      <c r="AB229" s="50">
        <v>0</v>
      </c>
      <c r="AC229" s="50">
        <v>0</v>
      </c>
      <c r="AD229" s="50">
        <v>0</v>
      </c>
      <c r="AE229" s="50">
        <v>0</v>
      </c>
      <c r="AF229" s="50">
        <v>0</v>
      </c>
      <c r="AG229" s="50">
        <v>0</v>
      </c>
      <c r="AH229" s="50">
        <v>0</v>
      </c>
      <c r="AI229" s="50">
        <v>0</v>
      </c>
      <c r="AJ229" s="50">
        <v>0</v>
      </c>
      <c r="AK229" s="50">
        <v>0</v>
      </c>
      <c r="AL229" s="50">
        <v>0</v>
      </c>
      <c r="AM229" s="50">
        <v>0</v>
      </c>
      <c r="AN229" s="50">
        <v>0</v>
      </c>
      <c r="AO229" s="50">
        <v>0</v>
      </c>
      <c r="AP229" s="841"/>
      <c r="AQ229" s="263"/>
    </row>
    <row r="230" spans="1:43" s="327" customFormat="1" ht="29.25" customHeight="1" x14ac:dyDescent="0.25">
      <c r="A230" s="1317" t="s">
        <v>179</v>
      </c>
      <c r="B230" s="780" t="s">
        <v>182</v>
      </c>
      <c r="C230" s="133"/>
      <c r="D230" s="133"/>
      <c r="E230" s="133"/>
      <c r="F230" s="133"/>
      <c r="G230" s="778"/>
      <c r="H230" s="778"/>
      <c r="I230" s="1463" t="s">
        <v>181</v>
      </c>
      <c r="J230" s="1292"/>
      <c r="K230" s="3"/>
      <c r="L230" s="3">
        <f>L231</f>
        <v>1342.77</v>
      </c>
      <c r="M230" s="3">
        <f>M231</f>
        <v>1246.77</v>
      </c>
      <c r="N230" s="3">
        <f t="shared" ref="N230:AO232" si="130">N231</f>
        <v>0</v>
      </c>
      <c r="O230" s="3">
        <f t="shared" si="130"/>
        <v>0</v>
      </c>
      <c r="P230" s="3">
        <f t="shared" si="130"/>
        <v>0</v>
      </c>
      <c r="Q230" s="3">
        <f t="shared" si="130"/>
        <v>0</v>
      </c>
      <c r="R230" s="3">
        <f t="shared" si="130"/>
        <v>0</v>
      </c>
      <c r="S230" s="3">
        <f t="shared" si="130"/>
        <v>0</v>
      </c>
      <c r="T230" s="3">
        <f t="shared" si="130"/>
        <v>0</v>
      </c>
      <c r="U230" s="3">
        <f t="shared" si="130"/>
        <v>0</v>
      </c>
      <c r="V230" s="3">
        <f t="shared" si="130"/>
        <v>0</v>
      </c>
      <c r="W230" s="3">
        <f t="shared" si="130"/>
        <v>0</v>
      </c>
      <c r="X230" s="3">
        <f t="shared" si="130"/>
        <v>0</v>
      </c>
      <c r="Y230" s="3">
        <f t="shared" si="130"/>
        <v>0</v>
      </c>
      <c r="Z230" s="95">
        <v>0</v>
      </c>
      <c r="AA230" s="3">
        <f t="shared" si="130"/>
        <v>0</v>
      </c>
      <c r="AB230" s="3">
        <f t="shared" si="130"/>
        <v>0</v>
      </c>
      <c r="AC230" s="3">
        <f t="shared" si="130"/>
        <v>0</v>
      </c>
      <c r="AD230" s="3">
        <f t="shared" si="130"/>
        <v>0</v>
      </c>
      <c r="AE230" s="3">
        <f t="shared" si="130"/>
        <v>0</v>
      </c>
      <c r="AF230" s="3">
        <f t="shared" si="130"/>
        <v>0</v>
      </c>
      <c r="AG230" s="3">
        <f t="shared" si="130"/>
        <v>0</v>
      </c>
      <c r="AH230" s="3">
        <f t="shared" si="130"/>
        <v>0</v>
      </c>
      <c r="AI230" s="3">
        <f t="shared" si="130"/>
        <v>0</v>
      </c>
      <c r="AJ230" s="3">
        <f t="shared" si="130"/>
        <v>0</v>
      </c>
      <c r="AK230" s="3">
        <f t="shared" si="130"/>
        <v>0</v>
      </c>
      <c r="AL230" s="3">
        <f t="shared" si="130"/>
        <v>0</v>
      </c>
      <c r="AM230" s="3">
        <f t="shared" si="130"/>
        <v>0</v>
      </c>
      <c r="AN230" s="3">
        <f t="shared" si="130"/>
        <v>0</v>
      </c>
      <c r="AO230" s="3">
        <f t="shared" si="130"/>
        <v>0</v>
      </c>
      <c r="AP230" s="829" t="s">
        <v>207</v>
      </c>
      <c r="AQ230" s="95">
        <v>0</v>
      </c>
    </row>
    <row r="231" spans="1:43" ht="15.75" customHeight="1" x14ac:dyDescent="0.25">
      <c r="A231" s="1288"/>
      <c r="B231" s="42" t="s">
        <v>15</v>
      </c>
      <c r="C231" s="341"/>
      <c r="D231" s="341"/>
      <c r="E231" s="341"/>
      <c r="F231" s="341"/>
      <c r="G231" s="313"/>
      <c r="H231" s="1322"/>
      <c r="I231" s="1465"/>
      <c r="J231" s="1307"/>
      <c r="K231" s="4"/>
      <c r="L231" s="47">
        <v>1342.77</v>
      </c>
      <c r="M231" s="47">
        <v>1246.77</v>
      </c>
      <c r="N231" s="50">
        <v>0</v>
      </c>
      <c r="O231" s="50">
        <v>0</v>
      </c>
      <c r="P231" s="47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50">
        <v>0</v>
      </c>
      <c r="W231" s="50">
        <v>0</v>
      </c>
      <c r="X231" s="47">
        <v>0</v>
      </c>
      <c r="Y231" s="50">
        <v>0</v>
      </c>
      <c r="Z231" s="263"/>
      <c r="AA231" s="50">
        <v>0</v>
      </c>
      <c r="AB231" s="50">
        <v>0</v>
      </c>
      <c r="AC231" s="50">
        <v>0</v>
      </c>
      <c r="AD231" s="50">
        <v>0</v>
      </c>
      <c r="AE231" s="50">
        <v>0</v>
      </c>
      <c r="AF231" s="50">
        <v>0</v>
      </c>
      <c r="AG231" s="50">
        <v>0</v>
      </c>
      <c r="AH231" s="50">
        <v>0</v>
      </c>
      <c r="AI231" s="50">
        <v>0</v>
      </c>
      <c r="AJ231" s="50">
        <v>0</v>
      </c>
      <c r="AK231" s="50">
        <v>0</v>
      </c>
      <c r="AL231" s="50">
        <v>0</v>
      </c>
      <c r="AM231" s="50">
        <v>0</v>
      </c>
      <c r="AN231" s="50">
        <v>0</v>
      </c>
      <c r="AO231" s="50">
        <v>0</v>
      </c>
      <c r="AP231" s="412"/>
      <c r="AQ231" s="263"/>
    </row>
    <row r="232" spans="1:43" s="327" customFormat="1" ht="29.25" customHeight="1" x14ac:dyDescent="0.25">
      <c r="A232" s="1317" t="s">
        <v>179</v>
      </c>
      <c r="B232" s="780" t="s">
        <v>412</v>
      </c>
      <c r="C232" s="133"/>
      <c r="D232" s="133"/>
      <c r="E232" s="133"/>
      <c r="F232" s="133"/>
      <c r="G232" s="778"/>
      <c r="H232" s="778"/>
      <c r="I232" s="1463" t="s">
        <v>181</v>
      </c>
      <c r="J232" s="1292"/>
      <c r="K232" s="3"/>
      <c r="L232" s="3">
        <f>L233</f>
        <v>1342.77</v>
      </c>
      <c r="M232" s="3">
        <f>M233</f>
        <v>1246.77</v>
      </c>
      <c r="N232" s="3">
        <f t="shared" si="130"/>
        <v>0</v>
      </c>
      <c r="O232" s="3">
        <f t="shared" si="130"/>
        <v>0</v>
      </c>
      <c r="P232" s="3">
        <f t="shared" si="130"/>
        <v>2878.15</v>
      </c>
      <c r="Q232" s="3">
        <f t="shared" si="130"/>
        <v>398</v>
      </c>
      <c r="R232" s="3">
        <f t="shared" si="130"/>
        <v>0</v>
      </c>
      <c r="S232" s="3">
        <f t="shared" si="130"/>
        <v>0</v>
      </c>
      <c r="T232" s="3">
        <f t="shared" si="130"/>
        <v>0</v>
      </c>
      <c r="U232" s="3">
        <f t="shared" si="130"/>
        <v>0</v>
      </c>
      <c r="V232" s="3">
        <f t="shared" si="130"/>
        <v>0</v>
      </c>
      <c r="W232" s="3">
        <f t="shared" si="130"/>
        <v>0</v>
      </c>
      <c r="X232" s="3">
        <f t="shared" si="130"/>
        <v>0</v>
      </c>
      <c r="Y232" s="3">
        <f t="shared" si="130"/>
        <v>0</v>
      </c>
      <c r="Z232" s="95">
        <v>0</v>
      </c>
      <c r="AA232" s="3">
        <f t="shared" si="130"/>
        <v>398</v>
      </c>
      <c r="AB232" s="3">
        <f t="shared" si="130"/>
        <v>0</v>
      </c>
      <c r="AC232" s="3">
        <f t="shared" si="130"/>
        <v>0</v>
      </c>
      <c r="AD232" s="3">
        <f t="shared" si="130"/>
        <v>0</v>
      </c>
      <c r="AE232" s="3">
        <f t="shared" si="130"/>
        <v>0</v>
      </c>
      <c r="AF232" s="3">
        <f t="shared" si="130"/>
        <v>0</v>
      </c>
      <c r="AG232" s="3">
        <f t="shared" si="130"/>
        <v>0</v>
      </c>
      <c r="AH232" s="3">
        <f t="shared" si="130"/>
        <v>0</v>
      </c>
      <c r="AI232" s="3">
        <f t="shared" si="130"/>
        <v>0</v>
      </c>
      <c r="AJ232" s="3">
        <f t="shared" si="130"/>
        <v>0</v>
      </c>
      <c r="AK232" s="3">
        <f t="shared" si="130"/>
        <v>0</v>
      </c>
      <c r="AL232" s="3">
        <f t="shared" si="130"/>
        <v>0</v>
      </c>
      <c r="AM232" s="3">
        <f t="shared" si="130"/>
        <v>0</v>
      </c>
      <c r="AN232" s="3">
        <f t="shared" si="130"/>
        <v>0</v>
      </c>
      <c r="AO232" s="3">
        <f t="shared" si="130"/>
        <v>0</v>
      </c>
      <c r="AP232" s="829" t="s">
        <v>207</v>
      </c>
      <c r="AQ232" s="95">
        <v>0</v>
      </c>
    </row>
    <row r="233" spans="1:43" ht="15.75" customHeight="1" x14ac:dyDescent="0.25">
      <c r="A233" s="1288"/>
      <c r="B233" s="42" t="s">
        <v>16</v>
      </c>
      <c r="C233" s="341"/>
      <c r="D233" s="341"/>
      <c r="E233" s="341"/>
      <c r="F233" s="341"/>
      <c r="G233" s="313"/>
      <c r="H233" s="1322"/>
      <c r="I233" s="1465"/>
      <c r="J233" s="1307"/>
      <c r="K233" s="4"/>
      <c r="L233" s="47">
        <v>1342.77</v>
      </c>
      <c r="M233" s="47">
        <v>1246.77</v>
      </c>
      <c r="N233" s="50">
        <v>0</v>
      </c>
      <c r="O233" s="50">
        <v>0</v>
      </c>
      <c r="P233" s="47">
        <v>2878.15</v>
      </c>
      <c r="Q233" s="50">
        <v>398</v>
      </c>
      <c r="R233" s="50">
        <v>0</v>
      </c>
      <c r="S233" s="50">
        <v>0</v>
      </c>
      <c r="T233" s="50">
        <v>0</v>
      </c>
      <c r="U233" s="50">
        <v>0</v>
      </c>
      <c r="V233" s="50">
        <v>0</v>
      </c>
      <c r="W233" s="50">
        <v>0</v>
      </c>
      <c r="X233" s="47">
        <v>0</v>
      </c>
      <c r="Y233" s="50">
        <v>0</v>
      </c>
      <c r="Z233" s="263"/>
      <c r="AA233" s="50">
        <v>398</v>
      </c>
      <c r="AB233" s="50">
        <v>0</v>
      </c>
      <c r="AC233" s="50">
        <v>0</v>
      </c>
      <c r="AD233" s="50">
        <v>0</v>
      </c>
      <c r="AE233" s="50">
        <v>0</v>
      </c>
      <c r="AF233" s="50">
        <v>0</v>
      </c>
      <c r="AG233" s="50">
        <v>0</v>
      </c>
      <c r="AH233" s="50">
        <v>0</v>
      </c>
      <c r="AI233" s="50">
        <v>0</v>
      </c>
      <c r="AJ233" s="50">
        <v>0</v>
      </c>
      <c r="AK233" s="50">
        <v>0</v>
      </c>
      <c r="AL233" s="50">
        <v>0</v>
      </c>
      <c r="AM233" s="50">
        <v>0</v>
      </c>
      <c r="AN233" s="50">
        <v>0</v>
      </c>
      <c r="AO233" s="50">
        <v>0</v>
      </c>
      <c r="AP233" s="412"/>
      <c r="AQ233" s="263"/>
    </row>
    <row r="234" spans="1:43" ht="54" hidden="1" customHeight="1" x14ac:dyDescent="0.25">
      <c r="A234" s="1332" t="s">
        <v>31</v>
      </c>
      <c r="B234" s="1613" t="s">
        <v>208</v>
      </c>
      <c r="C234" s="1614"/>
      <c r="D234" s="1614"/>
      <c r="E234" s="1614"/>
      <c r="F234" s="1614"/>
      <c r="G234" s="1614"/>
      <c r="H234" s="1615"/>
      <c r="I234" s="23" t="s">
        <v>19</v>
      </c>
      <c r="J234" s="1306">
        <v>0</v>
      </c>
      <c r="K234" s="1306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ht="39.75" hidden="1" customHeight="1" x14ac:dyDescent="0.25">
      <c r="A235" s="1333"/>
      <c r="B235" s="1616"/>
      <c r="C235" s="1617"/>
      <c r="D235" s="1617"/>
      <c r="E235" s="1617"/>
      <c r="F235" s="1617"/>
      <c r="G235" s="1617"/>
      <c r="H235" s="1618"/>
      <c r="I235" s="23" t="s">
        <v>20</v>
      </c>
      <c r="J235" s="1306">
        <f>K235+L235</f>
        <v>6696.7899999999991</v>
      </c>
      <c r="K235" s="1306">
        <f>K241+K260+K263+K270</f>
        <v>0</v>
      </c>
      <c r="L235" s="47">
        <f t="shared" ref="L235:AE235" si="131">L241</f>
        <v>6696.7899999999991</v>
      </c>
      <c r="M235" s="47">
        <f t="shared" si="131"/>
        <v>0</v>
      </c>
      <c r="N235" s="47">
        <f t="shared" si="131"/>
        <v>2081.9299999999998</v>
      </c>
      <c r="O235" s="47">
        <f t="shared" si="131"/>
        <v>4372.5</v>
      </c>
      <c r="P235" s="47">
        <f t="shared" si="131"/>
        <v>0</v>
      </c>
      <c r="Q235" s="47">
        <f t="shared" si="131"/>
        <v>470</v>
      </c>
      <c r="R235" s="47">
        <f t="shared" si="131"/>
        <v>0</v>
      </c>
      <c r="S235" s="47">
        <f t="shared" si="131"/>
        <v>0</v>
      </c>
      <c r="T235" s="47">
        <f t="shared" si="131"/>
        <v>0</v>
      </c>
      <c r="U235" s="47">
        <f t="shared" si="131"/>
        <v>0</v>
      </c>
      <c r="V235" s="47">
        <f t="shared" si="131"/>
        <v>0</v>
      </c>
      <c r="W235" s="47">
        <f t="shared" si="131"/>
        <v>0</v>
      </c>
      <c r="X235" s="47">
        <f t="shared" si="131"/>
        <v>0</v>
      </c>
      <c r="Y235" s="47">
        <f t="shared" si="131"/>
        <v>0</v>
      </c>
      <c r="Z235" s="96"/>
      <c r="AA235" s="47">
        <f t="shared" si="131"/>
        <v>470</v>
      </c>
      <c r="AB235" s="47">
        <f t="shared" si="131"/>
        <v>0</v>
      </c>
      <c r="AC235" s="47">
        <f t="shared" si="131"/>
        <v>0</v>
      </c>
      <c r="AD235" s="47">
        <f t="shared" si="131"/>
        <v>0</v>
      </c>
      <c r="AE235" s="47">
        <f t="shared" si="131"/>
        <v>0</v>
      </c>
      <c r="AF235" s="47">
        <f t="shared" ref="AF235:AO235" si="132">AF241+AF260+AF263+AF270+AF272</f>
        <v>0</v>
      </c>
      <c r="AG235" s="47">
        <f t="shared" si="132"/>
        <v>0</v>
      </c>
      <c r="AH235" s="47">
        <f t="shared" si="132"/>
        <v>0</v>
      </c>
      <c r="AI235" s="47">
        <f t="shared" si="132"/>
        <v>0</v>
      </c>
      <c r="AJ235" s="47">
        <f t="shared" si="132"/>
        <v>0</v>
      </c>
      <c r="AK235" s="47">
        <f t="shared" si="132"/>
        <v>39579.99194</v>
      </c>
      <c r="AL235" s="47">
        <f t="shared" si="132"/>
        <v>39579.99194</v>
      </c>
      <c r="AM235" s="47" t="e">
        <f t="shared" si="132"/>
        <v>#DIV/0!</v>
      </c>
      <c r="AN235" s="47">
        <f t="shared" si="132"/>
        <v>0</v>
      </c>
      <c r="AO235" s="47">
        <f t="shared" si="132"/>
        <v>0</v>
      </c>
      <c r="AP235" s="397"/>
      <c r="AQ235" s="96"/>
    </row>
    <row r="236" spans="1:43" ht="26.25" hidden="1" customHeight="1" x14ac:dyDescent="0.25">
      <c r="A236" s="1333"/>
      <c r="B236" s="1616"/>
      <c r="C236" s="1617"/>
      <c r="D236" s="1617"/>
      <c r="E236" s="1617"/>
      <c r="F236" s="1617"/>
      <c r="G236" s="1617"/>
      <c r="H236" s="1618"/>
      <c r="I236" s="23" t="s">
        <v>10</v>
      </c>
      <c r="J236" s="1306">
        <v>0</v>
      </c>
      <c r="K236" s="1306">
        <v>0</v>
      </c>
      <c r="L236" s="47">
        <f>M236+N236+O236</f>
        <v>0</v>
      </c>
      <c r="M236" s="47">
        <v>0</v>
      </c>
      <c r="N236" s="47">
        <v>0</v>
      </c>
      <c r="O236" s="47">
        <v>0</v>
      </c>
      <c r="P236" s="47">
        <v>0</v>
      </c>
      <c r="Q236" s="47">
        <v>0</v>
      </c>
      <c r="R236" s="47">
        <v>0</v>
      </c>
      <c r="S236" s="47">
        <v>0</v>
      </c>
      <c r="T236" s="47">
        <v>0</v>
      </c>
      <c r="U236" s="47">
        <v>0</v>
      </c>
      <c r="V236" s="47">
        <v>0</v>
      </c>
      <c r="W236" s="47">
        <v>0</v>
      </c>
      <c r="X236" s="47">
        <v>0</v>
      </c>
      <c r="Y236" s="47">
        <v>0</v>
      </c>
      <c r="Z236" s="96"/>
      <c r="AA236" s="47">
        <v>0</v>
      </c>
      <c r="AB236" s="47">
        <v>0</v>
      </c>
      <c r="AC236" s="47">
        <v>0</v>
      </c>
      <c r="AD236" s="47">
        <v>0</v>
      </c>
      <c r="AE236" s="47">
        <v>0</v>
      </c>
      <c r="AF236" s="47">
        <v>0</v>
      </c>
      <c r="AG236" s="47">
        <v>0</v>
      </c>
      <c r="AH236" s="47">
        <v>0</v>
      </c>
      <c r="AI236" s="47">
        <v>0</v>
      </c>
      <c r="AJ236" s="47">
        <v>0</v>
      </c>
      <c r="AK236" s="47">
        <v>0</v>
      </c>
      <c r="AL236" s="47">
        <v>0</v>
      </c>
      <c r="AM236" s="47">
        <v>0</v>
      </c>
      <c r="AN236" s="47">
        <v>0</v>
      </c>
      <c r="AO236" s="47">
        <v>0</v>
      </c>
      <c r="AP236" s="397"/>
      <c r="AQ236" s="96"/>
    </row>
    <row r="237" spans="1:43" ht="25.5" hidden="1" x14ac:dyDescent="0.25">
      <c r="A237" s="1334"/>
      <c r="B237" s="1619"/>
      <c r="C237" s="1620"/>
      <c r="D237" s="1620"/>
      <c r="E237" s="1620"/>
      <c r="F237" s="1620"/>
      <c r="G237" s="1620"/>
      <c r="H237" s="1621"/>
      <c r="I237" s="23" t="s">
        <v>9</v>
      </c>
      <c r="J237" s="1306">
        <v>0</v>
      </c>
      <c r="K237" s="1306">
        <v>0</v>
      </c>
      <c r="L237" s="47">
        <f>M237+N237+O237</f>
        <v>0</v>
      </c>
      <c r="M237" s="47">
        <v>0</v>
      </c>
      <c r="N237" s="47">
        <v>0</v>
      </c>
      <c r="O237" s="47">
        <v>0</v>
      </c>
      <c r="P237" s="47">
        <v>0</v>
      </c>
      <c r="Q237" s="47">
        <v>0</v>
      </c>
      <c r="R237" s="47">
        <v>0</v>
      </c>
      <c r="S237" s="47">
        <v>0</v>
      </c>
      <c r="T237" s="47">
        <v>0</v>
      </c>
      <c r="U237" s="47">
        <v>0</v>
      </c>
      <c r="V237" s="47">
        <v>0</v>
      </c>
      <c r="W237" s="47">
        <v>0</v>
      </c>
      <c r="X237" s="47">
        <v>0</v>
      </c>
      <c r="Y237" s="47">
        <v>0</v>
      </c>
      <c r="Z237" s="96"/>
      <c r="AA237" s="47">
        <v>0</v>
      </c>
      <c r="AB237" s="47">
        <v>0</v>
      </c>
      <c r="AC237" s="47">
        <v>0</v>
      </c>
      <c r="AD237" s="47">
        <v>0</v>
      </c>
      <c r="AE237" s="47">
        <v>0</v>
      </c>
      <c r="AF237" s="47">
        <v>0</v>
      </c>
      <c r="AG237" s="47">
        <v>0</v>
      </c>
      <c r="AH237" s="47">
        <v>0</v>
      </c>
      <c r="AI237" s="47">
        <v>0</v>
      </c>
      <c r="AJ237" s="47">
        <v>0</v>
      </c>
      <c r="AK237" s="47">
        <v>0</v>
      </c>
      <c r="AL237" s="47">
        <v>0</v>
      </c>
      <c r="AM237" s="47">
        <v>0</v>
      </c>
      <c r="AN237" s="47">
        <v>0</v>
      </c>
      <c r="AO237" s="47">
        <v>0</v>
      </c>
      <c r="AP237" s="397"/>
      <c r="AQ237" s="96"/>
    </row>
    <row r="238" spans="1:43" s="327" customFormat="1" ht="29.25" customHeight="1" x14ac:dyDescent="0.25">
      <c r="A238" s="1317" t="s">
        <v>179</v>
      </c>
      <c r="B238" s="780" t="s">
        <v>413</v>
      </c>
      <c r="C238" s="133"/>
      <c r="D238" s="133"/>
      <c r="E238" s="133"/>
      <c r="F238" s="133"/>
      <c r="G238" s="778"/>
      <c r="H238" s="778"/>
      <c r="I238" s="1463" t="s">
        <v>181</v>
      </c>
      <c r="J238" s="1292"/>
      <c r="K238" s="3"/>
      <c r="L238" s="3">
        <f>L239</f>
        <v>1342.77</v>
      </c>
      <c r="M238" s="3">
        <f>M239</f>
        <v>1246.77</v>
      </c>
      <c r="N238" s="3">
        <f t="shared" ref="N238:AO238" si="133">N239</f>
        <v>0</v>
      </c>
      <c r="O238" s="3">
        <f t="shared" si="133"/>
        <v>0</v>
      </c>
      <c r="P238" s="3">
        <f t="shared" si="133"/>
        <v>4959</v>
      </c>
      <c r="Q238" s="3">
        <f t="shared" si="133"/>
        <v>0</v>
      </c>
      <c r="R238" s="3">
        <f t="shared" si="133"/>
        <v>0</v>
      </c>
      <c r="S238" s="3">
        <f t="shared" si="133"/>
        <v>0</v>
      </c>
      <c r="T238" s="3">
        <f t="shared" si="133"/>
        <v>0</v>
      </c>
      <c r="U238" s="3">
        <f t="shared" si="133"/>
        <v>0</v>
      </c>
      <c r="V238" s="3">
        <f t="shared" si="133"/>
        <v>0</v>
      </c>
      <c r="W238" s="3">
        <f t="shared" si="133"/>
        <v>0</v>
      </c>
      <c r="X238" s="3">
        <f t="shared" si="133"/>
        <v>0</v>
      </c>
      <c r="Y238" s="3">
        <f t="shared" si="133"/>
        <v>0</v>
      </c>
      <c r="Z238" s="95">
        <v>0</v>
      </c>
      <c r="AA238" s="3">
        <f t="shared" si="133"/>
        <v>0</v>
      </c>
      <c r="AB238" s="3">
        <f t="shared" si="133"/>
        <v>0</v>
      </c>
      <c r="AC238" s="3">
        <f t="shared" si="133"/>
        <v>0</v>
      </c>
      <c r="AD238" s="3">
        <f t="shared" si="133"/>
        <v>0</v>
      </c>
      <c r="AE238" s="3">
        <f t="shared" si="133"/>
        <v>0</v>
      </c>
      <c r="AF238" s="3">
        <f t="shared" si="133"/>
        <v>0</v>
      </c>
      <c r="AG238" s="3">
        <f t="shared" si="133"/>
        <v>0</v>
      </c>
      <c r="AH238" s="3">
        <f t="shared" si="133"/>
        <v>0</v>
      </c>
      <c r="AI238" s="3">
        <f t="shared" si="133"/>
        <v>0</v>
      </c>
      <c r="AJ238" s="3">
        <f t="shared" si="133"/>
        <v>0</v>
      </c>
      <c r="AK238" s="3">
        <f t="shared" si="133"/>
        <v>0</v>
      </c>
      <c r="AL238" s="3">
        <f t="shared" si="133"/>
        <v>0</v>
      </c>
      <c r="AM238" s="3">
        <f t="shared" si="133"/>
        <v>0</v>
      </c>
      <c r="AN238" s="3">
        <f t="shared" si="133"/>
        <v>0</v>
      </c>
      <c r="AO238" s="3">
        <f t="shared" si="133"/>
        <v>0</v>
      </c>
      <c r="AP238" s="829" t="s">
        <v>207</v>
      </c>
      <c r="AQ238" s="95">
        <v>0</v>
      </c>
    </row>
    <row r="239" spans="1:43" ht="15.75" customHeight="1" x14ac:dyDescent="0.25">
      <c r="A239" s="1288"/>
      <c r="B239" s="42" t="s">
        <v>39</v>
      </c>
      <c r="C239" s="341"/>
      <c r="D239" s="341"/>
      <c r="E239" s="341"/>
      <c r="F239" s="341"/>
      <c r="G239" s="313"/>
      <c r="H239" s="1322"/>
      <c r="I239" s="1465"/>
      <c r="J239" s="1307"/>
      <c r="K239" s="4"/>
      <c r="L239" s="47">
        <v>1342.77</v>
      </c>
      <c r="M239" s="47">
        <v>1246.77</v>
      </c>
      <c r="N239" s="50">
        <v>0</v>
      </c>
      <c r="O239" s="50">
        <v>0</v>
      </c>
      <c r="P239" s="47">
        <v>4959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50">
        <v>0</v>
      </c>
      <c r="W239" s="50">
        <v>0</v>
      </c>
      <c r="X239" s="47">
        <v>0</v>
      </c>
      <c r="Y239" s="50">
        <v>0</v>
      </c>
      <c r="Z239" s="263"/>
      <c r="AA239" s="50">
        <v>0</v>
      </c>
      <c r="AB239" s="50">
        <v>0</v>
      </c>
      <c r="AC239" s="50">
        <v>0</v>
      </c>
      <c r="AD239" s="50">
        <v>0</v>
      </c>
      <c r="AE239" s="50">
        <v>0</v>
      </c>
      <c r="AF239" s="50">
        <v>0</v>
      </c>
      <c r="AG239" s="50">
        <v>0</v>
      </c>
      <c r="AH239" s="50">
        <v>0</v>
      </c>
      <c r="AI239" s="50">
        <v>0</v>
      </c>
      <c r="AJ239" s="50">
        <v>0</v>
      </c>
      <c r="AK239" s="50">
        <v>0</v>
      </c>
      <c r="AL239" s="50">
        <v>0</v>
      </c>
      <c r="AM239" s="50">
        <v>0</v>
      </c>
      <c r="AN239" s="50">
        <v>0</v>
      </c>
      <c r="AO239" s="50">
        <v>0</v>
      </c>
      <c r="AP239" s="412"/>
      <c r="AQ239" s="263"/>
    </row>
    <row r="240" spans="1:43" ht="15.75" x14ac:dyDescent="0.25">
      <c r="A240" s="1275"/>
      <c r="B240" s="42" t="s">
        <v>16</v>
      </c>
      <c r="C240" s="1302"/>
      <c r="D240" s="1302"/>
      <c r="E240" s="1302"/>
      <c r="F240" s="1302"/>
      <c r="G240" s="1302"/>
      <c r="H240" s="1303"/>
      <c r="I240" s="1289"/>
      <c r="J240" s="1306"/>
      <c r="K240" s="1306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96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"/>
      <c r="AN240" s="47"/>
      <c r="AO240" s="47"/>
      <c r="AP240" s="397"/>
      <c r="AQ240" s="96"/>
    </row>
    <row r="241" spans="1:43" s="327" customFormat="1" ht="30" customHeight="1" x14ac:dyDescent="0.25">
      <c r="A241" s="1344" t="s">
        <v>50</v>
      </c>
      <c r="B241" s="830" t="s">
        <v>183</v>
      </c>
      <c r="C241" s="1658"/>
      <c r="D241" s="1326"/>
      <c r="E241" s="1326"/>
      <c r="F241" s="1644">
        <v>150000</v>
      </c>
      <c r="G241" s="1326">
        <v>2019</v>
      </c>
      <c r="H241" s="1326">
        <v>2019</v>
      </c>
      <c r="I241" s="1326" t="s">
        <v>20</v>
      </c>
      <c r="J241" s="1653">
        <v>4914.5600000000004</v>
      </c>
      <c r="K241" s="3"/>
      <c r="L241" s="3">
        <f t="shared" ref="L241:P241" si="134">L244+L242</f>
        <v>6696.7899999999991</v>
      </c>
      <c r="M241" s="3">
        <f t="shared" si="134"/>
        <v>0</v>
      </c>
      <c r="N241" s="3">
        <f t="shared" si="134"/>
        <v>2081.9299999999998</v>
      </c>
      <c r="O241" s="3">
        <f t="shared" si="134"/>
        <v>4372.5</v>
      </c>
      <c r="P241" s="3">
        <f t="shared" si="134"/>
        <v>0</v>
      </c>
      <c r="Q241" s="3">
        <f>Q242+Q244</f>
        <v>470</v>
      </c>
      <c r="R241" s="3">
        <f t="shared" ref="R241:AA241" si="135">R242+R244</f>
        <v>0</v>
      </c>
      <c r="S241" s="3">
        <f t="shared" si="135"/>
        <v>0</v>
      </c>
      <c r="T241" s="3">
        <f t="shared" si="135"/>
        <v>0</v>
      </c>
      <c r="U241" s="3">
        <f t="shared" si="135"/>
        <v>0</v>
      </c>
      <c r="V241" s="3">
        <f t="shared" si="135"/>
        <v>0</v>
      </c>
      <c r="W241" s="3">
        <f t="shared" si="135"/>
        <v>0</v>
      </c>
      <c r="X241" s="3">
        <f t="shared" si="135"/>
        <v>0</v>
      </c>
      <c r="Y241" s="3">
        <f t="shared" si="135"/>
        <v>0</v>
      </c>
      <c r="Z241" s="3">
        <f t="shared" si="135"/>
        <v>0</v>
      </c>
      <c r="AA241" s="3">
        <f t="shared" si="135"/>
        <v>470</v>
      </c>
      <c r="AB241" s="3">
        <f t="shared" ref="AB241:AJ241" si="136">AB244+AB242</f>
        <v>0</v>
      </c>
      <c r="AC241" s="3">
        <f t="shared" si="136"/>
        <v>0</v>
      </c>
      <c r="AD241" s="3">
        <f t="shared" si="136"/>
        <v>0</v>
      </c>
      <c r="AE241" s="3">
        <f t="shared" si="136"/>
        <v>0</v>
      </c>
      <c r="AF241" s="3">
        <f t="shared" si="136"/>
        <v>0</v>
      </c>
      <c r="AG241" s="3">
        <f t="shared" si="136"/>
        <v>0</v>
      </c>
      <c r="AH241" s="3">
        <f t="shared" si="136"/>
        <v>0</v>
      </c>
      <c r="AI241" s="3">
        <f t="shared" si="136"/>
        <v>0</v>
      </c>
      <c r="AJ241" s="3">
        <f t="shared" si="136"/>
        <v>0</v>
      </c>
      <c r="AK241" s="3">
        <f>P241-Q241</f>
        <v>-470</v>
      </c>
      <c r="AL241" s="3">
        <f>AK241</f>
        <v>-470</v>
      </c>
      <c r="AM241" s="318" t="e">
        <f>ROUND((Q241*100%/P241*100),2)</f>
        <v>#DIV/0!</v>
      </c>
      <c r="AN241" s="3">
        <f>AN244</f>
        <v>0</v>
      </c>
      <c r="AO241" s="3">
        <f>AO244</f>
        <v>0</v>
      </c>
      <c r="AP241" s="633"/>
      <c r="AQ241" s="95">
        <v>45</v>
      </c>
    </row>
    <row r="242" spans="1:43" ht="19.5" customHeight="1" x14ac:dyDescent="0.25">
      <c r="A242" s="1345"/>
      <c r="B242" s="1" t="s">
        <v>15</v>
      </c>
      <c r="C242" s="1659"/>
      <c r="D242" s="1327"/>
      <c r="E242" s="1327"/>
      <c r="F242" s="1645"/>
      <c r="G242" s="1327"/>
      <c r="H242" s="1327"/>
      <c r="I242" s="1327"/>
      <c r="J242" s="1654"/>
      <c r="K242" s="47"/>
      <c r="L242" s="47">
        <f>SUM(M242:O242)</f>
        <v>2081.9299999999998</v>
      </c>
      <c r="M242" s="4">
        <v>0</v>
      </c>
      <c r="N242" s="4">
        <v>2081.9299999999998</v>
      </c>
      <c r="O242" s="4">
        <f t="shared" ref="O242:AO242" si="137">O243</f>
        <v>0</v>
      </c>
      <c r="P242" s="4">
        <f t="shared" si="137"/>
        <v>0</v>
      </c>
      <c r="Q242" s="4">
        <f t="shared" si="137"/>
        <v>470</v>
      </c>
      <c r="R242" s="4">
        <f t="shared" si="137"/>
        <v>0</v>
      </c>
      <c r="S242" s="4">
        <f t="shared" si="137"/>
        <v>0</v>
      </c>
      <c r="T242" s="4">
        <f t="shared" si="137"/>
        <v>0</v>
      </c>
      <c r="U242" s="4">
        <f t="shared" si="137"/>
        <v>0</v>
      </c>
      <c r="V242" s="4">
        <f t="shared" si="137"/>
        <v>0</v>
      </c>
      <c r="W242" s="4">
        <f t="shared" si="137"/>
        <v>0</v>
      </c>
      <c r="X242" s="4">
        <f t="shared" si="137"/>
        <v>0</v>
      </c>
      <c r="Y242" s="4">
        <f t="shared" si="137"/>
        <v>0</v>
      </c>
      <c r="Z242" s="268"/>
      <c r="AA242" s="4">
        <f t="shared" si="137"/>
        <v>470</v>
      </c>
      <c r="AB242" s="4">
        <f t="shared" si="137"/>
        <v>0</v>
      </c>
      <c r="AC242" s="4">
        <f t="shared" si="137"/>
        <v>0</v>
      </c>
      <c r="AD242" s="4">
        <f t="shared" si="137"/>
        <v>0</v>
      </c>
      <c r="AE242" s="4">
        <f t="shared" si="137"/>
        <v>0</v>
      </c>
      <c r="AF242" s="4">
        <f t="shared" si="137"/>
        <v>0</v>
      </c>
      <c r="AG242" s="4">
        <f t="shared" si="137"/>
        <v>0</v>
      </c>
      <c r="AH242" s="4">
        <v>0</v>
      </c>
      <c r="AI242" s="4">
        <v>0</v>
      </c>
      <c r="AJ242" s="4">
        <v>0</v>
      </c>
      <c r="AK242" s="4">
        <f t="shared" si="137"/>
        <v>0</v>
      </c>
      <c r="AL242" s="4">
        <f t="shared" si="137"/>
        <v>0</v>
      </c>
      <c r="AM242" s="4">
        <f t="shared" si="137"/>
        <v>0</v>
      </c>
      <c r="AN242" s="4">
        <f t="shared" si="137"/>
        <v>0</v>
      </c>
      <c r="AO242" s="4">
        <f t="shared" si="137"/>
        <v>0</v>
      </c>
      <c r="AP242" s="1282"/>
      <c r="AQ242" s="268"/>
    </row>
    <row r="243" spans="1:43" s="266" customFormat="1" hidden="1" x14ac:dyDescent="0.25">
      <c r="A243" s="1345"/>
      <c r="B243" s="92" t="s">
        <v>250</v>
      </c>
      <c r="C243" s="1659"/>
      <c r="D243" s="1327"/>
      <c r="E243" s="1327"/>
      <c r="F243" s="1645"/>
      <c r="G243" s="1327"/>
      <c r="H243" s="1327"/>
      <c r="I243" s="1327"/>
      <c r="J243" s="1654"/>
      <c r="K243" s="96"/>
      <c r="L243" s="96">
        <f>SUM(M243:O243)</f>
        <v>0</v>
      </c>
      <c r="M243" s="268">
        <v>0</v>
      </c>
      <c r="N243" s="263"/>
      <c r="O243" s="263"/>
      <c r="P243" s="263">
        <f>R243+T243</f>
        <v>0</v>
      </c>
      <c r="Q243" s="263">
        <f>75+395</f>
        <v>470</v>
      </c>
      <c r="R243" s="263">
        <f>S243</f>
        <v>0</v>
      </c>
      <c r="S243" s="263">
        <v>0</v>
      </c>
      <c r="T243" s="263">
        <v>0</v>
      </c>
      <c r="U243" s="263">
        <v>0</v>
      </c>
      <c r="V243" s="263">
        <v>0</v>
      </c>
      <c r="W243" s="263">
        <v>0</v>
      </c>
      <c r="X243" s="263">
        <v>0</v>
      </c>
      <c r="Y243" s="263">
        <v>0</v>
      </c>
      <c r="Z243" s="263"/>
      <c r="AA243" s="263">
        <f>75+395</f>
        <v>470</v>
      </c>
      <c r="AB243" s="263">
        <v>0</v>
      </c>
      <c r="AC243" s="263">
        <v>0</v>
      </c>
      <c r="AD243" s="263"/>
      <c r="AE243" s="263"/>
      <c r="AF243" s="263"/>
      <c r="AG243" s="263"/>
      <c r="AH243" s="263"/>
      <c r="AI243" s="263"/>
      <c r="AJ243" s="263"/>
      <c r="AK243" s="263"/>
      <c r="AL243" s="263"/>
      <c r="AM243" s="263"/>
      <c r="AN243" s="263"/>
      <c r="AO243" s="263"/>
      <c r="AP243" s="413"/>
      <c r="AQ243" s="263"/>
    </row>
    <row r="244" spans="1:43" ht="18" customHeight="1" x14ac:dyDescent="0.25">
      <c r="A244" s="1346"/>
      <c r="B244" s="575" t="s">
        <v>16</v>
      </c>
      <c r="C244" s="1356"/>
      <c r="D244" s="1356"/>
      <c r="E244" s="1327"/>
      <c r="F244" s="1357"/>
      <c r="G244" s="1327"/>
      <c r="H244" s="1327"/>
      <c r="I244" s="1327"/>
      <c r="J244" s="1655"/>
      <c r="K244" s="47">
        <v>0</v>
      </c>
      <c r="L244" s="47">
        <v>4614.8599999999997</v>
      </c>
      <c r="M244" s="4">
        <v>0</v>
      </c>
      <c r="N244" s="4">
        <v>0</v>
      </c>
      <c r="O244" s="4">
        <v>4372.5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268"/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1282"/>
      <c r="AQ244" s="268"/>
    </row>
    <row r="245" spans="1:43" s="327" customFormat="1" ht="21" customHeight="1" x14ac:dyDescent="0.25">
      <c r="A245" s="1276"/>
      <c r="B245" s="830" t="s">
        <v>414</v>
      </c>
      <c r="C245" s="654"/>
      <c r="D245" s="654"/>
      <c r="E245" s="341"/>
      <c r="F245" s="831"/>
      <c r="G245" s="341"/>
      <c r="H245" s="1323"/>
      <c r="I245" s="1273"/>
      <c r="J245" s="1321"/>
      <c r="K245" s="3"/>
      <c r="L245" s="3">
        <f t="shared" ref="L245:O245" si="138">L248+L246</f>
        <v>2081.9299999999998</v>
      </c>
      <c r="M245" s="3">
        <f t="shared" si="138"/>
        <v>0</v>
      </c>
      <c r="N245" s="3">
        <f t="shared" si="138"/>
        <v>2081.9299999999998</v>
      </c>
      <c r="O245" s="3">
        <f t="shared" si="138"/>
        <v>0</v>
      </c>
      <c r="P245" s="3">
        <f>SUM(P246:P247)</f>
        <v>2.7</v>
      </c>
      <c r="Q245" s="3">
        <f>SUM(Q246:Q247)</f>
        <v>0</v>
      </c>
      <c r="R245" s="3">
        <f t="shared" ref="R245:AA245" si="139">SUM(R246:R247)</f>
        <v>0</v>
      </c>
      <c r="S245" s="3">
        <f t="shared" si="139"/>
        <v>0</v>
      </c>
      <c r="T245" s="3">
        <f t="shared" si="139"/>
        <v>0</v>
      </c>
      <c r="U245" s="3">
        <f t="shared" si="139"/>
        <v>0</v>
      </c>
      <c r="V245" s="3">
        <f t="shared" si="139"/>
        <v>0</v>
      </c>
      <c r="W245" s="3">
        <f t="shared" si="139"/>
        <v>0</v>
      </c>
      <c r="X245" s="3">
        <f t="shared" si="139"/>
        <v>0</v>
      </c>
      <c r="Y245" s="3">
        <f t="shared" si="139"/>
        <v>0</v>
      </c>
      <c r="Z245" s="3">
        <f t="shared" si="139"/>
        <v>0</v>
      </c>
      <c r="AA245" s="3">
        <f t="shared" si="139"/>
        <v>0</v>
      </c>
      <c r="AB245" s="3">
        <f t="shared" ref="AB245:AJ245" si="140">AB248+AB246</f>
        <v>0</v>
      </c>
      <c r="AC245" s="3">
        <f t="shared" si="140"/>
        <v>0</v>
      </c>
      <c r="AD245" s="3">
        <f t="shared" si="140"/>
        <v>0</v>
      </c>
      <c r="AE245" s="3">
        <f t="shared" si="140"/>
        <v>0</v>
      </c>
      <c r="AF245" s="3">
        <f t="shared" si="140"/>
        <v>0</v>
      </c>
      <c r="AG245" s="3">
        <f t="shared" si="140"/>
        <v>0</v>
      </c>
      <c r="AH245" s="3">
        <f t="shared" si="140"/>
        <v>0</v>
      </c>
      <c r="AI245" s="3">
        <f t="shared" si="140"/>
        <v>0</v>
      </c>
      <c r="AJ245" s="3">
        <f t="shared" si="140"/>
        <v>0</v>
      </c>
      <c r="AK245" s="3">
        <f>P245-Q245</f>
        <v>2.7</v>
      </c>
      <c r="AL245" s="3">
        <f>AK245</f>
        <v>2.7</v>
      </c>
      <c r="AM245" s="318">
        <f>ROUND((Q245*100%/P245*100),2)</f>
        <v>0</v>
      </c>
      <c r="AN245" s="3">
        <f>AN248</f>
        <v>0</v>
      </c>
      <c r="AO245" s="3">
        <f>AO248</f>
        <v>0</v>
      </c>
      <c r="AP245" s="633"/>
      <c r="AQ245" s="95">
        <v>45</v>
      </c>
    </row>
    <row r="246" spans="1:43" ht="19.5" customHeight="1" x14ac:dyDescent="0.25">
      <c r="A246" s="1276"/>
      <c r="B246" s="1" t="s">
        <v>15</v>
      </c>
      <c r="C246" s="654"/>
      <c r="D246" s="654"/>
      <c r="E246" s="341"/>
      <c r="F246" s="831"/>
      <c r="G246" s="341"/>
      <c r="H246" s="1323"/>
      <c r="I246" s="1273"/>
      <c r="J246" s="1321"/>
      <c r="K246" s="47"/>
      <c r="L246" s="47">
        <f>SUM(M246:O246)</f>
        <v>2081.9299999999998</v>
      </c>
      <c r="M246" s="4">
        <v>0</v>
      </c>
      <c r="N246" s="4">
        <v>2081.9299999999998</v>
      </c>
      <c r="O246" s="4">
        <f t="shared" ref="O246:AO246" si="141">O247</f>
        <v>0</v>
      </c>
      <c r="P246" s="4">
        <v>2.7</v>
      </c>
      <c r="Q246" s="4">
        <v>0</v>
      </c>
      <c r="R246" s="4">
        <f t="shared" si="141"/>
        <v>0</v>
      </c>
      <c r="S246" s="4">
        <f t="shared" si="141"/>
        <v>0</v>
      </c>
      <c r="T246" s="4">
        <f t="shared" si="141"/>
        <v>0</v>
      </c>
      <c r="U246" s="4">
        <f t="shared" si="141"/>
        <v>0</v>
      </c>
      <c r="V246" s="4">
        <f t="shared" si="141"/>
        <v>0</v>
      </c>
      <c r="W246" s="4">
        <f t="shared" si="141"/>
        <v>0</v>
      </c>
      <c r="X246" s="4">
        <f t="shared" si="141"/>
        <v>0</v>
      </c>
      <c r="Y246" s="4">
        <f t="shared" si="141"/>
        <v>0</v>
      </c>
      <c r="Z246" s="268"/>
      <c r="AA246" s="4">
        <v>0</v>
      </c>
      <c r="AB246" s="4">
        <f t="shared" si="141"/>
        <v>0</v>
      </c>
      <c r="AC246" s="4">
        <f t="shared" si="141"/>
        <v>0</v>
      </c>
      <c r="AD246" s="4">
        <f t="shared" si="141"/>
        <v>0</v>
      </c>
      <c r="AE246" s="4">
        <f t="shared" si="141"/>
        <v>0</v>
      </c>
      <c r="AF246" s="4">
        <f t="shared" si="141"/>
        <v>0</v>
      </c>
      <c r="AG246" s="4">
        <f t="shared" si="141"/>
        <v>0</v>
      </c>
      <c r="AH246" s="4">
        <v>0</v>
      </c>
      <c r="AI246" s="4">
        <v>0</v>
      </c>
      <c r="AJ246" s="4">
        <v>0</v>
      </c>
      <c r="AK246" s="4">
        <f t="shared" si="141"/>
        <v>0</v>
      </c>
      <c r="AL246" s="4">
        <f t="shared" si="141"/>
        <v>0</v>
      </c>
      <c r="AM246" s="4">
        <f t="shared" si="141"/>
        <v>0</v>
      </c>
      <c r="AN246" s="4">
        <f t="shared" si="141"/>
        <v>0</v>
      </c>
      <c r="AO246" s="4">
        <f t="shared" si="141"/>
        <v>0</v>
      </c>
      <c r="AP246" s="1282"/>
      <c r="AQ246" s="268"/>
    </row>
    <row r="247" spans="1:43" ht="18" customHeight="1" x14ac:dyDescent="0.25">
      <c r="A247" s="1276"/>
      <c r="B247" s="575" t="s">
        <v>16</v>
      </c>
      <c r="C247" s="654"/>
      <c r="D247" s="654"/>
      <c r="E247" s="341"/>
      <c r="F247" s="831"/>
      <c r="G247" s="341"/>
      <c r="H247" s="1323"/>
      <c r="I247" s="1273"/>
      <c r="J247" s="1321"/>
      <c r="K247" s="4"/>
      <c r="L247" s="47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268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1282"/>
      <c r="AQ247" s="268"/>
    </row>
    <row r="248" spans="1:43" ht="54" hidden="1" customHeight="1" x14ac:dyDescent="0.25">
      <c r="A248" s="1332" t="s">
        <v>139</v>
      </c>
      <c r="B248" s="1613" t="s">
        <v>209</v>
      </c>
      <c r="C248" s="1614"/>
      <c r="D248" s="1614"/>
      <c r="E248" s="1614"/>
      <c r="F248" s="1614"/>
      <c r="G248" s="1614"/>
      <c r="H248" s="1615"/>
      <c r="I248" s="23" t="s">
        <v>19</v>
      </c>
      <c r="J248" s="1306">
        <v>0</v>
      </c>
      <c r="K248" s="1306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0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ht="39.75" hidden="1" customHeight="1" x14ac:dyDescent="0.25">
      <c r="A249" s="1333"/>
      <c r="B249" s="1616"/>
      <c r="C249" s="1617"/>
      <c r="D249" s="1617"/>
      <c r="E249" s="1617"/>
      <c r="F249" s="1617"/>
      <c r="G249" s="1617"/>
      <c r="H249" s="1618"/>
      <c r="I249" s="23" t="s">
        <v>20</v>
      </c>
      <c r="J249" s="1306" t="e">
        <f>K249+L249</f>
        <v>#REF!</v>
      </c>
      <c r="K249" s="1306" t="e">
        <f>#REF!+K292+K304+K305</f>
        <v>#REF!</v>
      </c>
      <c r="L249" s="47">
        <f t="shared" ref="L249:AM249" si="142">L252+L255++L260+L264+L270+L272+L276+L281+L288+L292</f>
        <v>333768.50999999995</v>
      </c>
      <c r="M249" s="47">
        <f t="shared" si="142"/>
        <v>31936.59</v>
      </c>
      <c r="N249" s="47">
        <f t="shared" si="142"/>
        <v>80827.610000000015</v>
      </c>
      <c r="O249" s="47">
        <f t="shared" si="142"/>
        <v>46251.09</v>
      </c>
      <c r="P249" s="47">
        <f t="shared" si="142"/>
        <v>53453.89</v>
      </c>
      <c r="Q249" s="47">
        <f t="shared" si="142"/>
        <v>2121.3799199999999</v>
      </c>
      <c r="R249" s="47">
        <f t="shared" si="142"/>
        <v>784.17799999999988</v>
      </c>
      <c r="S249" s="47">
        <f t="shared" si="142"/>
        <v>784.17799999999988</v>
      </c>
      <c r="T249" s="47">
        <f t="shared" si="142"/>
        <v>3249.636</v>
      </c>
      <c r="U249" s="47">
        <f t="shared" si="142"/>
        <v>3253.0360000000001</v>
      </c>
      <c r="V249" s="47">
        <f t="shared" si="142"/>
        <v>157.59</v>
      </c>
      <c r="W249" s="47">
        <f t="shared" si="142"/>
        <v>1096.5039999999999</v>
      </c>
      <c r="X249" s="47">
        <f t="shared" si="142"/>
        <v>0</v>
      </c>
      <c r="Y249" s="47">
        <f t="shared" si="142"/>
        <v>0</v>
      </c>
      <c r="Z249" s="96"/>
      <c r="AA249" s="47">
        <f t="shared" si="142"/>
        <v>2003.1920299999999</v>
      </c>
      <c r="AB249" s="47">
        <f t="shared" si="142"/>
        <v>0</v>
      </c>
      <c r="AC249" s="47">
        <f t="shared" si="142"/>
        <v>2488.15</v>
      </c>
      <c r="AD249" s="47">
        <f t="shared" si="142"/>
        <v>64858.980889999999</v>
      </c>
      <c r="AE249" s="47">
        <f t="shared" si="142"/>
        <v>0</v>
      </c>
      <c r="AF249" s="47">
        <f t="shared" si="142"/>
        <v>0</v>
      </c>
      <c r="AG249" s="47">
        <f t="shared" si="142"/>
        <v>0</v>
      </c>
      <c r="AH249" s="47">
        <f t="shared" si="142"/>
        <v>0</v>
      </c>
      <c r="AI249" s="47">
        <f t="shared" si="142"/>
        <v>0</v>
      </c>
      <c r="AJ249" s="47">
        <f t="shared" si="142"/>
        <v>0</v>
      </c>
      <c r="AK249" s="47">
        <f t="shared" si="142"/>
        <v>43957.011939999997</v>
      </c>
      <c r="AL249" s="47">
        <f t="shared" si="142"/>
        <v>43957.011939999997</v>
      </c>
      <c r="AM249" s="47">
        <f t="shared" si="142"/>
        <v>0</v>
      </c>
      <c r="AN249" s="47">
        <f>AN252+AN255++AN260+AN263+AN270+AN272+AN276+AN281+AN288+AN291</f>
        <v>0</v>
      </c>
      <c r="AO249" s="47">
        <f>AO252+AO255++AO260+AO263+AO270+AO272+AO276+AO281+AO288+AO291</f>
        <v>0</v>
      </c>
      <c r="AP249" s="397"/>
      <c r="AQ249" s="96"/>
    </row>
    <row r="250" spans="1:43" ht="26.25" hidden="1" customHeight="1" x14ac:dyDescent="0.25">
      <c r="A250" s="1333"/>
      <c r="B250" s="1616"/>
      <c r="C250" s="1617"/>
      <c r="D250" s="1617"/>
      <c r="E250" s="1617"/>
      <c r="F250" s="1617"/>
      <c r="G250" s="1617"/>
      <c r="H250" s="1618"/>
      <c r="I250" s="23" t="s">
        <v>10</v>
      </c>
      <c r="J250" s="1306">
        <v>0</v>
      </c>
      <c r="K250" s="1306">
        <v>0</v>
      </c>
      <c r="L250" s="47">
        <f t="shared" ref="L250:AM250" si="143">L267+L268+L296</f>
        <v>297742.64</v>
      </c>
      <c r="M250" s="47">
        <f t="shared" si="143"/>
        <v>295242.64</v>
      </c>
      <c r="N250" s="47">
        <f t="shared" si="143"/>
        <v>297742.64</v>
      </c>
      <c r="O250" s="47">
        <f t="shared" si="143"/>
        <v>297742.64</v>
      </c>
      <c r="P250" s="47">
        <f t="shared" si="143"/>
        <v>0</v>
      </c>
      <c r="Q250" s="47">
        <f t="shared" si="143"/>
        <v>99408.513550000003</v>
      </c>
      <c r="R250" s="47">
        <f t="shared" si="143"/>
        <v>21705.95</v>
      </c>
      <c r="S250" s="47">
        <f t="shared" si="143"/>
        <v>21705.95</v>
      </c>
      <c r="T250" s="47">
        <f t="shared" si="143"/>
        <v>21705.95</v>
      </c>
      <c r="U250" s="47">
        <f t="shared" si="143"/>
        <v>21705.95</v>
      </c>
      <c r="V250" s="47">
        <f t="shared" si="143"/>
        <v>50383.255000000005</v>
      </c>
      <c r="W250" s="47">
        <f t="shared" si="143"/>
        <v>50383.255000000005</v>
      </c>
      <c r="X250" s="47">
        <f t="shared" si="143"/>
        <v>21705.95</v>
      </c>
      <c r="Y250" s="47">
        <f t="shared" si="143"/>
        <v>21705.95</v>
      </c>
      <c r="Z250" s="96"/>
      <c r="AA250" s="47">
        <f t="shared" si="143"/>
        <v>114181.19725</v>
      </c>
      <c r="AB250" s="47">
        <f t="shared" si="143"/>
        <v>17522.268</v>
      </c>
      <c r="AC250" s="47">
        <f t="shared" si="143"/>
        <v>32099.796000000002</v>
      </c>
      <c r="AD250" s="47">
        <f t="shared" si="143"/>
        <v>83597.849889999998</v>
      </c>
      <c r="AE250" s="47">
        <f t="shared" si="143"/>
        <v>0</v>
      </c>
      <c r="AF250" s="47">
        <f t="shared" si="143"/>
        <v>0</v>
      </c>
      <c r="AG250" s="47">
        <f t="shared" si="143"/>
        <v>0</v>
      </c>
      <c r="AH250" s="47">
        <f t="shared" si="143"/>
        <v>0</v>
      </c>
      <c r="AI250" s="47">
        <f t="shared" si="143"/>
        <v>0</v>
      </c>
      <c r="AJ250" s="47">
        <f t="shared" si="143"/>
        <v>0</v>
      </c>
      <c r="AK250" s="47">
        <f t="shared" si="143"/>
        <v>0</v>
      </c>
      <c r="AL250" s="47">
        <f t="shared" si="143"/>
        <v>0</v>
      </c>
      <c r="AM250" s="47">
        <f t="shared" si="143"/>
        <v>0</v>
      </c>
      <c r="AN250" s="47">
        <v>0</v>
      </c>
      <c r="AO250" s="47">
        <v>0</v>
      </c>
      <c r="AP250" s="397"/>
      <c r="AQ250" s="96"/>
    </row>
    <row r="251" spans="1:43" ht="25.5" hidden="1" x14ac:dyDescent="0.25">
      <c r="A251" s="1334"/>
      <c r="B251" s="1619"/>
      <c r="C251" s="1620"/>
      <c r="D251" s="1620"/>
      <c r="E251" s="1620"/>
      <c r="F251" s="1620"/>
      <c r="G251" s="1620"/>
      <c r="H251" s="1621"/>
      <c r="I251" s="23" t="s">
        <v>9</v>
      </c>
      <c r="J251" s="1306">
        <v>0</v>
      </c>
      <c r="K251" s="1306">
        <v>0</v>
      </c>
      <c r="L251" s="47">
        <f>M251+N251+O251</f>
        <v>0</v>
      </c>
      <c r="M251" s="47">
        <v>0</v>
      </c>
      <c r="N251" s="47">
        <v>0</v>
      </c>
      <c r="O251" s="47">
        <v>0</v>
      </c>
      <c r="P251" s="47">
        <v>0</v>
      </c>
      <c r="Q251" s="47">
        <v>0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47">
        <v>0</v>
      </c>
      <c r="X251" s="47">
        <v>0</v>
      </c>
      <c r="Y251" s="47">
        <v>0</v>
      </c>
      <c r="Z251" s="96"/>
      <c r="AA251" s="47">
        <v>0</v>
      </c>
      <c r="AB251" s="47">
        <v>0</v>
      </c>
      <c r="AC251" s="47">
        <v>0</v>
      </c>
      <c r="AD251" s="47">
        <v>0</v>
      </c>
      <c r="AE251" s="47">
        <v>0</v>
      </c>
      <c r="AF251" s="47">
        <v>0</v>
      </c>
      <c r="AG251" s="47">
        <v>0</v>
      </c>
      <c r="AH251" s="47">
        <v>0</v>
      </c>
      <c r="AI251" s="47">
        <v>0</v>
      </c>
      <c r="AJ251" s="47">
        <v>1</v>
      </c>
      <c r="AK251" s="47">
        <v>0</v>
      </c>
      <c r="AL251" s="47">
        <v>0</v>
      </c>
      <c r="AM251" s="47">
        <v>0</v>
      </c>
      <c r="AN251" s="47">
        <v>0</v>
      </c>
      <c r="AO251" s="47">
        <v>0</v>
      </c>
      <c r="AP251" s="397"/>
      <c r="AQ251" s="96"/>
    </row>
    <row r="252" spans="1:43" s="327" customFormat="1" ht="27.75" customHeight="1" x14ac:dyDescent="0.25">
      <c r="A252" s="1450" t="s">
        <v>184</v>
      </c>
      <c r="B252" s="780" t="s">
        <v>89</v>
      </c>
      <c r="C252" s="133"/>
      <c r="D252" s="133"/>
      <c r="E252" s="133"/>
      <c r="F252" s="133"/>
      <c r="G252" s="778"/>
      <c r="H252" s="778"/>
      <c r="I252" s="1463" t="s">
        <v>20</v>
      </c>
      <c r="J252" s="1292"/>
      <c r="K252" s="3"/>
      <c r="L252" s="3">
        <f>L253</f>
        <v>5195.03</v>
      </c>
      <c r="M252" s="3">
        <f>M253</f>
        <v>0</v>
      </c>
      <c r="N252" s="3">
        <f t="shared" ref="N252:AO253" si="144">N253</f>
        <v>5037.4399999999996</v>
      </c>
      <c r="O252" s="3">
        <f t="shared" si="144"/>
        <v>0</v>
      </c>
      <c r="P252" s="3">
        <v>416.03</v>
      </c>
      <c r="Q252" s="3">
        <v>0</v>
      </c>
      <c r="R252" s="3">
        <f t="shared" si="144"/>
        <v>0</v>
      </c>
      <c r="S252" s="3">
        <f t="shared" si="144"/>
        <v>0</v>
      </c>
      <c r="T252" s="3">
        <f t="shared" si="144"/>
        <v>0</v>
      </c>
      <c r="U252" s="3">
        <f t="shared" si="144"/>
        <v>0</v>
      </c>
      <c r="V252" s="3">
        <f t="shared" si="144"/>
        <v>157.59</v>
      </c>
      <c r="W252" s="3">
        <f t="shared" si="144"/>
        <v>1096.5039999999999</v>
      </c>
      <c r="X252" s="3">
        <f t="shared" si="144"/>
        <v>0</v>
      </c>
      <c r="Y252" s="3">
        <f t="shared" si="144"/>
        <v>0</v>
      </c>
      <c r="Z252" s="3">
        <v>0</v>
      </c>
      <c r="AA252" s="3">
        <v>0</v>
      </c>
      <c r="AB252" s="3">
        <f t="shared" si="144"/>
        <v>0</v>
      </c>
      <c r="AC252" s="3">
        <f t="shared" si="144"/>
        <v>0</v>
      </c>
      <c r="AD252" s="3">
        <f t="shared" si="144"/>
        <v>1096.5039999999999</v>
      </c>
      <c r="AE252" s="3">
        <f t="shared" si="144"/>
        <v>0</v>
      </c>
      <c r="AF252" s="3">
        <f t="shared" si="144"/>
        <v>0</v>
      </c>
      <c r="AG252" s="3">
        <f t="shared" si="144"/>
        <v>0</v>
      </c>
      <c r="AH252" s="3">
        <f t="shared" si="144"/>
        <v>0</v>
      </c>
      <c r="AI252" s="3">
        <f t="shared" si="144"/>
        <v>0</v>
      </c>
      <c r="AJ252" s="3">
        <f t="shared" si="144"/>
        <v>0</v>
      </c>
      <c r="AK252" s="3">
        <f t="shared" si="144"/>
        <v>0</v>
      </c>
      <c r="AL252" s="3">
        <f t="shared" si="144"/>
        <v>0</v>
      </c>
      <c r="AM252" s="3">
        <f t="shared" si="144"/>
        <v>0</v>
      </c>
      <c r="AN252" s="3">
        <f t="shared" si="144"/>
        <v>0</v>
      </c>
      <c r="AO252" s="3">
        <f t="shared" si="144"/>
        <v>0</v>
      </c>
      <c r="AP252" s="633"/>
      <c r="AQ252" s="3">
        <v>0</v>
      </c>
    </row>
    <row r="253" spans="1:43" ht="15.75" hidden="1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1322"/>
      <c r="I253" s="1465"/>
      <c r="J253" s="1307"/>
      <c r="K253" s="4"/>
      <c r="L253" s="47">
        <v>5195.03</v>
      </c>
      <c r="M253" s="50">
        <v>0</v>
      </c>
      <c r="N253" s="50">
        <v>5037.4399999999996</v>
      </c>
      <c r="O253" s="50">
        <v>0</v>
      </c>
      <c r="P253" s="50">
        <v>157.59</v>
      </c>
      <c r="Q253" s="447">
        <f>Q254</f>
        <v>1096.5039999999999</v>
      </c>
      <c r="R253" s="447">
        <f t="shared" si="144"/>
        <v>0</v>
      </c>
      <c r="S253" s="447">
        <f t="shared" si="144"/>
        <v>0</v>
      </c>
      <c r="T253" s="447">
        <f t="shared" si="144"/>
        <v>0</v>
      </c>
      <c r="U253" s="447">
        <f t="shared" si="144"/>
        <v>0</v>
      </c>
      <c r="V253" s="447">
        <f t="shared" si="144"/>
        <v>157.59</v>
      </c>
      <c r="W253" s="447">
        <f t="shared" si="144"/>
        <v>1096.5039999999999</v>
      </c>
      <c r="X253" s="447">
        <f t="shared" si="144"/>
        <v>0</v>
      </c>
      <c r="Y253" s="447">
        <f t="shared" si="144"/>
        <v>0</v>
      </c>
      <c r="Z253" s="584"/>
      <c r="AA253" s="447">
        <f t="shared" si="144"/>
        <v>1096.5039999999999</v>
      </c>
      <c r="AB253" s="447">
        <f t="shared" si="144"/>
        <v>0</v>
      </c>
      <c r="AC253" s="447">
        <f t="shared" si="144"/>
        <v>0</v>
      </c>
      <c r="AD253" s="447">
        <f t="shared" si="144"/>
        <v>1096.5039999999999</v>
      </c>
      <c r="AE253" s="447">
        <f t="shared" si="144"/>
        <v>0</v>
      </c>
      <c r="AF253" s="447">
        <f t="shared" si="144"/>
        <v>0</v>
      </c>
      <c r="AG253" s="447">
        <f t="shared" si="144"/>
        <v>0</v>
      </c>
      <c r="AH253" s="447">
        <f t="shared" si="144"/>
        <v>0</v>
      </c>
      <c r="AI253" s="447">
        <f t="shared" si="144"/>
        <v>0</v>
      </c>
      <c r="AJ253" s="447">
        <v>0</v>
      </c>
      <c r="AK253" s="447">
        <v>0</v>
      </c>
      <c r="AL253" s="447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7"/>
      <c r="B254" s="96" t="s">
        <v>323</v>
      </c>
      <c r="C254" s="453"/>
      <c r="D254" s="453"/>
      <c r="E254" s="453"/>
      <c r="F254" s="453"/>
      <c r="G254" s="363"/>
      <c r="H254" s="364"/>
      <c r="I254" s="370"/>
      <c r="J254" s="651"/>
      <c r="K254" s="268"/>
      <c r="L254" s="96"/>
      <c r="M254" s="263"/>
      <c r="N254" s="263"/>
      <c r="O254" s="263"/>
      <c r="P254" s="263"/>
      <c r="Q254" s="584">
        <f>W254</f>
        <v>1096.5039999999999</v>
      </c>
      <c r="R254" s="584"/>
      <c r="S254" s="584"/>
      <c r="T254" s="584"/>
      <c r="U254" s="584"/>
      <c r="V254" s="584">
        <v>157.59</v>
      </c>
      <c r="W254" s="584">
        <v>1096.5039999999999</v>
      </c>
      <c r="X254" s="584"/>
      <c r="Y254" s="584"/>
      <c r="Z254" s="584"/>
      <c r="AA254" s="584">
        <f>AD254</f>
        <v>1096.5039999999999</v>
      </c>
      <c r="AB254" s="584"/>
      <c r="AC254" s="584"/>
      <c r="AD254" s="584">
        <v>1096.5039999999999</v>
      </c>
      <c r="AE254" s="584"/>
      <c r="AF254" s="584"/>
      <c r="AG254" s="584"/>
      <c r="AH254" s="584"/>
      <c r="AI254" s="584"/>
      <c r="AJ254" s="584"/>
      <c r="AK254" s="584"/>
      <c r="AL254" s="584"/>
      <c r="AM254" s="263"/>
      <c r="AN254" s="263"/>
      <c r="AO254" s="263"/>
      <c r="AP254" s="413"/>
      <c r="AQ254" s="584"/>
    </row>
    <row r="255" spans="1:43" s="327" customFormat="1" ht="28.5" customHeight="1" x14ac:dyDescent="0.25">
      <c r="A255" s="1450" t="s">
        <v>185</v>
      </c>
      <c r="B255" s="780" t="s">
        <v>187</v>
      </c>
      <c r="C255" s="133"/>
      <c r="D255" s="133"/>
      <c r="E255" s="133"/>
      <c r="F255" s="133"/>
      <c r="G255" s="778"/>
      <c r="H255" s="778"/>
      <c r="I255" s="1463" t="s">
        <v>20</v>
      </c>
      <c r="J255" s="1292"/>
      <c r="K255" s="3"/>
      <c r="L255" s="3">
        <f>L256+L259</f>
        <v>134036.41</v>
      </c>
      <c r="M255" s="3">
        <f t="shared" ref="M255:AO255" si="145">M256+M259</f>
        <v>1825.11</v>
      </c>
      <c r="N255" s="3">
        <f t="shared" si="145"/>
        <v>57476.200000000004</v>
      </c>
      <c r="O255" s="3">
        <f t="shared" si="145"/>
        <v>0</v>
      </c>
      <c r="P255" s="3">
        <f t="shared" si="145"/>
        <v>8907.52</v>
      </c>
      <c r="Q255" s="3">
        <f t="shared" si="145"/>
        <v>0</v>
      </c>
      <c r="R255" s="3">
        <f t="shared" si="145"/>
        <v>0</v>
      </c>
      <c r="S255" s="3">
        <f t="shared" si="145"/>
        <v>0</v>
      </c>
      <c r="T255" s="3">
        <f t="shared" si="145"/>
        <v>0</v>
      </c>
      <c r="U255" s="3">
        <f t="shared" si="145"/>
        <v>0</v>
      </c>
      <c r="V255" s="3">
        <f t="shared" si="145"/>
        <v>0</v>
      </c>
      <c r="W255" s="3">
        <f t="shared" si="145"/>
        <v>0</v>
      </c>
      <c r="X255" s="3">
        <f t="shared" si="145"/>
        <v>0</v>
      </c>
      <c r="Y255" s="3">
        <f t="shared" si="145"/>
        <v>0</v>
      </c>
      <c r="Z255" s="95">
        <v>0</v>
      </c>
      <c r="AA255" s="3">
        <f>AA256+AA259</f>
        <v>0</v>
      </c>
      <c r="AB255" s="3">
        <f t="shared" si="145"/>
        <v>0</v>
      </c>
      <c r="AC255" s="3">
        <f t="shared" si="145"/>
        <v>0</v>
      </c>
      <c r="AD255" s="3">
        <f t="shared" si="145"/>
        <v>0</v>
      </c>
      <c r="AE255" s="3">
        <f t="shared" si="145"/>
        <v>0</v>
      </c>
      <c r="AF255" s="3">
        <f t="shared" si="145"/>
        <v>0</v>
      </c>
      <c r="AG255" s="3">
        <f t="shared" si="145"/>
        <v>0</v>
      </c>
      <c r="AH255" s="3">
        <f t="shared" si="145"/>
        <v>0</v>
      </c>
      <c r="AI255" s="3">
        <f t="shared" si="145"/>
        <v>0</v>
      </c>
      <c r="AJ255" s="3">
        <f t="shared" si="145"/>
        <v>0</v>
      </c>
      <c r="AK255" s="3">
        <f t="shared" si="145"/>
        <v>0</v>
      </c>
      <c r="AL255" s="3">
        <f t="shared" si="145"/>
        <v>0</v>
      </c>
      <c r="AM255" s="3">
        <f t="shared" si="145"/>
        <v>0</v>
      </c>
      <c r="AN255" s="3">
        <f t="shared" si="145"/>
        <v>0</v>
      </c>
      <c r="AO255" s="3">
        <f t="shared" si="145"/>
        <v>0</v>
      </c>
      <c r="AP255" s="633" t="s">
        <v>256</v>
      </c>
      <c r="AQ255" s="95">
        <v>0</v>
      </c>
    </row>
    <row r="256" spans="1:43" ht="15.75" customHeight="1" x14ac:dyDescent="0.25">
      <c r="A256" s="1656"/>
      <c r="B256" s="47" t="s">
        <v>15</v>
      </c>
      <c r="C256" s="341"/>
      <c r="D256" s="341"/>
      <c r="E256" s="341"/>
      <c r="F256" s="341"/>
      <c r="G256" s="313"/>
      <c r="H256" s="1322"/>
      <c r="I256" s="1464"/>
      <c r="J256" s="1307"/>
      <c r="K256" s="4"/>
      <c r="L256" s="47">
        <v>2401.5100000000002</v>
      </c>
      <c r="M256" s="47">
        <v>1825.11</v>
      </c>
      <c r="N256" s="47">
        <v>576.4</v>
      </c>
      <c r="O256" s="47">
        <v>0</v>
      </c>
      <c r="P256" s="47">
        <v>0</v>
      </c>
      <c r="Q256" s="47">
        <f>SUM(Q257:Q258)</f>
        <v>0</v>
      </c>
      <c r="R256" s="50">
        <f>SUM(R257:R258)</f>
        <v>0</v>
      </c>
      <c r="S256" s="50">
        <f t="shared" ref="S256:Y256" si="146">SUM(S257:S258)</f>
        <v>0</v>
      </c>
      <c r="T256" s="50">
        <f t="shared" si="146"/>
        <v>0</v>
      </c>
      <c r="U256" s="50">
        <f t="shared" si="146"/>
        <v>0</v>
      </c>
      <c r="V256" s="50">
        <f t="shared" si="146"/>
        <v>0</v>
      </c>
      <c r="W256" s="50">
        <f t="shared" si="146"/>
        <v>0</v>
      </c>
      <c r="X256" s="447">
        <f t="shared" si="146"/>
        <v>0</v>
      </c>
      <c r="Y256" s="447">
        <f t="shared" si="146"/>
        <v>0</v>
      </c>
      <c r="Z256" s="584"/>
      <c r="AA256" s="447">
        <f>AA257+AA258</f>
        <v>0</v>
      </c>
      <c r="AB256" s="50">
        <f>AB257+AB258</f>
        <v>0</v>
      </c>
      <c r="AC256" s="50">
        <f>AC257+AC258</f>
        <v>0</v>
      </c>
      <c r="AD256" s="50">
        <f>AD257+AD258</f>
        <v>0</v>
      </c>
      <c r="AE256" s="50">
        <f>AE257</f>
        <v>0</v>
      </c>
      <c r="AF256" s="50">
        <v>0</v>
      </c>
      <c r="AG256" s="50">
        <v>0</v>
      </c>
      <c r="AH256" s="50">
        <v>0</v>
      </c>
      <c r="AI256" s="50">
        <v>0</v>
      </c>
      <c r="AJ256" s="50">
        <v>0</v>
      </c>
      <c r="AK256" s="50">
        <v>0</v>
      </c>
      <c r="AL256" s="50">
        <v>0</v>
      </c>
      <c r="AM256" s="50">
        <v>0</v>
      </c>
      <c r="AN256" s="50">
        <v>0</v>
      </c>
      <c r="AO256" s="50">
        <v>0</v>
      </c>
      <c r="AP256" s="412"/>
      <c r="AQ256" s="584"/>
    </row>
    <row r="257" spans="1:43" s="266" customFormat="1" ht="15.75" hidden="1" customHeight="1" x14ac:dyDescent="0.25">
      <c r="A257" s="1656"/>
      <c r="B257" s="452" t="s">
        <v>267</v>
      </c>
      <c r="C257" s="453"/>
      <c r="D257" s="453"/>
      <c r="E257" s="453"/>
      <c r="F257" s="453"/>
      <c r="G257" s="453"/>
      <c r="H257" s="454"/>
      <c r="I257" s="1464"/>
      <c r="J257" s="651"/>
      <c r="K257" s="268"/>
      <c r="L257" s="96"/>
      <c r="M257" s="268"/>
      <c r="N257" s="268"/>
      <c r="O257" s="268"/>
      <c r="P257" s="268">
        <f>Q257</f>
        <v>0</v>
      </c>
      <c r="Q257" s="455">
        <f>S257+U257+W257</f>
        <v>0</v>
      </c>
      <c r="R257" s="455"/>
      <c r="S257" s="455"/>
      <c r="T257" s="455">
        <v>0</v>
      </c>
      <c r="U257" s="455">
        <v>0</v>
      </c>
      <c r="V257" s="455"/>
      <c r="W257" s="455"/>
      <c r="X257" s="455"/>
      <c r="Y257" s="455"/>
      <c r="Z257" s="455"/>
      <c r="AA257" s="455">
        <f>SUM(AB257:AE257)</f>
        <v>0</v>
      </c>
      <c r="AB257" s="455"/>
      <c r="AC257" s="455">
        <v>0</v>
      </c>
      <c r="AD257" s="455">
        <v>0</v>
      </c>
      <c r="AE257" s="455"/>
      <c r="AF257" s="455"/>
      <c r="AG257" s="455"/>
      <c r="AH257" s="455"/>
      <c r="AI257" s="455"/>
      <c r="AJ257" s="455"/>
      <c r="AK257" s="455"/>
      <c r="AL257" s="455"/>
      <c r="AM257" s="455"/>
      <c r="AN257" s="455"/>
      <c r="AO257" s="455"/>
      <c r="AP257" s="456"/>
      <c r="AQ257" s="455"/>
    </row>
    <row r="258" spans="1:43" s="266" customFormat="1" ht="15.75" hidden="1" customHeight="1" x14ac:dyDescent="0.25">
      <c r="A258" s="1656"/>
      <c r="B258" s="452" t="s">
        <v>271</v>
      </c>
      <c r="C258" s="453"/>
      <c r="D258" s="453"/>
      <c r="E258" s="453"/>
      <c r="F258" s="453"/>
      <c r="G258" s="453"/>
      <c r="H258" s="454"/>
      <c r="I258" s="1464"/>
      <c r="J258" s="651"/>
      <c r="K258" s="268"/>
      <c r="L258" s="96"/>
      <c r="M258" s="268"/>
      <c r="N258" s="268"/>
      <c r="O258" s="268"/>
      <c r="P258" s="268"/>
      <c r="Q258" s="489">
        <f>S258+U258+W258+Y258</f>
        <v>0</v>
      </c>
      <c r="R258" s="489"/>
      <c r="S258" s="489"/>
      <c r="T258" s="489"/>
      <c r="U258" s="489"/>
      <c r="V258" s="489">
        <f>W258</f>
        <v>0</v>
      </c>
      <c r="W258" s="489">
        <v>0</v>
      </c>
      <c r="X258" s="489">
        <f>Y258</f>
        <v>0</v>
      </c>
      <c r="Y258" s="489">
        <v>0</v>
      </c>
      <c r="Z258" s="489"/>
      <c r="AA258" s="489">
        <f>SUM(AB258:AE258)</f>
        <v>0</v>
      </c>
      <c r="AB258" s="489"/>
      <c r="AC258" s="489"/>
      <c r="AD258" s="489">
        <v>0</v>
      </c>
      <c r="AE258" s="455"/>
      <c r="AF258" s="455"/>
      <c r="AG258" s="455"/>
      <c r="AH258" s="455"/>
      <c r="AI258" s="455"/>
      <c r="AJ258" s="455"/>
      <c r="AK258" s="455"/>
      <c r="AL258" s="455"/>
      <c r="AM258" s="455"/>
      <c r="AN258" s="455"/>
      <c r="AO258" s="455"/>
      <c r="AP258" s="456"/>
      <c r="AQ258" s="489"/>
    </row>
    <row r="259" spans="1:43" ht="15.75" customHeight="1" x14ac:dyDescent="0.25">
      <c r="A259" s="1657"/>
      <c r="B259" s="340" t="s">
        <v>32</v>
      </c>
      <c r="C259" s="341"/>
      <c r="D259" s="341"/>
      <c r="E259" s="341"/>
      <c r="F259" s="341"/>
      <c r="G259" s="341"/>
      <c r="H259" s="1323"/>
      <c r="I259" s="1662"/>
      <c r="J259" s="1307"/>
      <c r="K259" s="4"/>
      <c r="L259" s="47">
        <v>131634.9</v>
      </c>
      <c r="M259" s="343">
        <v>0</v>
      </c>
      <c r="N259" s="47">
        <v>56899.8</v>
      </c>
      <c r="O259" s="343">
        <v>0</v>
      </c>
      <c r="P259" s="47">
        <v>8907.52</v>
      </c>
      <c r="Q259" s="47">
        <v>0</v>
      </c>
      <c r="R259" s="343">
        <v>0</v>
      </c>
      <c r="S259" s="343">
        <v>0</v>
      </c>
      <c r="T259" s="343">
        <v>0</v>
      </c>
      <c r="U259" s="343">
        <v>0</v>
      </c>
      <c r="V259" s="343">
        <v>0</v>
      </c>
      <c r="W259" s="343">
        <v>0</v>
      </c>
      <c r="X259" s="343">
        <v>0</v>
      </c>
      <c r="Y259" s="343">
        <v>0</v>
      </c>
      <c r="Z259" s="455"/>
      <c r="AA259" s="343">
        <v>0</v>
      </c>
      <c r="AB259" s="343">
        <v>0</v>
      </c>
      <c r="AC259" s="343">
        <v>0</v>
      </c>
      <c r="AD259" s="343">
        <v>0</v>
      </c>
      <c r="AE259" s="343">
        <v>0</v>
      </c>
      <c r="AF259" s="343">
        <v>0</v>
      </c>
      <c r="AG259" s="343">
        <v>0</v>
      </c>
      <c r="AH259" s="343">
        <v>0</v>
      </c>
      <c r="AI259" s="343">
        <v>0</v>
      </c>
      <c r="AJ259" s="343">
        <v>0</v>
      </c>
      <c r="AK259" s="343">
        <v>0</v>
      </c>
      <c r="AL259" s="343">
        <v>0</v>
      </c>
      <c r="AM259" s="343">
        <v>0</v>
      </c>
      <c r="AN259" s="343">
        <v>0</v>
      </c>
      <c r="AO259" s="343">
        <v>0</v>
      </c>
      <c r="AP259" s="415"/>
      <c r="AQ259" s="455"/>
    </row>
    <row r="260" spans="1:43" s="327" customFormat="1" ht="27.75" customHeight="1" x14ac:dyDescent="0.25">
      <c r="A260" s="1473" t="s">
        <v>186</v>
      </c>
      <c r="B260" s="780" t="s">
        <v>210</v>
      </c>
      <c r="C260" s="1296"/>
      <c r="D260" s="1296"/>
      <c r="E260" s="1296">
        <v>300</v>
      </c>
      <c r="F260" s="1296"/>
      <c r="G260" s="1296">
        <v>2019</v>
      </c>
      <c r="H260" s="1296">
        <v>2019</v>
      </c>
      <c r="I260" s="1493" t="s">
        <v>20</v>
      </c>
      <c r="J260" s="52">
        <f>K260+L260</f>
        <v>27019.38</v>
      </c>
      <c r="K260" s="3">
        <v>0</v>
      </c>
      <c r="L260" s="3">
        <f>L261</f>
        <v>27019.38</v>
      </c>
      <c r="M260" s="3">
        <f>M261</f>
        <v>27019.38</v>
      </c>
      <c r="N260" s="318">
        <v>0</v>
      </c>
      <c r="O260" s="318">
        <v>0</v>
      </c>
      <c r="P260" s="318">
        <f>P261</f>
        <v>0</v>
      </c>
      <c r="Q260" s="318">
        <f>Q261</f>
        <v>0</v>
      </c>
      <c r="R260" s="318">
        <f t="shared" ref="R260:AO261" si="147">R261</f>
        <v>0</v>
      </c>
      <c r="S260" s="318">
        <f t="shared" si="147"/>
        <v>0</v>
      </c>
      <c r="T260" s="318">
        <f t="shared" si="147"/>
        <v>0</v>
      </c>
      <c r="U260" s="318">
        <f t="shared" si="147"/>
        <v>0</v>
      </c>
      <c r="V260" s="318">
        <f t="shared" si="147"/>
        <v>0</v>
      </c>
      <c r="W260" s="318">
        <f t="shared" si="147"/>
        <v>0</v>
      </c>
      <c r="X260" s="318">
        <f t="shared" si="147"/>
        <v>0</v>
      </c>
      <c r="Y260" s="318">
        <f t="shared" si="147"/>
        <v>0</v>
      </c>
      <c r="Z260" s="372">
        <v>0</v>
      </c>
      <c r="AA260" s="318">
        <f t="shared" si="147"/>
        <v>0</v>
      </c>
      <c r="AB260" s="318">
        <f t="shared" si="147"/>
        <v>0</v>
      </c>
      <c r="AC260" s="318">
        <f t="shared" si="147"/>
        <v>0</v>
      </c>
      <c r="AD260" s="318">
        <f t="shared" si="147"/>
        <v>0</v>
      </c>
      <c r="AE260" s="318">
        <f t="shared" si="147"/>
        <v>0</v>
      </c>
      <c r="AF260" s="318">
        <f t="shared" si="147"/>
        <v>0</v>
      </c>
      <c r="AG260" s="318">
        <f t="shared" si="147"/>
        <v>0</v>
      </c>
      <c r="AH260" s="318">
        <f t="shared" si="147"/>
        <v>0</v>
      </c>
      <c r="AI260" s="318">
        <f t="shared" si="147"/>
        <v>0</v>
      </c>
      <c r="AJ260" s="318">
        <f t="shared" si="147"/>
        <v>0</v>
      </c>
      <c r="AK260" s="318">
        <f t="shared" si="147"/>
        <v>0</v>
      </c>
      <c r="AL260" s="318">
        <f t="shared" si="147"/>
        <v>0</v>
      </c>
      <c r="AM260" s="318">
        <f t="shared" si="147"/>
        <v>0</v>
      </c>
      <c r="AN260" s="318">
        <f t="shared" si="147"/>
        <v>0</v>
      </c>
      <c r="AO260" s="318">
        <f t="shared" si="147"/>
        <v>0</v>
      </c>
      <c r="AP260" s="783" t="s">
        <v>273</v>
      </c>
      <c r="AQ260" s="372">
        <v>0</v>
      </c>
    </row>
    <row r="261" spans="1:43" ht="19.5" hidden="1" customHeight="1" x14ac:dyDescent="0.25">
      <c r="A261" s="1663"/>
      <c r="B261" s="1" t="s">
        <v>211</v>
      </c>
      <c r="C261" s="1291"/>
      <c r="D261" s="1291"/>
      <c r="E261" s="1291"/>
      <c r="F261" s="1291"/>
      <c r="G261" s="1291"/>
      <c r="H261" s="1291"/>
      <c r="I261" s="1494"/>
      <c r="J261" s="6"/>
      <c r="K261" s="47"/>
      <c r="L261" s="47">
        <v>27019.38</v>
      </c>
      <c r="M261" s="47">
        <v>27019.38</v>
      </c>
      <c r="N261" s="47">
        <v>0</v>
      </c>
      <c r="O261" s="47">
        <v>0</v>
      </c>
      <c r="P261" s="4">
        <v>0</v>
      </c>
      <c r="Q261" s="4">
        <f>Q262</f>
        <v>0</v>
      </c>
      <c r="R261" s="4">
        <f t="shared" si="147"/>
        <v>0</v>
      </c>
      <c r="S261" s="4">
        <f t="shared" si="147"/>
        <v>0</v>
      </c>
      <c r="T261" s="4">
        <f t="shared" si="147"/>
        <v>0</v>
      </c>
      <c r="U261" s="4">
        <f t="shared" si="147"/>
        <v>0</v>
      </c>
      <c r="V261" s="4">
        <f t="shared" si="147"/>
        <v>0</v>
      </c>
      <c r="W261" s="4">
        <f t="shared" si="147"/>
        <v>0</v>
      </c>
      <c r="X261" s="4">
        <v>0</v>
      </c>
      <c r="Y261" s="4">
        <f t="shared" si="147"/>
        <v>0</v>
      </c>
      <c r="Z261" s="268"/>
      <c r="AA261" s="4">
        <f t="shared" si="147"/>
        <v>0</v>
      </c>
      <c r="AB261" s="4">
        <f t="shared" si="147"/>
        <v>0</v>
      </c>
      <c r="AC261" s="4">
        <f t="shared" si="147"/>
        <v>0</v>
      </c>
      <c r="AD261" s="4">
        <f t="shared" si="147"/>
        <v>0</v>
      </c>
      <c r="AE261" s="4">
        <f t="shared" si="147"/>
        <v>0</v>
      </c>
      <c r="AF261" s="4">
        <f>AF262</f>
        <v>0</v>
      </c>
      <c r="AG261" s="4">
        <f t="shared" si="147"/>
        <v>0</v>
      </c>
      <c r="AH261" s="4">
        <f t="shared" si="147"/>
        <v>0</v>
      </c>
      <c r="AI261" s="4">
        <f t="shared" si="147"/>
        <v>0</v>
      </c>
      <c r="AJ261" s="4">
        <f t="shared" si="147"/>
        <v>0</v>
      </c>
      <c r="AK261" s="4">
        <f t="shared" si="147"/>
        <v>0</v>
      </c>
      <c r="AL261" s="4">
        <f t="shared" si="147"/>
        <v>0</v>
      </c>
      <c r="AM261" s="4">
        <f t="shared" si="147"/>
        <v>0</v>
      </c>
      <c r="AN261" s="4">
        <f t="shared" si="147"/>
        <v>0</v>
      </c>
      <c r="AO261" s="4">
        <f t="shared" si="147"/>
        <v>0</v>
      </c>
      <c r="AP261" s="417"/>
      <c r="AQ261" s="268"/>
    </row>
    <row r="262" spans="1:43" s="266" customFormat="1" ht="15.75" hidden="1" x14ac:dyDescent="0.25">
      <c r="A262" s="267"/>
      <c r="B262" s="102" t="s">
        <v>253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Q262</f>
        <v>0</v>
      </c>
      <c r="Q262" s="268">
        <f>S262+U262+W262</f>
        <v>0</v>
      </c>
      <c r="R262" s="268">
        <f>S262</f>
        <v>0</v>
      </c>
      <c r="S262" s="268">
        <v>0</v>
      </c>
      <c r="T262" s="268">
        <v>0</v>
      </c>
      <c r="U262" s="268">
        <v>0</v>
      </c>
      <c r="V262" s="268">
        <f>W262</f>
        <v>0</v>
      </c>
      <c r="W262" s="268">
        <v>0</v>
      </c>
      <c r="X262" s="268">
        <v>0</v>
      </c>
      <c r="Y262" s="268">
        <v>0</v>
      </c>
      <c r="Z262" s="268"/>
      <c r="AA262" s="268">
        <f>SUM(AB262:AC262)</f>
        <v>0</v>
      </c>
      <c r="AB262" s="268">
        <v>0</v>
      </c>
      <c r="AC262" s="268">
        <v>0</v>
      </c>
      <c r="AD262" s="268">
        <v>0</v>
      </c>
      <c r="AE262" s="268"/>
      <c r="AF262" s="268">
        <f>SUM(AG262:AI262)</f>
        <v>0</v>
      </c>
      <c r="AG262" s="268"/>
      <c r="AH262" s="268">
        <v>0</v>
      </c>
      <c r="AI262" s="268">
        <v>0</v>
      </c>
      <c r="AJ262" s="268"/>
      <c r="AK262" s="96"/>
      <c r="AL262" s="96"/>
      <c r="AM262" s="96"/>
      <c r="AN262" s="268"/>
      <c r="AO262" s="268"/>
      <c r="AP262" s="418"/>
      <c r="AQ262" s="268"/>
    </row>
    <row r="263" spans="1:43" s="327" customFormat="1" ht="40.5" customHeight="1" x14ac:dyDescent="0.25">
      <c r="A263" s="832" t="s">
        <v>188</v>
      </c>
      <c r="B263" s="780" t="s">
        <v>466</v>
      </c>
      <c r="C263" s="1296">
        <v>63</v>
      </c>
      <c r="D263" s="1296">
        <v>250</v>
      </c>
      <c r="E263" s="1296">
        <v>250</v>
      </c>
      <c r="F263" s="1296"/>
      <c r="G263" s="1296">
        <v>2019</v>
      </c>
      <c r="H263" s="1296">
        <v>2019</v>
      </c>
      <c r="I263" s="780"/>
      <c r="J263" s="52">
        <f>K263+L263</f>
        <v>36691.870000000003</v>
      </c>
      <c r="K263" s="3">
        <v>0</v>
      </c>
      <c r="L263" s="3">
        <f>L264+L267+L268</f>
        <v>36691.870000000003</v>
      </c>
      <c r="M263" s="3">
        <f>M264+M267+M268</f>
        <v>31392.57</v>
      </c>
      <c r="N263" s="3">
        <f>N264+N267+N268</f>
        <v>33892.57</v>
      </c>
      <c r="O263" s="3">
        <f>O264+O267+O268</f>
        <v>33892.57</v>
      </c>
      <c r="P263" s="3">
        <f>P264+P267+P268</f>
        <v>0</v>
      </c>
      <c r="Q263" s="3">
        <f>Q264+Q268</f>
        <v>0</v>
      </c>
      <c r="R263" s="3">
        <f t="shared" ref="R263:AI263" si="148">R264+R268</f>
        <v>138.15199999999999</v>
      </c>
      <c r="S263" s="3">
        <f t="shared" si="148"/>
        <v>138.15199999999999</v>
      </c>
      <c r="T263" s="3">
        <f t="shared" si="148"/>
        <v>2350</v>
      </c>
      <c r="U263" s="3">
        <f t="shared" si="148"/>
        <v>2350</v>
      </c>
      <c r="V263" s="3">
        <f t="shared" si="148"/>
        <v>28677.305</v>
      </c>
      <c r="W263" s="3">
        <f t="shared" si="148"/>
        <v>28677.305</v>
      </c>
      <c r="X263" s="3">
        <f t="shared" si="148"/>
        <v>0</v>
      </c>
      <c r="Y263" s="3">
        <f t="shared" si="148"/>
        <v>0</v>
      </c>
      <c r="Z263" s="3">
        <f t="shared" si="148"/>
        <v>0</v>
      </c>
      <c r="AA263" s="3">
        <f t="shared" si="148"/>
        <v>0</v>
      </c>
      <c r="AB263" s="3">
        <f t="shared" si="148"/>
        <v>0</v>
      </c>
      <c r="AC263" s="3">
        <f t="shared" si="148"/>
        <v>17468.748</v>
      </c>
      <c r="AD263" s="3">
        <f t="shared" si="148"/>
        <v>19862.373</v>
      </c>
      <c r="AE263" s="3">
        <f t="shared" si="148"/>
        <v>0</v>
      </c>
      <c r="AF263" s="3">
        <f t="shared" si="148"/>
        <v>0</v>
      </c>
      <c r="AG263" s="3">
        <f t="shared" si="148"/>
        <v>0</v>
      </c>
      <c r="AH263" s="3">
        <f t="shared" si="148"/>
        <v>0</v>
      </c>
      <c r="AI263" s="3">
        <f t="shared" si="148"/>
        <v>0</v>
      </c>
      <c r="AJ263" s="3">
        <v>0</v>
      </c>
      <c r="AK263" s="3">
        <f>P263-Q263</f>
        <v>0</v>
      </c>
      <c r="AL263" s="3">
        <f>AK263</f>
        <v>0</v>
      </c>
      <c r="AM263" s="318" t="e">
        <f>ROUND((Q263*100%/P263*100),2)</f>
        <v>#DIV/0!</v>
      </c>
      <c r="AN263" s="3">
        <v>0</v>
      </c>
      <c r="AO263" s="3">
        <v>0</v>
      </c>
      <c r="AP263" s="633"/>
      <c r="AQ263" s="95">
        <f>76.182+4641.965+15.332</f>
        <v>4733.4790000000003</v>
      </c>
    </row>
    <row r="264" spans="1:43" ht="15" customHeight="1" x14ac:dyDescent="0.25">
      <c r="A264" s="1293"/>
      <c r="B264" s="47" t="s">
        <v>15</v>
      </c>
      <c r="C264" s="1291"/>
      <c r="D264" s="1291"/>
      <c r="E264" s="1291"/>
      <c r="F264" s="1291"/>
      <c r="G264" s="1291"/>
      <c r="H264" s="1291"/>
      <c r="I264" s="481" t="s">
        <v>20</v>
      </c>
      <c r="J264" s="462"/>
      <c r="K264" s="47"/>
      <c r="L264" s="47">
        <v>2799.3</v>
      </c>
      <c r="M264" s="4"/>
      <c r="N264" s="4">
        <v>0</v>
      </c>
      <c r="O264" s="4"/>
      <c r="P264" s="4">
        <v>0</v>
      </c>
      <c r="Q264" s="4">
        <v>0</v>
      </c>
      <c r="R264" s="4">
        <f t="shared" ref="R264:AE264" si="149">SUM(R265:R266)</f>
        <v>138.15199999999999</v>
      </c>
      <c r="S264" s="4">
        <f t="shared" si="149"/>
        <v>138.15199999999999</v>
      </c>
      <c r="T264" s="4">
        <f t="shared" si="149"/>
        <v>2350</v>
      </c>
      <c r="U264" s="4">
        <f t="shared" si="149"/>
        <v>2350</v>
      </c>
      <c r="V264" s="4">
        <f t="shared" si="149"/>
        <v>0</v>
      </c>
      <c r="W264" s="4">
        <f t="shared" si="149"/>
        <v>0</v>
      </c>
      <c r="X264" s="4">
        <f t="shared" si="149"/>
        <v>0</v>
      </c>
      <c r="Y264" s="4">
        <f t="shared" si="149"/>
        <v>0</v>
      </c>
      <c r="Z264" s="268"/>
      <c r="AA264" s="4">
        <v>0</v>
      </c>
      <c r="AB264" s="4">
        <f t="shared" si="149"/>
        <v>0</v>
      </c>
      <c r="AC264" s="4">
        <f t="shared" si="149"/>
        <v>2488.15</v>
      </c>
      <c r="AD264" s="4">
        <f t="shared" si="149"/>
        <v>0</v>
      </c>
      <c r="AE264" s="4">
        <f t="shared" si="149"/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1282"/>
      <c r="AQ264" s="268"/>
    </row>
    <row r="265" spans="1:43" s="266" customFormat="1" ht="15.75" hidden="1" x14ac:dyDescent="0.25">
      <c r="A265" s="267"/>
      <c r="B265" s="102" t="s">
        <v>303</v>
      </c>
      <c r="C265" s="104"/>
      <c r="D265" s="104"/>
      <c r="E265" s="104"/>
      <c r="F265" s="104"/>
      <c r="G265" s="104"/>
      <c r="H265" s="104"/>
      <c r="I265" s="102"/>
      <c r="J265" s="106"/>
      <c r="K265" s="96"/>
      <c r="L265" s="96"/>
      <c r="M265" s="268"/>
      <c r="N265" s="268"/>
      <c r="O265" s="268"/>
      <c r="P265" s="268">
        <f>R265+T265</f>
        <v>138.15199999999999</v>
      </c>
      <c r="Q265" s="268">
        <f>S265</f>
        <v>138.15199999999999</v>
      </c>
      <c r="R265" s="268">
        <f>S265</f>
        <v>138.15199999999999</v>
      </c>
      <c r="S265" s="268">
        <v>138.15199999999999</v>
      </c>
      <c r="T265" s="268">
        <f>U265</f>
        <v>0</v>
      </c>
      <c r="U265" s="268">
        <v>0</v>
      </c>
      <c r="V265" s="268"/>
      <c r="W265" s="268"/>
      <c r="X265" s="268"/>
      <c r="Y265" s="268">
        <v>0</v>
      </c>
      <c r="Z265" s="268"/>
      <c r="AA265" s="268">
        <f>AC265</f>
        <v>138.15</v>
      </c>
      <c r="AB265" s="268">
        <v>0</v>
      </c>
      <c r="AC265" s="268">
        <v>138.15</v>
      </c>
      <c r="AD265" s="268"/>
      <c r="AE265" s="268">
        <v>0</v>
      </c>
      <c r="AF265" s="268"/>
      <c r="AG265" s="268"/>
      <c r="AH265" s="268"/>
      <c r="AI265" s="268"/>
      <c r="AJ265" s="268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8"/>
      <c r="AQ265" s="268"/>
    </row>
    <row r="266" spans="1:43" s="266" customFormat="1" ht="15.75" hidden="1" x14ac:dyDescent="0.25">
      <c r="A266" s="490"/>
      <c r="B266" s="102" t="s">
        <v>311</v>
      </c>
      <c r="C266" s="104"/>
      <c r="D266" s="104"/>
      <c r="E266" s="104"/>
      <c r="F266" s="104"/>
      <c r="G266" s="104"/>
      <c r="H266" s="104"/>
      <c r="I266" s="92"/>
      <c r="J266" s="442"/>
      <c r="K266" s="96"/>
      <c r="L266" s="96"/>
      <c r="M266" s="268"/>
      <c r="N266" s="268"/>
      <c r="O266" s="268"/>
      <c r="P266" s="268"/>
      <c r="Q266" s="268">
        <f>Y266+U266</f>
        <v>2350</v>
      </c>
      <c r="R266" s="268"/>
      <c r="S266" s="268"/>
      <c r="T266" s="268">
        <f>U266</f>
        <v>2350</v>
      </c>
      <c r="U266" s="268">
        <v>2350</v>
      </c>
      <c r="V266" s="268"/>
      <c r="W266" s="268"/>
      <c r="X266" s="268"/>
      <c r="Y266" s="268">
        <v>0</v>
      </c>
      <c r="Z266" s="268"/>
      <c r="AA266" s="268">
        <f>AI266+AE266</f>
        <v>0</v>
      </c>
      <c r="AB266" s="268"/>
      <c r="AC266" s="268">
        <v>2350</v>
      </c>
      <c r="AD266" s="268"/>
      <c r="AE266" s="268">
        <v>0</v>
      </c>
      <c r="AF266" s="268"/>
      <c r="AG266" s="268"/>
      <c r="AH266" s="268"/>
      <c r="AI266" s="268"/>
      <c r="AJ266" s="268"/>
      <c r="AK266" s="47">
        <v>0</v>
      </c>
      <c r="AL266" s="47">
        <v>0</v>
      </c>
      <c r="AM266" s="47">
        <v>0</v>
      </c>
      <c r="AN266" s="4">
        <v>0</v>
      </c>
      <c r="AO266" s="4">
        <v>0</v>
      </c>
      <c r="AP266" s="418"/>
      <c r="AQ266" s="268"/>
    </row>
    <row r="267" spans="1:43" ht="15.75" x14ac:dyDescent="0.25">
      <c r="A267" s="1293"/>
      <c r="B267" s="47" t="s">
        <v>15</v>
      </c>
      <c r="C267" s="1291"/>
      <c r="D267" s="1291"/>
      <c r="E267" s="1291"/>
      <c r="F267" s="1291"/>
      <c r="G267" s="1291"/>
      <c r="H267" s="1291"/>
      <c r="I267" s="1493" t="s">
        <v>10</v>
      </c>
      <c r="J267" s="462"/>
      <c r="K267" s="47"/>
      <c r="L267" s="47">
        <v>2500</v>
      </c>
      <c r="M267" s="4"/>
      <c r="N267" s="4">
        <v>2500</v>
      </c>
      <c r="O267" s="4">
        <v>2500</v>
      </c>
      <c r="P267" s="4">
        <v>0</v>
      </c>
      <c r="Q267" s="4">
        <v>0</v>
      </c>
      <c r="R267" s="4">
        <v>0</v>
      </c>
      <c r="S267" s="4">
        <v>0</v>
      </c>
      <c r="T267" s="4"/>
      <c r="U267" s="4"/>
      <c r="V267" s="4"/>
      <c r="W267" s="4"/>
      <c r="X267" s="4"/>
      <c r="Y267" s="4"/>
      <c r="Z267" s="268"/>
      <c r="AA267" s="4">
        <v>0</v>
      </c>
      <c r="AB267" s="4">
        <v>0</v>
      </c>
      <c r="AC267" s="4"/>
      <c r="AD267" s="4"/>
      <c r="AE267" s="4"/>
      <c r="AF267" s="4">
        <v>0</v>
      </c>
      <c r="AG267" s="4">
        <v>0</v>
      </c>
      <c r="AH267" s="4"/>
      <c r="AI267" s="4"/>
      <c r="AJ267" s="4"/>
      <c r="AK267" s="47">
        <v>0</v>
      </c>
      <c r="AL267" s="47">
        <v>0</v>
      </c>
      <c r="AM267" s="47">
        <v>0</v>
      </c>
      <c r="AN267" s="4">
        <v>0</v>
      </c>
      <c r="AO267" s="4">
        <v>0</v>
      </c>
      <c r="AP267" s="417"/>
      <c r="AQ267" s="268"/>
    </row>
    <row r="268" spans="1:43" ht="15.75" x14ac:dyDescent="0.25">
      <c r="A268" s="1293"/>
      <c r="B268" s="1" t="s">
        <v>16</v>
      </c>
      <c r="C268" s="1291"/>
      <c r="D268" s="1291"/>
      <c r="E268" s="1291"/>
      <c r="F268" s="1291"/>
      <c r="G268" s="1291"/>
      <c r="H268" s="1291"/>
      <c r="I268" s="1494"/>
      <c r="J268" s="462"/>
      <c r="K268" s="47"/>
      <c r="L268" s="47">
        <v>31392.57</v>
      </c>
      <c r="M268" s="47">
        <v>31392.57</v>
      </c>
      <c r="N268" s="47">
        <v>31392.57</v>
      </c>
      <c r="O268" s="47">
        <v>31392.57</v>
      </c>
      <c r="P268" s="47">
        <v>0</v>
      </c>
      <c r="Q268" s="4">
        <v>0</v>
      </c>
      <c r="R268" s="4">
        <f t="shared" ref="R268:AI268" si="150">R269</f>
        <v>0</v>
      </c>
      <c r="S268" s="4">
        <f t="shared" si="150"/>
        <v>0</v>
      </c>
      <c r="T268" s="4">
        <f t="shared" si="150"/>
        <v>0</v>
      </c>
      <c r="U268" s="4">
        <f t="shared" si="150"/>
        <v>0</v>
      </c>
      <c r="V268" s="4">
        <f t="shared" si="150"/>
        <v>28677.305</v>
      </c>
      <c r="W268" s="4">
        <f t="shared" si="150"/>
        <v>28677.305</v>
      </c>
      <c r="X268" s="4">
        <f t="shared" si="150"/>
        <v>0</v>
      </c>
      <c r="Y268" s="4">
        <f t="shared" si="150"/>
        <v>0</v>
      </c>
      <c r="Z268" s="268"/>
      <c r="AA268" s="4">
        <v>0</v>
      </c>
      <c r="AB268" s="4">
        <f t="shared" si="150"/>
        <v>0</v>
      </c>
      <c r="AC268" s="4">
        <f t="shared" si="150"/>
        <v>14980.598</v>
      </c>
      <c r="AD268" s="4">
        <f t="shared" si="150"/>
        <v>19862.373</v>
      </c>
      <c r="AE268" s="4">
        <f t="shared" si="150"/>
        <v>0</v>
      </c>
      <c r="AF268" s="4">
        <f t="shared" si="150"/>
        <v>0</v>
      </c>
      <c r="AG268" s="4">
        <f t="shared" si="150"/>
        <v>0</v>
      </c>
      <c r="AH268" s="4">
        <f t="shared" si="150"/>
        <v>0</v>
      </c>
      <c r="AI268" s="4">
        <f t="shared" si="150"/>
        <v>0</v>
      </c>
      <c r="AJ268" s="4"/>
      <c r="AK268" s="47">
        <v>0</v>
      </c>
      <c r="AL268" s="47">
        <v>0</v>
      </c>
      <c r="AM268" s="47">
        <v>0</v>
      </c>
      <c r="AN268" s="4">
        <v>0</v>
      </c>
      <c r="AO268" s="4">
        <v>0</v>
      </c>
      <c r="AP268" s="417"/>
      <c r="AQ268" s="268"/>
    </row>
    <row r="269" spans="1:43" s="266" customFormat="1" ht="15.75" hidden="1" x14ac:dyDescent="0.25">
      <c r="A269" s="490"/>
      <c r="B269" s="102" t="s">
        <v>316</v>
      </c>
      <c r="C269" s="104"/>
      <c r="D269" s="104"/>
      <c r="E269" s="104"/>
      <c r="F269" s="104"/>
      <c r="G269" s="104"/>
      <c r="H269" s="104"/>
      <c r="I269" s="575"/>
      <c r="J269" s="442"/>
      <c r="K269" s="96"/>
      <c r="L269" s="96"/>
      <c r="M269" s="268"/>
      <c r="N269" s="268"/>
      <c r="O269" s="268"/>
      <c r="P269" s="268"/>
      <c r="Q269" s="268">
        <f>W269</f>
        <v>28677.305</v>
      </c>
      <c r="R269" s="268"/>
      <c r="S269" s="268"/>
      <c r="T269" s="268"/>
      <c r="U269" s="268"/>
      <c r="V269" s="268">
        <f>W269</f>
        <v>28677.305</v>
      </c>
      <c r="W269" s="268">
        <v>28677.305</v>
      </c>
      <c r="X269" s="268"/>
      <c r="Y269" s="268"/>
      <c r="Z269" s="268"/>
      <c r="AA269" s="268">
        <f>AC269+AD269</f>
        <v>34842.970999999998</v>
      </c>
      <c r="AB269" s="268"/>
      <c r="AC269" s="268">
        <v>14980.598</v>
      </c>
      <c r="AD269" s="268">
        <v>19862.373</v>
      </c>
      <c r="AE269" s="268"/>
      <c r="AF269" s="268"/>
      <c r="AG269" s="268"/>
      <c r="AH269" s="268"/>
      <c r="AI269" s="268"/>
      <c r="AJ269" s="268"/>
      <c r="AK269" s="96"/>
      <c r="AL269" s="96"/>
      <c r="AM269" s="96"/>
      <c r="AN269" s="268"/>
      <c r="AO269" s="268"/>
      <c r="AP269" s="418"/>
      <c r="AQ269" s="268"/>
    </row>
    <row r="270" spans="1:43" s="327" customFormat="1" ht="18.75" customHeight="1" x14ac:dyDescent="0.25">
      <c r="A270" s="1358" t="s">
        <v>189</v>
      </c>
      <c r="B270" s="609" t="s">
        <v>35</v>
      </c>
      <c r="C270" s="1661">
        <v>500</v>
      </c>
      <c r="D270" s="1661" t="s">
        <v>43</v>
      </c>
      <c r="E270" s="1661">
        <v>850</v>
      </c>
      <c r="F270" s="1660">
        <v>20400</v>
      </c>
      <c r="G270" s="807"/>
      <c r="H270" s="807"/>
      <c r="I270" s="1326" t="s">
        <v>20</v>
      </c>
      <c r="J270" s="1622">
        <v>6942.46</v>
      </c>
      <c r="K270" s="3">
        <v>0</v>
      </c>
      <c r="L270" s="3">
        <f>L271</f>
        <v>6462.97</v>
      </c>
      <c r="M270" s="318">
        <f>M271</f>
        <v>0</v>
      </c>
      <c r="N270" s="318">
        <f>N271</f>
        <v>0</v>
      </c>
      <c r="O270" s="318">
        <f>O271</f>
        <v>6942.46</v>
      </c>
      <c r="P270" s="318">
        <v>0</v>
      </c>
      <c r="Q270" s="318">
        <v>0</v>
      </c>
      <c r="R270" s="318">
        <v>0</v>
      </c>
      <c r="S270" s="318">
        <v>0</v>
      </c>
      <c r="T270" s="318">
        <v>0</v>
      </c>
      <c r="U270" s="318">
        <v>0</v>
      </c>
      <c r="V270" s="318">
        <v>0</v>
      </c>
      <c r="W270" s="318">
        <v>0</v>
      </c>
      <c r="X270" s="318">
        <v>0</v>
      </c>
      <c r="Y270" s="318">
        <v>0</v>
      </c>
      <c r="Z270" s="372">
        <v>0</v>
      </c>
      <c r="AA270" s="318">
        <v>0</v>
      </c>
      <c r="AB270" s="318">
        <v>0</v>
      </c>
      <c r="AC270" s="318">
        <v>0</v>
      </c>
      <c r="AD270" s="318">
        <v>0</v>
      </c>
      <c r="AE270" s="318">
        <v>0</v>
      </c>
      <c r="AF270" s="318">
        <v>0</v>
      </c>
      <c r="AG270" s="318">
        <v>0</v>
      </c>
      <c r="AH270" s="318">
        <v>0</v>
      </c>
      <c r="AI270" s="318">
        <v>0</v>
      </c>
      <c r="AJ270" s="318">
        <v>0</v>
      </c>
      <c r="AK270" s="3">
        <f>P270-Q270</f>
        <v>0</v>
      </c>
      <c r="AL270" s="3">
        <f>AK270</f>
        <v>0</v>
      </c>
      <c r="AM270" s="3">
        <v>0</v>
      </c>
      <c r="AN270" s="318">
        <v>0</v>
      </c>
      <c r="AO270" s="318">
        <v>0</v>
      </c>
      <c r="AP270" s="833"/>
      <c r="AQ270" s="372">
        <v>0</v>
      </c>
    </row>
    <row r="271" spans="1:43" ht="15" hidden="1" customHeight="1" x14ac:dyDescent="0.25">
      <c r="A271" s="1361"/>
      <c r="B271" s="1" t="s">
        <v>15</v>
      </c>
      <c r="C271" s="1661"/>
      <c r="D271" s="1661"/>
      <c r="E271" s="1661"/>
      <c r="F271" s="1661"/>
      <c r="G271" s="1291">
        <v>2021</v>
      </c>
      <c r="H271" s="1291">
        <v>2021</v>
      </c>
      <c r="I271" s="1328"/>
      <c r="J271" s="1624"/>
      <c r="K271" s="47"/>
      <c r="L271" s="47">
        <v>6462.97</v>
      </c>
      <c r="M271" s="47">
        <v>0</v>
      </c>
      <c r="N271" s="47">
        <v>0</v>
      </c>
      <c r="O271" s="47">
        <v>6942.46</v>
      </c>
      <c r="P271" s="47">
        <v>6462.97</v>
      </c>
      <c r="Q271" s="47">
        <v>0</v>
      </c>
      <c r="R271" s="47">
        <v>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0</v>
      </c>
      <c r="Y271" s="47">
        <v>0</v>
      </c>
      <c r="Z271" s="96"/>
      <c r="AA271" s="47">
        <v>0</v>
      </c>
      <c r="AB271" s="47">
        <v>0</v>
      </c>
      <c r="AC271" s="47">
        <v>0</v>
      </c>
      <c r="AD271" s="47">
        <v>0</v>
      </c>
      <c r="AE271" s="47">
        <v>0</v>
      </c>
      <c r="AF271" s="47">
        <v>0</v>
      </c>
      <c r="AG271" s="47">
        <v>0</v>
      </c>
      <c r="AH271" s="47">
        <v>0</v>
      </c>
      <c r="AI271" s="47">
        <v>0</v>
      </c>
      <c r="AJ271" s="47">
        <v>0</v>
      </c>
      <c r="AK271" s="47">
        <v>0</v>
      </c>
      <c r="AL271" s="47">
        <v>0</v>
      </c>
      <c r="AM271" s="47">
        <v>0</v>
      </c>
      <c r="AN271" s="47">
        <v>0</v>
      </c>
      <c r="AO271" s="47">
        <v>0</v>
      </c>
      <c r="AP271" s="419"/>
      <c r="AQ271" s="96"/>
    </row>
    <row r="272" spans="1:43" s="327" customFormat="1" ht="28.5" customHeight="1" x14ac:dyDescent="0.25">
      <c r="A272" s="1358" t="s">
        <v>190</v>
      </c>
      <c r="B272" s="780" t="s">
        <v>191</v>
      </c>
      <c r="C272" s="1660"/>
      <c r="D272" s="1660"/>
      <c r="E272" s="1660"/>
      <c r="F272" s="1660">
        <v>80</v>
      </c>
      <c r="G272" s="807"/>
      <c r="H272" s="807"/>
      <c r="I272" s="1326" t="s">
        <v>20</v>
      </c>
      <c r="J272" s="52">
        <f>L272</f>
        <v>45265.81</v>
      </c>
      <c r="K272" s="52"/>
      <c r="L272" s="3">
        <f t="shared" ref="L272:AO272" si="151">L273+L275</f>
        <v>45265.81</v>
      </c>
      <c r="M272" s="3">
        <f t="shared" si="151"/>
        <v>33.479999999999997</v>
      </c>
      <c r="N272" s="3">
        <f t="shared" si="151"/>
        <v>7044.44</v>
      </c>
      <c r="O272" s="3">
        <f t="shared" si="151"/>
        <v>11467.37</v>
      </c>
      <c r="P272" s="3">
        <f>P273+P275</f>
        <v>40219.919999999998</v>
      </c>
      <c r="Q272" s="3">
        <f>Q273+Q275</f>
        <v>169.92805999999999</v>
      </c>
      <c r="R272" s="3">
        <f t="shared" si="151"/>
        <v>0</v>
      </c>
      <c r="S272" s="3">
        <f t="shared" si="151"/>
        <v>0</v>
      </c>
      <c r="T272" s="3">
        <f t="shared" si="151"/>
        <v>27</v>
      </c>
      <c r="U272" s="3">
        <f t="shared" si="151"/>
        <v>27</v>
      </c>
      <c r="V272" s="3">
        <f t="shared" si="151"/>
        <v>0</v>
      </c>
      <c r="W272" s="3">
        <f t="shared" si="151"/>
        <v>0</v>
      </c>
      <c r="X272" s="3">
        <f t="shared" si="151"/>
        <v>0</v>
      </c>
      <c r="Y272" s="3">
        <f t="shared" si="151"/>
        <v>0</v>
      </c>
      <c r="Z272" s="95">
        <v>0</v>
      </c>
      <c r="AA272" s="3">
        <f t="shared" si="151"/>
        <v>0</v>
      </c>
      <c r="AB272" s="3">
        <f>AB273+AB275</f>
        <v>0</v>
      </c>
      <c r="AC272" s="3">
        <f>AC273+AC275</f>
        <v>0</v>
      </c>
      <c r="AD272" s="3">
        <f>AD273+AD275</f>
        <v>27</v>
      </c>
      <c r="AE272" s="3">
        <f>AE273+AE275</f>
        <v>0</v>
      </c>
      <c r="AF272" s="3">
        <f t="shared" si="151"/>
        <v>0</v>
      </c>
      <c r="AG272" s="3">
        <f t="shared" si="151"/>
        <v>0</v>
      </c>
      <c r="AH272" s="3">
        <f t="shared" si="151"/>
        <v>0</v>
      </c>
      <c r="AI272" s="3">
        <f t="shared" si="151"/>
        <v>0</v>
      </c>
      <c r="AJ272" s="3">
        <f t="shared" si="151"/>
        <v>0</v>
      </c>
      <c r="AK272" s="3">
        <f>P272-Q272</f>
        <v>40049.99194</v>
      </c>
      <c r="AL272" s="3">
        <f>AK272</f>
        <v>40049.99194</v>
      </c>
      <c r="AM272" s="318">
        <v>0</v>
      </c>
      <c r="AN272" s="3">
        <f t="shared" si="151"/>
        <v>0</v>
      </c>
      <c r="AO272" s="3">
        <f t="shared" si="151"/>
        <v>0</v>
      </c>
      <c r="AP272" s="834"/>
      <c r="AQ272" s="95">
        <v>0</v>
      </c>
    </row>
    <row r="273" spans="1:43" ht="17.25" customHeight="1" x14ac:dyDescent="0.25">
      <c r="A273" s="1359"/>
      <c r="B273" s="1" t="s">
        <v>15</v>
      </c>
      <c r="C273" s="1661"/>
      <c r="D273" s="1661"/>
      <c r="E273" s="1661"/>
      <c r="F273" s="1661"/>
      <c r="G273" s="1291">
        <v>2019</v>
      </c>
      <c r="H273" s="1291">
        <v>2019</v>
      </c>
      <c r="I273" s="1327"/>
      <c r="J273" s="6">
        <f>L273</f>
        <v>7077.92</v>
      </c>
      <c r="K273" s="6"/>
      <c r="L273" s="47">
        <v>7077.92</v>
      </c>
      <c r="M273" s="47">
        <v>33.479999999999997</v>
      </c>
      <c r="N273" s="47">
        <v>7044.44</v>
      </c>
      <c r="O273" s="47">
        <v>0</v>
      </c>
      <c r="P273" s="47">
        <v>0</v>
      </c>
      <c r="Q273" s="47">
        <f>Q274</f>
        <v>169.92805999999999</v>
      </c>
      <c r="R273" s="47">
        <f t="shared" ref="R273:AD273" si="152">SUM(R274)</f>
        <v>0</v>
      </c>
      <c r="S273" s="47">
        <f t="shared" si="152"/>
        <v>0</v>
      </c>
      <c r="T273" s="47">
        <f t="shared" si="152"/>
        <v>27</v>
      </c>
      <c r="U273" s="47">
        <f t="shared" si="152"/>
        <v>27</v>
      </c>
      <c r="V273" s="47">
        <f t="shared" si="152"/>
        <v>0</v>
      </c>
      <c r="W273" s="47">
        <f t="shared" si="152"/>
        <v>0</v>
      </c>
      <c r="X273" s="47">
        <f t="shared" si="152"/>
        <v>0</v>
      </c>
      <c r="Y273" s="47">
        <f t="shared" si="152"/>
        <v>0</v>
      </c>
      <c r="Z273" s="96"/>
      <c r="AA273" s="47">
        <v>0</v>
      </c>
      <c r="AB273" s="47">
        <f t="shared" si="152"/>
        <v>0</v>
      </c>
      <c r="AC273" s="47">
        <f t="shared" si="152"/>
        <v>0</v>
      </c>
      <c r="AD273" s="47">
        <f t="shared" si="152"/>
        <v>27</v>
      </c>
      <c r="AE273" s="47">
        <v>0</v>
      </c>
      <c r="AF273" s="47">
        <f>AF274</f>
        <v>0</v>
      </c>
      <c r="AG273" s="47">
        <f>AG274</f>
        <v>0</v>
      </c>
      <c r="AH273" s="47">
        <f>AH274</f>
        <v>0</v>
      </c>
      <c r="AI273" s="47">
        <f>AI274</f>
        <v>0</v>
      </c>
      <c r="AJ273" s="47">
        <f>AJ274</f>
        <v>0</v>
      </c>
      <c r="AK273" s="47">
        <v>0</v>
      </c>
      <c r="AL273" s="47">
        <v>0</v>
      </c>
      <c r="AM273" s="47">
        <v>0</v>
      </c>
      <c r="AN273" s="47">
        <v>0</v>
      </c>
      <c r="AO273" s="47">
        <v>0</v>
      </c>
      <c r="AP273" s="419"/>
      <c r="AQ273" s="96"/>
    </row>
    <row r="274" spans="1:43" s="266" customFormat="1" ht="25.5" hidden="1" customHeight="1" x14ac:dyDescent="0.25">
      <c r="A274" s="1359"/>
      <c r="B274" s="102" t="s">
        <v>267</v>
      </c>
      <c r="C274" s="576"/>
      <c r="D274" s="576"/>
      <c r="E274" s="576"/>
      <c r="F274" s="576"/>
      <c r="G274" s="104"/>
      <c r="H274" s="104"/>
      <c r="I274" s="1327"/>
      <c r="J274" s="106"/>
      <c r="K274" s="106"/>
      <c r="L274" s="96"/>
      <c r="M274" s="96"/>
      <c r="N274" s="96"/>
      <c r="O274" s="96"/>
      <c r="P274" s="96">
        <f>R274</f>
        <v>0</v>
      </c>
      <c r="Q274" s="96">
        <v>169.92805999999999</v>
      </c>
      <c r="R274" s="96">
        <v>0</v>
      </c>
      <c r="S274" s="96">
        <v>0</v>
      </c>
      <c r="T274" s="96">
        <f>U274</f>
        <v>27</v>
      </c>
      <c r="U274" s="96">
        <f>ROUND((32.4/1.2),2)</f>
        <v>27</v>
      </c>
      <c r="V274" s="96"/>
      <c r="W274" s="96"/>
      <c r="X274" s="96"/>
      <c r="Y274" s="96"/>
      <c r="Z274" s="96"/>
      <c r="AA274" s="96">
        <v>0</v>
      </c>
      <c r="AB274" s="96">
        <v>0</v>
      </c>
      <c r="AC274" s="96"/>
      <c r="AD274" s="96">
        <v>27</v>
      </c>
      <c r="AE274" s="96"/>
      <c r="AF274" s="96">
        <f>SUM(AG274:AG274)</f>
        <v>0</v>
      </c>
      <c r="AG274" s="96"/>
      <c r="AH274" s="96"/>
      <c r="AI274" s="96"/>
      <c r="AJ274" s="96"/>
      <c r="AK274" s="96"/>
      <c r="AL274" s="96"/>
      <c r="AM274" s="96"/>
      <c r="AN274" s="96"/>
      <c r="AO274" s="96"/>
      <c r="AP274" s="421"/>
      <c r="AQ274" s="96"/>
    </row>
    <row r="275" spans="1:43" ht="17.25" customHeight="1" x14ac:dyDescent="0.25">
      <c r="A275" s="1361"/>
      <c r="B275" s="1" t="s">
        <v>16</v>
      </c>
      <c r="C275" s="1324"/>
      <c r="D275" s="1324"/>
      <c r="E275" s="1324"/>
      <c r="F275" s="1324"/>
      <c r="G275" s="1291">
        <v>2020</v>
      </c>
      <c r="H275" s="1291">
        <v>2021</v>
      </c>
      <c r="I275" s="1328"/>
      <c r="J275" s="6">
        <f>L275</f>
        <v>38187.89</v>
      </c>
      <c r="K275" s="6"/>
      <c r="L275" s="47">
        <v>38187.89</v>
      </c>
      <c r="M275" s="47">
        <v>0</v>
      </c>
      <c r="N275" s="47">
        <v>0</v>
      </c>
      <c r="O275" s="47">
        <v>11467.37</v>
      </c>
      <c r="P275" s="47">
        <v>40219.919999999998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96"/>
      <c r="AA275" s="47">
        <v>0</v>
      </c>
      <c r="AB275" s="47">
        <v>0</v>
      </c>
      <c r="AC275" s="47">
        <v>0</v>
      </c>
      <c r="AD275" s="47">
        <v>0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0</v>
      </c>
      <c r="AO275" s="47">
        <v>0</v>
      </c>
      <c r="AP275" s="419"/>
      <c r="AQ275" s="96"/>
    </row>
    <row r="276" spans="1:43" s="327" customFormat="1" ht="39.75" customHeight="1" x14ac:dyDescent="0.25">
      <c r="A276" s="1358" t="s">
        <v>192</v>
      </c>
      <c r="B276" s="772" t="s">
        <v>166</v>
      </c>
      <c r="C276" s="1660"/>
      <c r="D276" s="1660"/>
      <c r="E276" s="1660"/>
      <c r="F276" s="1660">
        <v>80</v>
      </c>
      <c r="G276" s="807"/>
      <c r="H276" s="807"/>
      <c r="I276" s="1326" t="s">
        <v>20</v>
      </c>
      <c r="J276" s="52">
        <f>L276</f>
        <v>94875.549999999988</v>
      </c>
      <c r="K276" s="52"/>
      <c r="L276" s="3">
        <f t="shared" ref="L276:O276" si="153">L277+L280</f>
        <v>94875.549999999988</v>
      </c>
      <c r="M276" s="3">
        <f t="shared" si="153"/>
        <v>2761.44</v>
      </c>
      <c r="N276" s="3">
        <f t="shared" si="153"/>
        <v>9629.68</v>
      </c>
      <c r="O276" s="3">
        <f t="shared" si="153"/>
        <v>22469.279999999999</v>
      </c>
      <c r="P276" s="3">
        <v>3907.02</v>
      </c>
      <c r="Q276" s="3">
        <v>0</v>
      </c>
      <c r="R276" s="3">
        <f t="shared" ref="R276:Y276" si="154">R277+R280</f>
        <v>646.02599999999995</v>
      </c>
      <c r="S276" s="3">
        <f t="shared" si="154"/>
        <v>646.02599999999995</v>
      </c>
      <c r="T276" s="3">
        <f t="shared" si="154"/>
        <v>872.63599999999997</v>
      </c>
      <c r="U276" s="3">
        <f t="shared" si="154"/>
        <v>872.63599999999997</v>
      </c>
      <c r="V276" s="3">
        <f t="shared" si="154"/>
        <v>0</v>
      </c>
      <c r="W276" s="3">
        <f t="shared" si="154"/>
        <v>0</v>
      </c>
      <c r="X276" s="3">
        <f t="shared" si="154"/>
        <v>0</v>
      </c>
      <c r="Y276" s="3">
        <f t="shared" si="154"/>
        <v>0</v>
      </c>
      <c r="Z276" s="3">
        <v>0</v>
      </c>
      <c r="AA276" s="3">
        <f>AA277+AA280</f>
        <v>0</v>
      </c>
      <c r="AB276" s="3">
        <f>AB277+AB280</f>
        <v>0</v>
      </c>
      <c r="AC276" s="3">
        <f t="shared" ref="AC276:AJ276" si="155">AC277+AC280</f>
        <v>0</v>
      </c>
      <c r="AD276" s="3">
        <f t="shared" si="155"/>
        <v>0</v>
      </c>
      <c r="AE276" s="3">
        <f t="shared" si="155"/>
        <v>0</v>
      </c>
      <c r="AF276" s="3">
        <f t="shared" si="155"/>
        <v>0</v>
      </c>
      <c r="AG276" s="3">
        <f t="shared" si="155"/>
        <v>0</v>
      </c>
      <c r="AH276" s="3">
        <f t="shared" si="155"/>
        <v>0</v>
      </c>
      <c r="AI276" s="3">
        <f t="shared" si="155"/>
        <v>0</v>
      </c>
      <c r="AJ276" s="3">
        <f t="shared" si="155"/>
        <v>0</v>
      </c>
      <c r="AK276" s="3">
        <f>P276-Q276</f>
        <v>3907.02</v>
      </c>
      <c r="AL276" s="3">
        <f>AK276</f>
        <v>3907.02</v>
      </c>
      <c r="AM276" s="3">
        <f>ROUND((Q276*100%/P276*100),2)</f>
        <v>0</v>
      </c>
      <c r="AN276" s="3">
        <f>AN277+AN280</f>
        <v>0</v>
      </c>
      <c r="AO276" s="3">
        <f>AO277+AO280</f>
        <v>0</v>
      </c>
      <c r="AP276" s="633" t="s">
        <v>256</v>
      </c>
      <c r="AQ276" s="3">
        <v>0</v>
      </c>
    </row>
    <row r="277" spans="1:43" ht="16.5" hidden="1" customHeight="1" x14ac:dyDescent="0.25">
      <c r="A277" s="1359"/>
      <c r="B277" s="42" t="s">
        <v>15</v>
      </c>
      <c r="C277" s="1661"/>
      <c r="D277" s="1661"/>
      <c r="E277" s="1661"/>
      <c r="F277" s="1661"/>
      <c r="G277" s="313"/>
      <c r="H277" s="1322"/>
      <c r="I277" s="1327"/>
      <c r="J277" s="1308"/>
      <c r="K277" s="47"/>
      <c r="L277" s="47">
        <v>5734.87</v>
      </c>
      <c r="M277" s="47">
        <v>2761.44</v>
      </c>
      <c r="N277" s="47">
        <v>105.99</v>
      </c>
      <c r="O277" s="47">
        <v>0</v>
      </c>
      <c r="P277" s="47">
        <v>0</v>
      </c>
      <c r="Q277" s="47">
        <f>SUM(Q278:Q280)</f>
        <v>1518.6619999999998</v>
      </c>
      <c r="R277" s="47">
        <f>S277</f>
        <v>646.02599999999995</v>
      </c>
      <c r="S277" s="47">
        <f>SUM(S278:S280)</f>
        <v>646.02599999999995</v>
      </c>
      <c r="T277" s="47">
        <f>SUM(T278:T280)</f>
        <v>872.63599999999997</v>
      </c>
      <c r="U277" s="47">
        <f>SUM(U278:U280)</f>
        <v>872.63599999999997</v>
      </c>
      <c r="V277" s="47">
        <f>SUM(V278:V280)</f>
        <v>0</v>
      </c>
      <c r="W277" s="47">
        <f>SUM(W278:W280)</f>
        <v>0</v>
      </c>
      <c r="X277" s="47">
        <v>0</v>
      </c>
      <c r="Y277" s="47">
        <f t="shared" ref="Y277:AE277" si="156">SUM(Y278:Y280)</f>
        <v>0</v>
      </c>
      <c r="Z277" s="96"/>
      <c r="AA277" s="47">
        <f t="shared" si="156"/>
        <v>0</v>
      </c>
      <c r="AB277" s="47">
        <f t="shared" si="156"/>
        <v>0</v>
      </c>
      <c r="AC277" s="47">
        <f t="shared" si="156"/>
        <v>0</v>
      </c>
      <c r="AD277" s="47">
        <f t="shared" si="156"/>
        <v>0</v>
      </c>
      <c r="AE277" s="47">
        <f t="shared" si="156"/>
        <v>0</v>
      </c>
      <c r="AF277" s="47">
        <f>SUM(AF278)</f>
        <v>0</v>
      </c>
      <c r="AG277" s="47">
        <f>SUM(AG278)</f>
        <v>0</v>
      </c>
      <c r="AH277" s="47">
        <f>SUM(AH278)</f>
        <v>0</v>
      </c>
      <c r="AI277" s="47">
        <f>SUM(AI278)</f>
        <v>0</v>
      </c>
      <c r="AJ277" s="47">
        <f>SUM(AJ278)</f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397"/>
      <c r="AQ277" s="96"/>
    </row>
    <row r="278" spans="1:43" s="266" customFormat="1" ht="16.5" hidden="1" customHeight="1" x14ac:dyDescent="0.25">
      <c r="A278" s="1359"/>
      <c r="B278" s="252" t="s">
        <v>228</v>
      </c>
      <c r="C278" s="363"/>
      <c r="D278" s="363"/>
      <c r="E278" s="363"/>
      <c r="F278" s="363"/>
      <c r="G278" s="363"/>
      <c r="H278" s="364"/>
      <c r="I278" s="1327"/>
      <c r="J278" s="258"/>
      <c r="K278" s="96"/>
      <c r="L278" s="96"/>
      <c r="M278" s="96"/>
      <c r="N278" s="96"/>
      <c r="O278" s="96"/>
      <c r="P278" s="47"/>
      <c r="Q278" s="96">
        <f>S278+U278</f>
        <v>1518.6619999999998</v>
      </c>
      <c r="R278" s="96">
        <v>0</v>
      </c>
      <c r="S278" s="96">
        <v>646.02599999999995</v>
      </c>
      <c r="T278" s="96">
        <f>U278</f>
        <v>872.63599999999997</v>
      </c>
      <c r="U278" s="96">
        <v>872.63599999999997</v>
      </c>
      <c r="V278" s="96"/>
      <c r="W278" s="96"/>
      <c r="X278" s="96">
        <v>0</v>
      </c>
      <c r="Y278" s="96">
        <v>0</v>
      </c>
      <c r="Z278" s="96"/>
      <c r="AA278" s="96">
        <v>0</v>
      </c>
      <c r="AB278" s="96">
        <v>0</v>
      </c>
      <c r="AC278" s="96"/>
      <c r="AD278" s="96"/>
      <c r="AE278" s="96">
        <v>0</v>
      </c>
      <c r="AF278" s="96">
        <f>SUM(AG278:AG278)</f>
        <v>0</v>
      </c>
      <c r="AG278" s="96"/>
      <c r="AH278" s="96"/>
      <c r="AI278" s="96"/>
      <c r="AJ278" s="96"/>
      <c r="AK278" s="96">
        <v>0</v>
      </c>
      <c r="AL278" s="96">
        <v>0</v>
      </c>
      <c r="AM278" s="96">
        <v>0</v>
      </c>
      <c r="AN278" s="96">
        <v>0</v>
      </c>
      <c r="AO278" s="96">
        <v>0</v>
      </c>
      <c r="AP278" s="405"/>
      <c r="AQ278" s="96"/>
    </row>
    <row r="279" spans="1:43" s="266" customFormat="1" ht="16.5" hidden="1" customHeight="1" x14ac:dyDescent="0.25">
      <c r="A279" s="1359"/>
      <c r="B279" s="252" t="s">
        <v>267</v>
      </c>
      <c r="C279" s="363"/>
      <c r="D279" s="363"/>
      <c r="E279" s="363"/>
      <c r="F279" s="363"/>
      <c r="G279" s="363"/>
      <c r="H279" s="364"/>
      <c r="I279" s="1327"/>
      <c r="J279" s="258"/>
      <c r="K279" s="96"/>
      <c r="L279" s="96"/>
      <c r="M279" s="96"/>
      <c r="N279" s="96"/>
      <c r="O279" s="96"/>
      <c r="P279" s="96">
        <f>R279+T279</f>
        <v>0</v>
      </c>
      <c r="Q279" s="96">
        <f>S279+U279</f>
        <v>0</v>
      </c>
      <c r="R279" s="96">
        <v>0</v>
      </c>
      <c r="S279" s="96">
        <v>0</v>
      </c>
      <c r="T279" s="96">
        <f>U279</f>
        <v>0</v>
      </c>
      <c r="U279" s="96">
        <v>0</v>
      </c>
      <c r="V279" s="96"/>
      <c r="W279" s="96"/>
      <c r="X279" s="96"/>
      <c r="Y279" s="96"/>
      <c r="Z279" s="96"/>
      <c r="AA279" s="96">
        <f>SUM(AB279:AD279)</f>
        <v>0</v>
      </c>
      <c r="AB279" s="96"/>
      <c r="AC279" s="96">
        <v>0</v>
      </c>
      <c r="AD279" s="96">
        <v>0</v>
      </c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405"/>
      <c r="AQ279" s="96"/>
    </row>
    <row r="280" spans="1:43" ht="0.75" hidden="1" customHeight="1" x14ac:dyDescent="0.25">
      <c r="A280" s="1361"/>
      <c r="B280" s="1" t="s">
        <v>16</v>
      </c>
      <c r="C280" s="1324"/>
      <c r="D280" s="1324"/>
      <c r="E280" s="1324"/>
      <c r="F280" s="1324"/>
      <c r="G280" s="1291">
        <v>2020</v>
      </c>
      <c r="H280" s="1291">
        <v>2021</v>
      </c>
      <c r="I280" s="1328"/>
      <c r="J280" s="6">
        <f>L280</f>
        <v>89140.68</v>
      </c>
      <c r="K280" s="6"/>
      <c r="L280" s="47">
        <v>89140.68</v>
      </c>
      <c r="M280" s="47">
        <v>0</v>
      </c>
      <c r="N280" s="47">
        <v>9523.69</v>
      </c>
      <c r="O280" s="47">
        <v>22469.279999999999</v>
      </c>
      <c r="P280" s="47">
        <v>2605.9899999999998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47">
        <v>0</v>
      </c>
      <c r="X280" s="47">
        <v>0</v>
      </c>
      <c r="Y280" s="47">
        <v>0</v>
      </c>
      <c r="Z280" s="96"/>
      <c r="AA280" s="47">
        <v>0</v>
      </c>
      <c r="AB280" s="47">
        <v>0</v>
      </c>
      <c r="AC280" s="47">
        <v>0</v>
      </c>
      <c r="AD280" s="47">
        <v>0</v>
      </c>
      <c r="AE280" s="47">
        <v>0</v>
      </c>
      <c r="AF280" s="47">
        <v>0</v>
      </c>
      <c r="AG280" s="47">
        <v>0</v>
      </c>
      <c r="AH280" s="47">
        <v>0</v>
      </c>
      <c r="AI280" s="47">
        <v>0</v>
      </c>
      <c r="AJ280" s="47">
        <v>0</v>
      </c>
      <c r="AK280" s="47">
        <v>0</v>
      </c>
      <c r="AL280" s="47">
        <v>0</v>
      </c>
      <c r="AM280" s="47">
        <v>0</v>
      </c>
      <c r="AN280" s="47">
        <v>0</v>
      </c>
      <c r="AO280" s="47">
        <v>0</v>
      </c>
      <c r="AP280" s="419"/>
      <c r="AQ280" s="96"/>
    </row>
    <row r="281" spans="1:43" s="327" customFormat="1" ht="41.25" customHeight="1" x14ac:dyDescent="0.25">
      <c r="A281" s="1358" t="s">
        <v>193</v>
      </c>
      <c r="B281" s="772" t="s">
        <v>163</v>
      </c>
      <c r="C281" s="1660"/>
      <c r="D281" s="1660"/>
      <c r="E281" s="1660"/>
      <c r="F281" s="1660">
        <v>81</v>
      </c>
      <c r="G281" s="807"/>
      <c r="H281" s="807"/>
      <c r="I281" s="1326" t="s">
        <v>20</v>
      </c>
      <c r="J281" s="52">
        <f>L281</f>
        <v>5513.9</v>
      </c>
      <c r="K281" s="52"/>
      <c r="L281" s="3">
        <f t="shared" ref="L281:AA281" si="157">L282+L287</f>
        <v>5513.9</v>
      </c>
      <c r="M281" s="3">
        <f t="shared" si="157"/>
        <v>297.18</v>
      </c>
      <c r="N281" s="3">
        <f t="shared" si="157"/>
        <v>1639.85</v>
      </c>
      <c r="O281" s="3">
        <f t="shared" si="157"/>
        <v>0</v>
      </c>
      <c r="P281" s="3">
        <f t="shared" si="157"/>
        <v>0</v>
      </c>
      <c r="Q281" s="3">
        <f t="shared" si="157"/>
        <v>0</v>
      </c>
      <c r="R281" s="3">
        <f t="shared" si="157"/>
        <v>0</v>
      </c>
      <c r="S281" s="3">
        <f t="shared" si="157"/>
        <v>0</v>
      </c>
      <c r="T281" s="3">
        <f t="shared" si="157"/>
        <v>0</v>
      </c>
      <c r="U281" s="3">
        <f t="shared" si="157"/>
        <v>0</v>
      </c>
      <c r="V281" s="3">
        <f t="shared" si="157"/>
        <v>0</v>
      </c>
      <c r="W281" s="3">
        <f t="shared" si="157"/>
        <v>0</v>
      </c>
      <c r="X281" s="3">
        <f t="shared" si="157"/>
        <v>0</v>
      </c>
      <c r="Y281" s="3">
        <f t="shared" si="157"/>
        <v>0</v>
      </c>
      <c r="Z281" s="95">
        <v>0</v>
      </c>
      <c r="AA281" s="3">
        <f t="shared" si="157"/>
        <v>0</v>
      </c>
      <c r="AB281" s="3">
        <f>AB282+AB287</f>
        <v>0</v>
      </c>
      <c r="AC281" s="3">
        <f t="shared" ref="AC281:AJ281" si="158">AC282+AC287</f>
        <v>0</v>
      </c>
      <c r="AD281" s="3">
        <f t="shared" si="158"/>
        <v>0</v>
      </c>
      <c r="AE281" s="3">
        <f t="shared" si="158"/>
        <v>0</v>
      </c>
      <c r="AF281" s="3">
        <f t="shared" si="158"/>
        <v>0</v>
      </c>
      <c r="AG281" s="3">
        <f t="shared" si="158"/>
        <v>0</v>
      </c>
      <c r="AH281" s="3">
        <f t="shared" si="158"/>
        <v>0</v>
      </c>
      <c r="AI281" s="3">
        <f t="shared" si="158"/>
        <v>0</v>
      </c>
      <c r="AJ281" s="3">
        <f t="shared" si="158"/>
        <v>0</v>
      </c>
      <c r="AK281" s="3">
        <f>P281-Q281</f>
        <v>0</v>
      </c>
      <c r="AL281" s="3">
        <f>AK281</f>
        <v>0</v>
      </c>
      <c r="AM281" s="3">
        <v>0</v>
      </c>
      <c r="AN281" s="3">
        <f>AN282+AN287</f>
        <v>0</v>
      </c>
      <c r="AO281" s="3">
        <f>AO282+AO287</f>
        <v>0</v>
      </c>
      <c r="AP281" s="633" t="s">
        <v>256</v>
      </c>
      <c r="AQ281" s="95">
        <v>0</v>
      </c>
    </row>
    <row r="282" spans="1:43" ht="17.25" hidden="1" customHeight="1" x14ac:dyDescent="0.25">
      <c r="A282" s="1359"/>
      <c r="B282" s="1" t="s">
        <v>15</v>
      </c>
      <c r="C282" s="1661"/>
      <c r="D282" s="1661"/>
      <c r="E282" s="1661"/>
      <c r="F282" s="1661"/>
      <c r="G282" s="1291">
        <v>2021</v>
      </c>
      <c r="H282" s="1291">
        <v>2023</v>
      </c>
      <c r="I282" s="1327"/>
      <c r="J282" s="6">
        <f>L282</f>
        <v>594.36</v>
      </c>
      <c r="K282" s="6"/>
      <c r="L282" s="47">
        <v>594.36</v>
      </c>
      <c r="M282" s="47">
        <v>297.18</v>
      </c>
      <c r="N282" s="47">
        <v>0</v>
      </c>
      <c r="O282" s="47">
        <v>0</v>
      </c>
      <c r="P282" s="47">
        <v>0</v>
      </c>
      <c r="Q282" s="47">
        <f>SUM(Q284:Q286)</f>
        <v>0</v>
      </c>
      <c r="R282" s="47">
        <f t="shared" ref="R282:AE282" si="159">SUM(R284:R286)</f>
        <v>0</v>
      </c>
      <c r="S282" s="47">
        <f t="shared" si="159"/>
        <v>0</v>
      </c>
      <c r="T282" s="47">
        <f t="shared" si="159"/>
        <v>0</v>
      </c>
      <c r="U282" s="47">
        <f t="shared" si="159"/>
        <v>0</v>
      </c>
      <c r="V282" s="47">
        <f t="shared" si="159"/>
        <v>0</v>
      </c>
      <c r="W282" s="47">
        <f t="shared" si="159"/>
        <v>0</v>
      </c>
      <c r="X282" s="47">
        <v>0</v>
      </c>
      <c r="Y282" s="47">
        <f t="shared" si="159"/>
        <v>0</v>
      </c>
      <c r="Z282" s="96"/>
      <c r="AA282" s="47">
        <f t="shared" si="159"/>
        <v>0</v>
      </c>
      <c r="AB282" s="47">
        <f t="shared" si="159"/>
        <v>0</v>
      </c>
      <c r="AC282" s="47">
        <f t="shared" si="159"/>
        <v>0</v>
      </c>
      <c r="AD282" s="47">
        <f t="shared" si="159"/>
        <v>0</v>
      </c>
      <c r="AE282" s="47">
        <f t="shared" si="159"/>
        <v>0</v>
      </c>
      <c r="AF282" s="47">
        <f>AF286</f>
        <v>0</v>
      </c>
      <c r="AG282" s="47">
        <f>AG286</f>
        <v>0</v>
      </c>
      <c r="AH282" s="47">
        <f>AH286</f>
        <v>0</v>
      </c>
      <c r="AI282" s="47">
        <f>AI286</f>
        <v>0</v>
      </c>
      <c r="AJ282" s="47">
        <f>AJ286</f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19"/>
      <c r="AQ282" s="96"/>
    </row>
    <row r="283" spans="1:43" s="266" customFormat="1" ht="17.25" hidden="1" customHeight="1" x14ac:dyDescent="0.25">
      <c r="A283" s="1359"/>
      <c r="B283" s="102" t="s">
        <v>93</v>
      </c>
      <c r="C283" s="576"/>
      <c r="D283" s="576"/>
      <c r="E283" s="576"/>
      <c r="F283" s="576"/>
      <c r="G283" s="104"/>
      <c r="H283" s="104"/>
      <c r="I283" s="1327"/>
      <c r="J283" s="106"/>
      <c r="K283" s="106"/>
      <c r="L283" s="96"/>
      <c r="M283" s="96"/>
      <c r="N283" s="96"/>
      <c r="O283" s="96"/>
      <c r="P283" s="96">
        <f>R283</f>
        <v>0</v>
      </c>
      <c r="Q283" s="96">
        <f>S283</f>
        <v>0</v>
      </c>
      <c r="R283" s="96">
        <f>S283</f>
        <v>0</v>
      </c>
      <c r="S283" s="96">
        <v>0</v>
      </c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21"/>
      <c r="AQ283" s="96"/>
    </row>
    <row r="284" spans="1:43" s="266" customFormat="1" ht="17.25" hidden="1" customHeight="1" x14ac:dyDescent="0.25">
      <c r="A284" s="1359"/>
      <c r="B284" s="252" t="s">
        <v>225</v>
      </c>
      <c r="C284" s="363"/>
      <c r="D284" s="363"/>
      <c r="E284" s="363"/>
      <c r="F284" s="363"/>
      <c r="G284" s="363"/>
      <c r="H284" s="364"/>
      <c r="I284" s="1327"/>
      <c r="J284" s="258"/>
      <c r="K284" s="96"/>
      <c r="L284" s="96"/>
      <c r="M284" s="96"/>
      <c r="N284" s="96"/>
      <c r="O284" s="96"/>
      <c r="P284" s="47"/>
      <c r="Q284" s="96">
        <f>Y284</f>
        <v>0</v>
      </c>
      <c r="R284" s="96"/>
      <c r="S284" s="96"/>
      <c r="T284" s="96"/>
      <c r="U284" s="96"/>
      <c r="V284" s="96"/>
      <c r="W284" s="96"/>
      <c r="X284" s="96">
        <v>0</v>
      </c>
      <c r="Y284" s="96">
        <v>0</v>
      </c>
      <c r="Z284" s="96"/>
      <c r="AA284" s="96">
        <v>0</v>
      </c>
      <c r="AB284" s="96">
        <v>0</v>
      </c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405"/>
      <c r="AQ284" s="96"/>
    </row>
    <row r="285" spans="1:43" s="266" customFormat="1" ht="17.25" hidden="1" customHeight="1" x14ac:dyDescent="0.25">
      <c r="A285" s="1359"/>
      <c r="B285" s="252" t="s">
        <v>226</v>
      </c>
      <c r="C285" s="363"/>
      <c r="D285" s="363"/>
      <c r="E285" s="363"/>
      <c r="F285" s="363"/>
      <c r="G285" s="363"/>
      <c r="H285" s="364"/>
      <c r="I285" s="1327"/>
      <c r="J285" s="258"/>
      <c r="K285" s="96"/>
      <c r="L285" s="96"/>
      <c r="M285" s="96"/>
      <c r="N285" s="96"/>
      <c r="O285" s="96"/>
      <c r="P285" s="47"/>
      <c r="Q285" s="96">
        <f>S285</f>
        <v>0</v>
      </c>
      <c r="R285" s="96">
        <f>S285</f>
        <v>0</v>
      </c>
      <c r="S285" s="96">
        <v>0</v>
      </c>
      <c r="T285" s="96"/>
      <c r="U285" s="96"/>
      <c r="V285" s="96"/>
      <c r="W285" s="96"/>
      <c r="X285" s="96">
        <v>0</v>
      </c>
      <c r="Y285" s="96">
        <v>0</v>
      </c>
      <c r="Z285" s="96"/>
      <c r="AA285" s="96">
        <f>AB285</f>
        <v>0</v>
      </c>
      <c r="AB285" s="96">
        <v>0</v>
      </c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405"/>
      <c r="AQ285" s="96"/>
    </row>
    <row r="286" spans="1:43" s="266" customFormat="1" ht="17.25" hidden="1" customHeight="1" x14ac:dyDescent="0.25">
      <c r="A286" s="1359"/>
      <c r="B286" s="252" t="s">
        <v>227</v>
      </c>
      <c r="C286" s="363"/>
      <c r="D286" s="363"/>
      <c r="E286" s="363"/>
      <c r="F286" s="363"/>
      <c r="G286" s="363"/>
      <c r="H286" s="364"/>
      <c r="I286" s="1327"/>
      <c r="J286" s="258"/>
      <c r="K286" s="96"/>
      <c r="L286" s="96"/>
      <c r="M286" s="96"/>
      <c r="N286" s="96"/>
      <c r="O286" s="96"/>
      <c r="P286" s="47"/>
      <c r="Q286" s="96">
        <f>Y286</f>
        <v>0</v>
      </c>
      <c r="R286" s="96"/>
      <c r="S286" s="96"/>
      <c r="T286" s="96"/>
      <c r="U286" s="96"/>
      <c r="V286" s="96"/>
      <c r="W286" s="96"/>
      <c r="X286" s="96">
        <v>0</v>
      </c>
      <c r="Y286" s="96">
        <v>0</v>
      </c>
      <c r="Z286" s="96"/>
      <c r="AA286" s="96">
        <v>0</v>
      </c>
      <c r="AB286" s="96">
        <v>0</v>
      </c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405"/>
      <c r="AQ286" s="96"/>
    </row>
    <row r="287" spans="1:43" ht="15.75" hidden="1" customHeight="1" x14ac:dyDescent="0.25">
      <c r="A287" s="1361"/>
      <c r="B287" s="1" t="s">
        <v>32</v>
      </c>
      <c r="C287" s="1324"/>
      <c r="D287" s="1324"/>
      <c r="E287" s="1324"/>
      <c r="F287" s="1324"/>
      <c r="G287" s="1291">
        <v>2022</v>
      </c>
      <c r="H287" s="1291">
        <v>2025</v>
      </c>
      <c r="I287" s="1328"/>
      <c r="J287" s="6">
        <f>L287</f>
        <v>4919.54</v>
      </c>
      <c r="K287" s="6"/>
      <c r="L287" s="47">
        <v>4919.54</v>
      </c>
      <c r="M287" s="47">
        <v>0</v>
      </c>
      <c r="N287" s="47">
        <v>1639.85</v>
      </c>
      <c r="O287" s="47">
        <v>0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3" s="327" customFormat="1" ht="22.5" customHeight="1" x14ac:dyDescent="0.25">
      <c r="A288" s="1358" t="s">
        <v>194</v>
      </c>
      <c r="B288" s="780" t="s">
        <v>196</v>
      </c>
      <c r="C288" s="1280"/>
      <c r="D288" s="1280"/>
      <c r="E288" s="1280"/>
      <c r="F288" s="1280">
        <v>82</v>
      </c>
      <c r="G288" s="807"/>
      <c r="H288" s="807"/>
      <c r="I288" s="1326" t="s">
        <v>20</v>
      </c>
      <c r="J288" s="52">
        <f>L288</f>
        <v>12299.37</v>
      </c>
      <c r="K288" s="52"/>
      <c r="L288" s="3">
        <f>L290</f>
        <v>12299.37</v>
      </c>
      <c r="M288" s="3">
        <f t="shared" ref="M288:AO288" si="160">M290</f>
        <v>0</v>
      </c>
      <c r="N288" s="3">
        <f t="shared" si="160"/>
        <v>0</v>
      </c>
      <c r="O288" s="3">
        <f t="shared" si="160"/>
        <v>5371.98</v>
      </c>
      <c r="P288" s="3">
        <f t="shared" si="160"/>
        <v>0</v>
      </c>
      <c r="Q288" s="3">
        <f>Q289+Q290</f>
        <v>1818.26</v>
      </c>
      <c r="R288" s="3">
        <f t="shared" ref="R288:AA288" si="161">R289+R290</f>
        <v>0</v>
      </c>
      <c r="S288" s="3">
        <f t="shared" si="161"/>
        <v>0</v>
      </c>
      <c r="T288" s="3">
        <f t="shared" si="161"/>
        <v>0</v>
      </c>
      <c r="U288" s="3">
        <f t="shared" si="161"/>
        <v>0</v>
      </c>
      <c r="V288" s="3">
        <f t="shared" si="161"/>
        <v>0</v>
      </c>
      <c r="W288" s="3">
        <f t="shared" si="161"/>
        <v>0</v>
      </c>
      <c r="X288" s="3">
        <f t="shared" si="161"/>
        <v>0</v>
      </c>
      <c r="Y288" s="3">
        <f t="shared" si="161"/>
        <v>0</v>
      </c>
      <c r="Z288" s="3">
        <f t="shared" si="161"/>
        <v>0</v>
      </c>
      <c r="AA288" s="3">
        <f t="shared" si="161"/>
        <v>1870</v>
      </c>
      <c r="AB288" s="3">
        <f t="shared" si="160"/>
        <v>0</v>
      </c>
      <c r="AC288" s="3">
        <f t="shared" si="160"/>
        <v>0</v>
      </c>
      <c r="AD288" s="3">
        <f t="shared" si="160"/>
        <v>0</v>
      </c>
      <c r="AE288" s="3">
        <f t="shared" si="160"/>
        <v>0</v>
      </c>
      <c r="AF288" s="3">
        <f t="shared" si="160"/>
        <v>0</v>
      </c>
      <c r="AG288" s="3">
        <f t="shared" si="160"/>
        <v>0</v>
      </c>
      <c r="AH288" s="3">
        <f t="shared" si="160"/>
        <v>0</v>
      </c>
      <c r="AI288" s="3">
        <f t="shared" si="160"/>
        <v>0</v>
      </c>
      <c r="AJ288" s="3">
        <f t="shared" si="160"/>
        <v>0</v>
      </c>
      <c r="AK288" s="3">
        <f t="shared" si="160"/>
        <v>0</v>
      </c>
      <c r="AL288" s="3">
        <f t="shared" si="160"/>
        <v>0</v>
      </c>
      <c r="AM288" s="3">
        <f t="shared" si="160"/>
        <v>0</v>
      </c>
      <c r="AN288" s="3">
        <f t="shared" si="160"/>
        <v>0</v>
      </c>
      <c r="AO288" s="3">
        <f t="shared" si="160"/>
        <v>0</v>
      </c>
      <c r="AP288" s="834"/>
      <c r="AQ288" s="95">
        <v>0</v>
      </c>
    </row>
    <row r="289" spans="1:79" ht="15.75" customHeight="1" x14ac:dyDescent="0.25">
      <c r="A289" s="1359"/>
      <c r="B289" s="1" t="s">
        <v>39</v>
      </c>
      <c r="C289" s="1325"/>
      <c r="D289" s="1325"/>
      <c r="E289" s="1325"/>
      <c r="F289" s="1325"/>
      <c r="G289" s="1291"/>
      <c r="H289" s="1291"/>
      <c r="I289" s="1327"/>
      <c r="J289" s="6"/>
      <c r="K289" s="6"/>
      <c r="L289" s="47"/>
      <c r="M289" s="47"/>
      <c r="N289" s="47"/>
      <c r="O289" s="47"/>
      <c r="P289" s="47">
        <f>R289</f>
        <v>0</v>
      </c>
      <c r="Q289" s="47">
        <f>1205.01+613.25</f>
        <v>1818.26</v>
      </c>
      <c r="R289" s="47">
        <f>S289</f>
        <v>0</v>
      </c>
      <c r="S289" s="47">
        <v>0</v>
      </c>
      <c r="T289" s="47"/>
      <c r="U289" s="47"/>
      <c r="V289" s="47"/>
      <c r="W289" s="47"/>
      <c r="X289" s="47"/>
      <c r="Y289" s="47"/>
      <c r="Z289" s="47"/>
      <c r="AA289" s="47">
        <v>1870</v>
      </c>
      <c r="AB289" s="47">
        <v>0</v>
      </c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19"/>
      <c r="AQ289" s="47"/>
    </row>
    <row r="290" spans="1:79" ht="19.5" customHeight="1" x14ac:dyDescent="0.25">
      <c r="A290" s="1361"/>
      <c r="B290" s="1" t="s">
        <v>213</v>
      </c>
      <c r="C290" s="1324"/>
      <c r="D290" s="1324"/>
      <c r="E290" s="1324"/>
      <c r="F290" s="1324"/>
      <c r="G290" s="1291">
        <v>2024</v>
      </c>
      <c r="H290" s="1291">
        <v>2029</v>
      </c>
      <c r="I290" s="1328"/>
      <c r="J290" s="6">
        <f>L290</f>
        <v>12299.37</v>
      </c>
      <c r="K290" s="6"/>
      <c r="L290" s="47">
        <v>12299.37</v>
      </c>
      <c r="M290" s="47">
        <v>0</v>
      </c>
      <c r="N290" s="47">
        <v>0</v>
      </c>
      <c r="O290" s="47">
        <v>5371.98</v>
      </c>
      <c r="P290" s="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47">
        <v>0</v>
      </c>
      <c r="X290" s="47">
        <v>0</v>
      </c>
      <c r="Y290" s="47">
        <v>0</v>
      </c>
      <c r="Z290" s="96"/>
      <c r="AA290" s="47">
        <v>0</v>
      </c>
      <c r="AB290" s="47">
        <v>0</v>
      </c>
      <c r="AC290" s="47">
        <v>0</v>
      </c>
      <c r="AD290" s="47">
        <v>0</v>
      </c>
      <c r="AE290" s="47">
        <v>0</v>
      </c>
      <c r="AF290" s="47">
        <v>0</v>
      </c>
      <c r="AG290" s="47">
        <v>0</v>
      </c>
      <c r="AH290" s="47">
        <v>0</v>
      </c>
      <c r="AI290" s="47">
        <v>0</v>
      </c>
      <c r="AJ290" s="47">
        <v>0</v>
      </c>
      <c r="AK290" s="47">
        <v>0</v>
      </c>
      <c r="AL290" s="47">
        <v>0</v>
      </c>
      <c r="AM290" s="47">
        <v>0</v>
      </c>
      <c r="AN290" s="47">
        <v>0</v>
      </c>
      <c r="AO290" s="47">
        <v>0</v>
      </c>
      <c r="AP290" s="419"/>
      <c r="AQ290" s="96"/>
    </row>
    <row r="291" spans="1:79" s="327" customFormat="1" ht="24" customHeight="1" x14ac:dyDescent="0.25">
      <c r="A291" s="1358" t="s">
        <v>195</v>
      </c>
      <c r="B291" s="780" t="s">
        <v>197</v>
      </c>
      <c r="C291" s="1280"/>
      <c r="D291" s="1280"/>
      <c r="E291" s="1280"/>
      <c r="F291" s="1280">
        <v>83</v>
      </c>
      <c r="G291" s="807"/>
      <c r="H291" s="807"/>
      <c r="I291" s="1278"/>
      <c r="J291" s="52">
        <f>L291</f>
        <v>264150.86</v>
      </c>
      <c r="K291" s="52"/>
      <c r="L291" s="3">
        <f t="shared" ref="L291:Z291" si="162">L292+L296</f>
        <v>264150.86</v>
      </c>
      <c r="M291" s="3">
        <f t="shared" si="162"/>
        <v>263850.07</v>
      </c>
      <c r="N291" s="3">
        <f t="shared" si="162"/>
        <v>263850.07</v>
      </c>
      <c r="O291" s="3">
        <f t="shared" si="162"/>
        <v>263850.07</v>
      </c>
      <c r="P291" s="3">
        <f t="shared" si="162"/>
        <v>3.4</v>
      </c>
      <c r="Q291" s="3">
        <f t="shared" si="162"/>
        <v>99541.70541000001</v>
      </c>
      <c r="R291" s="3">
        <f t="shared" si="162"/>
        <v>21705.95</v>
      </c>
      <c r="S291" s="3">
        <f t="shared" si="162"/>
        <v>21705.95</v>
      </c>
      <c r="T291" s="3">
        <f t="shared" si="162"/>
        <v>21705.95</v>
      </c>
      <c r="U291" s="3">
        <f t="shared" si="162"/>
        <v>21709.350000000002</v>
      </c>
      <c r="V291" s="3">
        <f t="shared" si="162"/>
        <v>21705.95</v>
      </c>
      <c r="W291" s="3">
        <f t="shared" si="162"/>
        <v>21705.95</v>
      </c>
      <c r="X291" s="3">
        <f t="shared" si="162"/>
        <v>21705.95</v>
      </c>
      <c r="Y291" s="3">
        <f t="shared" si="162"/>
        <v>21705.95</v>
      </c>
      <c r="Z291" s="3">
        <f t="shared" si="162"/>
        <v>21705.95</v>
      </c>
      <c r="AA291" s="3">
        <f>AA292+AA296</f>
        <v>114314.38928</v>
      </c>
      <c r="AB291" s="3">
        <f>AB292+AB296</f>
        <v>17522.268</v>
      </c>
      <c r="AC291" s="3">
        <f>AC292+AC296</f>
        <v>17119.198000000004</v>
      </c>
      <c r="AD291" s="3">
        <f t="shared" ref="AD291:AO291" si="163">AD292</f>
        <v>63735.476889999998</v>
      </c>
      <c r="AE291" s="3">
        <f t="shared" si="163"/>
        <v>0</v>
      </c>
      <c r="AF291" s="3">
        <f t="shared" si="163"/>
        <v>0</v>
      </c>
      <c r="AG291" s="3">
        <f t="shared" si="163"/>
        <v>0</v>
      </c>
      <c r="AH291" s="3">
        <f t="shared" si="163"/>
        <v>0</v>
      </c>
      <c r="AI291" s="3">
        <f t="shared" si="163"/>
        <v>0</v>
      </c>
      <c r="AJ291" s="3">
        <f t="shared" si="163"/>
        <v>0</v>
      </c>
      <c r="AK291" s="3">
        <f t="shared" si="163"/>
        <v>0</v>
      </c>
      <c r="AL291" s="3">
        <f t="shared" si="163"/>
        <v>0</v>
      </c>
      <c r="AM291" s="3">
        <v>7.79</v>
      </c>
      <c r="AN291" s="3">
        <f t="shared" si="163"/>
        <v>0</v>
      </c>
      <c r="AO291" s="3">
        <f t="shared" si="163"/>
        <v>0</v>
      </c>
      <c r="AP291" s="834"/>
      <c r="AQ291" s="95">
        <f>116.245</f>
        <v>116.245</v>
      </c>
      <c r="AR291" s="835"/>
    </row>
    <row r="292" spans="1:79" ht="14.25" customHeight="1" x14ac:dyDescent="0.25">
      <c r="A292" s="1359"/>
      <c r="B292" s="1" t="s">
        <v>213</v>
      </c>
      <c r="C292" s="1324"/>
      <c r="D292" s="1324"/>
      <c r="E292" s="1324"/>
      <c r="F292" s="1324"/>
      <c r="G292" s="1291">
        <v>2026</v>
      </c>
      <c r="H292" s="1291">
        <v>2033</v>
      </c>
      <c r="I292" s="1291" t="s">
        <v>20</v>
      </c>
      <c r="J292" s="6">
        <f>L292</f>
        <v>300.79000000000002</v>
      </c>
      <c r="K292" s="6"/>
      <c r="L292" s="47">
        <v>300.79000000000002</v>
      </c>
      <c r="M292" s="47">
        <v>0</v>
      </c>
      <c r="N292" s="47">
        <v>0</v>
      </c>
      <c r="O292" s="47">
        <v>0</v>
      </c>
      <c r="P292" s="47">
        <v>3.4</v>
      </c>
      <c r="Q292" s="47">
        <f>SUM(Q293:Q295)</f>
        <v>133.19185999999999</v>
      </c>
      <c r="R292" s="47">
        <f t="shared" ref="R292:AA292" si="164">SUM(R293:R295)</f>
        <v>0</v>
      </c>
      <c r="S292" s="47">
        <f t="shared" si="164"/>
        <v>0</v>
      </c>
      <c r="T292" s="47">
        <f t="shared" si="164"/>
        <v>0</v>
      </c>
      <c r="U292" s="47">
        <f t="shared" si="164"/>
        <v>3.4</v>
      </c>
      <c r="V292" s="47">
        <f t="shared" si="164"/>
        <v>0</v>
      </c>
      <c r="W292" s="47">
        <f t="shared" si="164"/>
        <v>0</v>
      </c>
      <c r="X292" s="47">
        <f t="shared" si="164"/>
        <v>0</v>
      </c>
      <c r="Y292" s="47">
        <f t="shared" si="164"/>
        <v>0</v>
      </c>
      <c r="Z292" s="47">
        <f t="shared" si="164"/>
        <v>0</v>
      </c>
      <c r="AA292" s="47">
        <f t="shared" si="164"/>
        <v>133.19202999999999</v>
      </c>
      <c r="AB292" s="47">
        <v>0</v>
      </c>
      <c r="AC292" s="47">
        <v>0</v>
      </c>
      <c r="AD292" s="47">
        <f>SUM(AD293:AD296)</f>
        <v>63735.476889999998</v>
      </c>
      <c r="AE292" s="47">
        <f>SUM(AE293:AE296)</f>
        <v>0</v>
      </c>
      <c r="AF292" s="47">
        <v>0</v>
      </c>
      <c r="AG292" s="47">
        <v>0</v>
      </c>
      <c r="AH292" s="47">
        <v>0</v>
      </c>
      <c r="AI292" s="47">
        <v>0</v>
      </c>
      <c r="AJ292" s="47">
        <v>0</v>
      </c>
      <c r="AK292" s="47">
        <v>0</v>
      </c>
      <c r="AL292" s="47">
        <v>0</v>
      </c>
      <c r="AM292" s="47">
        <v>0</v>
      </c>
      <c r="AN292" s="47">
        <v>0</v>
      </c>
      <c r="AO292" s="47">
        <v>0</v>
      </c>
      <c r="AP292" s="419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00"/>
    </row>
    <row r="293" spans="1:79" s="266" customFormat="1" ht="15" hidden="1" customHeight="1" x14ac:dyDescent="0.25">
      <c r="A293" s="1664"/>
      <c r="B293" s="92" t="s">
        <v>454</v>
      </c>
      <c r="C293" s="653"/>
      <c r="D293" s="653"/>
      <c r="E293" s="653"/>
      <c r="F293" s="653"/>
      <c r="G293" s="262"/>
      <c r="H293" s="262"/>
      <c r="I293" s="368"/>
      <c r="J293" s="442"/>
      <c r="K293" s="442"/>
      <c r="L293" s="268"/>
      <c r="M293" s="268"/>
      <c r="N293" s="268"/>
      <c r="O293" s="268"/>
      <c r="P293" s="268">
        <f>R293</f>
        <v>0</v>
      </c>
      <c r="Q293" s="268">
        <v>10.39</v>
      </c>
      <c r="R293" s="268">
        <f>S293</f>
        <v>0</v>
      </c>
      <c r="S293" s="268">
        <v>0</v>
      </c>
      <c r="T293" s="268"/>
      <c r="U293" s="268"/>
      <c r="V293" s="268"/>
      <c r="W293" s="268"/>
      <c r="X293" s="268"/>
      <c r="Y293" s="268"/>
      <c r="Z293" s="268"/>
      <c r="AA293" s="96">
        <v>10.390169999999999</v>
      </c>
      <c r="AB293" s="268">
        <v>0</v>
      </c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418"/>
      <c r="AQ293" s="268"/>
      <c r="AR293" s="602"/>
      <c r="AS293" s="602"/>
      <c r="AT293" s="602"/>
      <c r="AU293" s="602"/>
      <c r="AV293" s="602"/>
      <c r="AW293" s="602"/>
      <c r="AX293" s="602"/>
      <c r="AY293" s="602"/>
      <c r="AZ293" s="602"/>
      <c r="BA293" s="602"/>
      <c r="BB293" s="602"/>
      <c r="BC293" s="602"/>
      <c r="BD293" s="602"/>
      <c r="BE293" s="602"/>
      <c r="BF293" s="602"/>
      <c r="BG293" s="602"/>
      <c r="BH293" s="602"/>
      <c r="BI293" s="602"/>
      <c r="BJ293" s="602"/>
      <c r="BK293" s="602"/>
      <c r="BL293" s="602"/>
      <c r="BM293" s="602"/>
      <c r="BN293" s="602"/>
      <c r="BO293" s="602"/>
      <c r="BP293" s="602"/>
      <c r="BQ293" s="602"/>
      <c r="BR293" s="602"/>
      <c r="BS293" s="602"/>
      <c r="BT293" s="602"/>
      <c r="BU293" s="602"/>
      <c r="BV293" s="602"/>
      <c r="BW293" s="602"/>
      <c r="BX293" s="602"/>
      <c r="BY293" s="602"/>
      <c r="BZ293" s="602"/>
      <c r="CA293" s="602"/>
    </row>
    <row r="294" spans="1:79" s="544" customFormat="1" hidden="1" x14ac:dyDescent="0.25">
      <c r="A294" s="1664"/>
      <c r="B294" s="102" t="s">
        <v>152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v>60</v>
      </c>
      <c r="R294" s="96"/>
      <c r="S294" s="96">
        <v>0</v>
      </c>
      <c r="T294" s="96"/>
      <c r="U294" s="96">
        <v>3.4</v>
      </c>
      <c r="V294" s="96"/>
      <c r="W294" s="96"/>
      <c r="X294" s="96"/>
      <c r="Y294" s="96"/>
      <c r="Z294" s="96"/>
      <c r="AA294" s="96">
        <v>60</v>
      </c>
      <c r="AB294" s="96">
        <v>0</v>
      </c>
      <c r="AC294" s="96">
        <v>3.4</v>
      </c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48" customFormat="1" ht="12.75" hidden="1" customHeight="1" x14ac:dyDescent="0.25">
      <c r="A295" s="1664"/>
      <c r="B295" s="102" t="s">
        <v>470</v>
      </c>
      <c r="C295" s="576"/>
      <c r="D295" s="576"/>
      <c r="E295" s="576"/>
      <c r="F295" s="576"/>
      <c r="G295" s="104"/>
      <c r="H295" s="104"/>
      <c r="I295" s="619"/>
      <c r="J295" s="106"/>
      <c r="K295" s="106"/>
      <c r="L295" s="96"/>
      <c r="M295" s="96"/>
      <c r="N295" s="96"/>
      <c r="O295" s="96"/>
      <c r="P295" s="96">
        <f>R295+T295</f>
        <v>0</v>
      </c>
      <c r="Q295" s="96">
        <v>62.801859999999998</v>
      </c>
      <c r="R295" s="96"/>
      <c r="S295" s="96"/>
      <c r="T295" s="96">
        <v>0</v>
      </c>
      <c r="U295" s="96">
        <v>0</v>
      </c>
      <c r="V295" s="96">
        <f>W295</f>
        <v>0</v>
      </c>
      <c r="W295" s="96">
        <v>0</v>
      </c>
      <c r="X295" s="96"/>
      <c r="Y295" s="96">
        <v>0</v>
      </c>
      <c r="Z295" s="96"/>
      <c r="AA295" s="96">
        <v>62.801859999999998</v>
      </c>
      <c r="AB295" s="96"/>
      <c r="AC295" s="96">
        <v>0</v>
      </c>
      <c r="AD295" s="96">
        <v>0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0"/>
      <c r="AS295" s="600"/>
      <c r="AT295" s="600"/>
      <c r="AU295" s="600"/>
      <c r="AV295" s="600"/>
      <c r="AW295" s="600"/>
      <c r="AX295" s="600"/>
      <c r="AY295" s="600"/>
      <c r="AZ295" s="600"/>
      <c r="BA295" s="600"/>
      <c r="BB295" s="600"/>
      <c r="BC295" s="600"/>
      <c r="BD295" s="600"/>
      <c r="BE295" s="600"/>
      <c r="BF295" s="600"/>
      <c r="BG295" s="600"/>
      <c r="BH295" s="600"/>
      <c r="BI295" s="600"/>
      <c r="BJ295" s="600"/>
      <c r="BK295" s="600"/>
      <c r="BL295" s="600"/>
      <c r="BM295" s="600"/>
      <c r="BN295" s="600"/>
      <c r="BO295" s="600"/>
      <c r="BP295" s="600"/>
      <c r="BQ295" s="600"/>
      <c r="BR295" s="600"/>
      <c r="BS295" s="600"/>
      <c r="BT295" s="600"/>
      <c r="BU295" s="600"/>
      <c r="BV295" s="600"/>
      <c r="BW295" s="600"/>
      <c r="BX295" s="600"/>
      <c r="BY295" s="600"/>
      <c r="BZ295" s="600"/>
      <c r="CA295" s="621"/>
    </row>
    <row r="296" spans="1:79" s="48" customFormat="1" ht="15.75" customHeight="1" x14ac:dyDescent="0.25">
      <c r="A296" s="1664"/>
      <c r="B296" s="1" t="s">
        <v>415</v>
      </c>
      <c r="C296" s="1325"/>
      <c r="D296" s="1325"/>
      <c r="E296" s="1325"/>
      <c r="F296" s="1325"/>
      <c r="G296" s="1291"/>
      <c r="H296" s="1291"/>
      <c r="I296" s="23" t="s">
        <v>10</v>
      </c>
      <c r="J296" s="6"/>
      <c r="K296" s="6"/>
      <c r="L296" s="47">
        <v>263850.07</v>
      </c>
      <c r="M296" s="47">
        <v>263850.07</v>
      </c>
      <c r="N296" s="47">
        <v>263850.07</v>
      </c>
      <c r="O296" s="47">
        <v>263850.07</v>
      </c>
      <c r="P296" s="47">
        <v>0</v>
      </c>
      <c r="Q296" s="47">
        <f>SUM(Q297:Q300)</f>
        <v>99408.513550000003</v>
      </c>
      <c r="R296" s="47">
        <v>21705.95</v>
      </c>
      <c r="S296" s="47">
        <v>21705.95</v>
      </c>
      <c r="T296" s="47">
        <v>21705.95</v>
      </c>
      <c r="U296" s="47">
        <v>21705.95</v>
      </c>
      <c r="V296" s="47">
        <v>21705.95</v>
      </c>
      <c r="W296" s="47">
        <v>21705.95</v>
      </c>
      <c r="X296" s="47">
        <v>21705.95</v>
      </c>
      <c r="Y296" s="47">
        <v>21705.95</v>
      </c>
      <c r="Z296" s="47">
        <v>21705.95</v>
      </c>
      <c r="AA296" s="47">
        <f>SUM(AA297:AA300)</f>
        <v>114181.19725</v>
      </c>
      <c r="AB296" s="47">
        <f t="shared" ref="AB296:AJ296" si="165">SUM(AB297:AB300)</f>
        <v>17522.268</v>
      </c>
      <c r="AC296" s="47">
        <f t="shared" si="165"/>
        <v>17119.198000000004</v>
      </c>
      <c r="AD296" s="47">
        <f t="shared" si="165"/>
        <v>63735.476889999998</v>
      </c>
      <c r="AE296" s="47">
        <f t="shared" si="165"/>
        <v>0</v>
      </c>
      <c r="AF296" s="47">
        <f t="shared" si="165"/>
        <v>0</v>
      </c>
      <c r="AG296" s="47">
        <f t="shared" si="165"/>
        <v>0</v>
      </c>
      <c r="AH296" s="47">
        <f t="shared" si="165"/>
        <v>0</v>
      </c>
      <c r="AI296" s="47">
        <f t="shared" si="165"/>
        <v>0</v>
      </c>
      <c r="AJ296" s="47">
        <f t="shared" si="165"/>
        <v>0</v>
      </c>
      <c r="AK296" s="47">
        <f>AK297</f>
        <v>0</v>
      </c>
      <c r="AL296" s="47">
        <v>0</v>
      </c>
      <c r="AM296" s="47">
        <v>0</v>
      </c>
      <c r="AN296" s="47">
        <v>0</v>
      </c>
      <c r="AO296" s="47">
        <v>0</v>
      </c>
      <c r="AP296" s="419"/>
      <c r="AQ296" s="96"/>
      <c r="AR296" s="600"/>
      <c r="AS296" s="600"/>
      <c r="AT296" s="600"/>
      <c r="AU296" s="600"/>
      <c r="AV296" s="600"/>
      <c r="AW296" s="600"/>
      <c r="AX296" s="600"/>
      <c r="AY296" s="600"/>
      <c r="AZ296" s="600"/>
      <c r="BA296" s="600"/>
      <c r="BB296" s="600"/>
      <c r="BC296" s="600"/>
      <c r="BD296" s="600"/>
      <c r="BE296" s="600"/>
      <c r="BF296" s="600"/>
      <c r="BG296" s="600"/>
      <c r="BH296" s="600"/>
      <c r="BI296" s="600"/>
      <c r="BJ296" s="600"/>
      <c r="BK296" s="600"/>
      <c r="BL296" s="600"/>
      <c r="BM296" s="600"/>
      <c r="BN296" s="600"/>
      <c r="BO296" s="600"/>
      <c r="BP296" s="600"/>
      <c r="BQ296" s="600"/>
      <c r="BR296" s="600"/>
      <c r="BS296" s="600"/>
      <c r="BT296" s="600"/>
      <c r="BU296" s="600"/>
      <c r="BV296" s="600"/>
      <c r="BW296" s="600"/>
      <c r="BX296" s="600"/>
      <c r="BY296" s="600"/>
      <c r="BZ296" s="600"/>
      <c r="CA296" s="621"/>
    </row>
    <row r="297" spans="1:79" s="544" customFormat="1" hidden="1" x14ac:dyDescent="0.25">
      <c r="A297" s="1664"/>
      <c r="B297" s="102" t="s">
        <v>304</v>
      </c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f>21662.59874+8211.12924+16706.17315+24031.27674+18770.21849</f>
        <v>89381.396359999999</v>
      </c>
      <c r="R297" s="96"/>
      <c r="S297" s="96">
        <v>17505.331999999999</v>
      </c>
      <c r="T297" s="96"/>
      <c r="U297" s="96">
        <v>17063.596000000001</v>
      </c>
      <c r="V297" s="96"/>
      <c r="W297" s="96">
        <v>63608.259890000001</v>
      </c>
      <c r="X297" s="96"/>
      <c r="Y297" s="96"/>
      <c r="Z297" s="96"/>
      <c r="AA297" s="96">
        <f>21662.59874+8211.12924+16706.17315+24031.27674+18770.21849</f>
        <v>89381.396359999999</v>
      </c>
      <c r="AB297" s="96">
        <v>17505.331999999999</v>
      </c>
      <c r="AC297" s="96">
        <v>17063.596000000001</v>
      </c>
      <c r="AD297" s="96">
        <v>63608.259890000001</v>
      </c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544" customFormat="1" hidden="1" x14ac:dyDescent="0.25">
      <c r="A298" s="1664"/>
      <c r="B298" s="102" t="s">
        <v>305</v>
      </c>
      <c r="C298" s="576"/>
      <c r="D298" s="576"/>
      <c r="E298" s="576"/>
      <c r="F298" s="576"/>
      <c r="G298" s="104"/>
      <c r="H298" s="104"/>
      <c r="I298" s="443"/>
      <c r="J298" s="106"/>
      <c r="K298" s="106"/>
      <c r="L298" s="96"/>
      <c r="M298" s="96"/>
      <c r="N298" s="96"/>
      <c r="O298" s="96"/>
      <c r="P298" s="96"/>
      <c r="Q298" s="96">
        <f>43.3252+16.42226+33.41235+48.06255+37.44108</f>
        <v>178.66344000000001</v>
      </c>
      <c r="R298" s="96"/>
      <c r="S298" s="96">
        <v>16.936</v>
      </c>
      <c r="T298" s="96"/>
      <c r="U298" s="96">
        <v>35.421999999999997</v>
      </c>
      <c r="V298" s="96"/>
      <c r="W298" s="96">
        <f>127.21652+16.78083</f>
        <v>143.99735000000001</v>
      </c>
      <c r="X298" s="96"/>
      <c r="Y298" s="96"/>
      <c r="Z298" s="96"/>
      <c r="AA298" s="96">
        <f>43.3252+16.42226+33.41235+48.06255+37.44108</f>
        <v>178.66344000000001</v>
      </c>
      <c r="AB298" s="96">
        <v>16.936</v>
      </c>
      <c r="AC298" s="96">
        <v>52.201999999999998</v>
      </c>
      <c r="AD298" s="96">
        <v>127.217</v>
      </c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421"/>
      <c r="AQ298" s="96"/>
      <c r="AR298" s="602"/>
      <c r="AS298" s="602"/>
      <c r="AT298" s="602"/>
      <c r="AU298" s="602"/>
      <c r="AV298" s="602"/>
      <c r="AW298" s="602"/>
      <c r="AX298" s="602"/>
      <c r="AY298" s="602"/>
      <c r="AZ298" s="602"/>
      <c r="BA298" s="602"/>
      <c r="BB298" s="602"/>
      <c r="BC298" s="602"/>
      <c r="BD298" s="602"/>
      <c r="BE298" s="602"/>
      <c r="BF298" s="602"/>
      <c r="BG298" s="602"/>
      <c r="BH298" s="602"/>
      <c r="BI298" s="602"/>
      <c r="BJ298" s="602"/>
      <c r="BK298" s="602"/>
      <c r="BL298" s="602"/>
      <c r="BM298" s="602"/>
      <c r="BN298" s="602"/>
      <c r="BO298" s="602"/>
      <c r="BP298" s="602"/>
      <c r="BQ298" s="602"/>
      <c r="BR298" s="602"/>
      <c r="BS298" s="602"/>
      <c r="BT298" s="602"/>
      <c r="BU298" s="602"/>
      <c r="BV298" s="602"/>
      <c r="BW298" s="602"/>
      <c r="BX298" s="602"/>
      <c r="BY298" s="602"/>
      <c r="BZ298" s="602"/>
      <c r="CA298" s="622"/>
    </row>
    <row r="299" spans="1:79" s="544" customFormat="1" hidden="1" x14ac:dyDescent="0.25">
      <c r="A299" s="1664"/>
      <c r="B299" s="102" t="s">
        <v>317</v>
      </c>
      <c r="C299" s="576"/>
      <c r="D299" s="576"/>
      <c r="E299" s="576"/>
      <c r="F299" s="576"/>
      <c r="G299" s="104"/>
      <c r="H299" s="104"/>
      <c r="I299" s="443"/>
      <c r="J299" s="106"/>
      <c r="K299" s="106"/>
      <c r="L299" s="96"/>
      <c r="M299" s="96"/>
      <c r="N299" s="96"/>
      <c r="O299" s="96"/>
      <c r="P299" s="96"/>
      <c r="Q299" s="96">
        <f>7386.34+2462.11375</f>
        <v>9848.4537500000006</v>
      </c>
      <c r="R299" s="96"/>
      <c r="S299" s="96"/>
      <c r="T299" s="96"/>
      <c r="U299" s="96">
        <v>9848.4549999999999</v>
      </c>
      <c r="V299" s="96"/>
      <c r="W299" s="96"/>
      <c r="X299" s="96"/>
      <c r="Y299" s="96"/>
      <c r="Z299" s="96"/>
      <c r="AA299" s="96">
        <f>14772.68247+9848.45498</f>
        <v>24621.137450000002</v>
      </c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421"/>
      <c r="AQ299" s="96"/>
      <c r="AR299" s="602"/>
      <c r="AS299" s="602"/>
      <c r="AT299" s="602"/>
      <c r="AU299" s="602"/>
      <c r="AV299" s="602"/>
      <c r="AW299" s="602"/>
      <c r="AX299" s="602"/>
      <c r="AY299" s="602"/>
      <c r="AZ299" s="602"/>
      <c r="BA299" s="602"/>
      <c r="BB299" s="602"/>
      <c r="BC299" s="602"/>
      <c r="BD299" s="602"/>
      <c r="BE299" s="602"/>
      <c r="BF299" s="602"/>
      <c r="BG299" s="602"/>
      <c r="BH299" s="602"/>
      <c r="BI299" s="602"/>
      <c r="BJ299" s="602"/>
      <c r="BK299" s="602"/>
      <c r="BL299" s="602"/>
      <c r="BM299" s="602"/>
      <c r="BN299" s="602"/>
      <c r="BO299" s="602"/>
      <c r="BP299" s="602"/>
      <c r="BQ299" s="602"/>
      <c r="BR299" s="602"/>
      <c r="BS299" s="602"/>
      <c r="BT299" s="602"/>
      <c r="BU299" s="602"/>
      <c r="BV299" s="602"/>
      <c r="BW299" s="602"/>
      <c r="BX299" s="602"/>
      <c r="BY299" s="602"/>
      <c r="BZ299" s="602"/>
      <c r="CA299" s="622"/>
    </row>
    <row r="300" spans="1:79" s="544" customFormat="1" hidden="1" x14ac:dyDescent="0.25">
      <c r="A300" s="1665"/>
      <c r="B300" s="102"/>
      <c r="C300" s="576"/>
      <c r="D300" s="576"/>
      <c r="E300" s="576"/>
      <c r="F300" s="576"/>
      <c r="G300" s="104"/>
      <c r="H300" s="104"/>
      <c r="I300" s="443"/>
      <c r="J300" s="106"/>
      <c r="K300" s="106"/>
      <c r="L300" s="96"/>
      <c r="M300" s="96"/>
      <c r="N300" s="96"/>
      <c r="O300" s="96"/>
      <c r="P300" s="96"/>
      <c r="Q300" s="96">
        <v>0</v>
      </c>
      <c r="R300" s="96"/>
      <c r="S300" s="96">
        <v>0</v>
      </c>
      <c r="T300" s="96"/>
      <c r="U300" s="96">
        <v>3.4</v>
      </c>
      <c r="V300" s="96"/>
      <c r="W300" s="96"/>
      <c r="X300" s="96"/>
      <c r="Y300" s="96"/>
      <c r="Z300" s="96"/>
      <c r="AA300" s="96">
        <v>0</v>
      </c>
      <c r="AB300" s="96">
        <v>0</v>
      </c>
      <c r="AC300" s="96">
        <v>3.4</v>
      </c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421"/>
      <c r="AQ300" s="96"/>
      <c r="AR300" s="602"/>
      <c r="AS300" s="602"/>
      <c r="AT300" s="602"/>
      <c r="AU300" s="602"/>
      <c r="AV300" s="602"/>
      <c r="AW300" s="602"/>
      <c r="AX300" s="602"/>
      <c r="AY300" s="602"/>
      <c r="AZ300" s="602"/>
      <c r="BA300" s="602"/>
      <c r="BB300" s="602"/>
      <c r="BC300" s="602"/>
      <c r="BD300" s="602"/>
      <c r="BE300" s="602"/>
      <c r="BF300" s="602"/>
      <c r="BG300" s="602"/>
      <c r="BH300" s="602"/>
      <c r="BI300" s="602"/>
      <c r="BJ300" s="602"/>
      <c r="BK300" s="602"/>
      <c r="BL300" s="602"/>
      <c r="BM300" s="602"/>
      <c r="BN300" s="602"/>
      <c r="BO300" s="602"/>
      <c r="BP300" s="602"/>
      <c r="BQ300" s="602"/>
      <c r="BR300" s="602"/>
      <c r="BS300" s="602"/>
      <c r="BT300" s="602"/>
      <c r="BU300" s="602"/>
      <c r="BV300" s="602"/>
      <c r="BW300" s="602"/>
      <c r="BX300" s="602"/>
      <c r="BY300" s="602"/>
      <c r="BZ300" s="602"/>
      <c r="CA300" s="622"/>
    </row>
    <row r="301" spans="1:79" s="327" customFormat="1" ht="33" customHeight="1" x14ac:dyDescent="0.25">
      <c r="A301" s="1358" t="s">
        <v>194</v>
      </c>
      <c r="B301" s="780" t="s">
        <v>393</v>
      </c>
      <c r="C301" s="1280"/>
      <c r="D301" s="1280"/>
      <c r="E301" s="1280"/>
      <c r="F301" s="1280">
        <v>82</v>
      </c>
      <c r="G301" s="807"/>
      <c r="H301" s="807"/>
      <c r="I301" s="1326" t="s">
        <v>20</v>
      </c>
      <c r="J301" s="52">
        <f>L301</f>
        <v>12299.37</v>
      </c>
      <c r="K301" s="52"/>
      <c r="L301" s="3">
        <f>L303</f>
        <v>12299.37</v>
      </c>
      <c r="M301" s="3">
        <f t="shared" ref="M301:Y301" si="166">M303</f>
        <v>0</v>
      </c>
      <c r="N301" s="3">
        <f t="shared" si="166"/>
        <v>0</v>
      </c>
      <c r="O301" s="3">
        <f t="shared" si="166"/>
        <v>5371.98</v>
      </c>
      <c r="P301" s="3">
        <f>P302+P303</f>
        <v>2400.44</v>
      </c>
      <c r="Q301" s="3">
        <f t="shared" si="166"/>
        <v>0</v>
      </c>
      <c r="R301" s="3">
        <f t="shared" si="166"/>
        <v>0</v>
      </c>
      <c r="S301" s="3">
        <f t="shared" si="166"/>
        <v>0</v>
      </c>
      <c r="T301" s="3">
        <f t="shared" si="166"/>
        <v>0</v>
      </c>
      <c r="U301" s="3">
        <f t="shared" si="166"/>
        <v>0</v>
      </c>
      <c r="V301" s="3">
        <f t="shared" si="166"/>
        <v>0</v>
      </c>
      <c r="W301" s="3">
        <f t="shared" si="166"/>
        <v>0</v>
      </c>
      <c r="X301" s="3">
        <f t="shared" si="166"/>
        <v>0</v>
      </c>
      <c r="Y301" s="3">
        <f t="shared" si="166"/>
        <v>0</v>
      </c>
      <c r="Z301" s="95">
        <v>0</v>
      </c>
      <c r="AA301" s="3">
        <f t="shared" ref="AA301:AO301" si="167">AA303</f>
        <v>0</v>
      </c>
      <c r="AB301" s="3">
        <f t="shared" si="167"/>
        <v>0</v>
      </c>
      <c r="AC301" s="3">
        <f t="shared" si="167"/>
        <v>0</v>
      </c>
      <c r="AD301" s="3">
        <f t="shared" si="167"/>
        <v>0</v>
      </c>
      <c r="AE301" s="3">
        <f t="shared" si="167"/>
        <v>0</v>
      </c>
      <c r="AF301" s="3">
        <f t="shared" si="167"/>
        <v>0</v>
      </c>
      <c r="AG301" s="3">
        <f t="shared" si="167"/>
        <v>0</v>
      </c>
      <c r="AH301" s="3">
        <f t="shared" si="167"/>
        <v>0</v>
      </c>
      <c r="AI301" s="3">
        <f t="shared" si="167"/>
        <v>0</v>
      </c>
      <c r="AJ301" s="3">
        <f t="shared" si="167"/>
        <v>0</v>
      </c>
      <c r="AK301" s="3">
        <f t="shared" si="167"/>
        <v>0</v>
      </c>
      <c r="AL301" s="3">
        <f t="shared" si="167"/>
        <v>0</v>
      </c>
      <c r="AM301" s="3">
        <f t="shared" si="167"/>
        <v>0</v>
      </c>
      <c r="AN301" s="3">
        <f t="shared" si="167"/>
        <v>0</v>
      </c>
      <c r="AO301" s="3">
        <f t="shared" si="167"/>
        <v>0</v>
      </c>
      <c r="AP301" s="834"/>
      <c r="AQ301" s="95">
        <v>0</v>
      </c>
    </row>
    <row r="302" spans="1:79" ht="15.75" customHeight="1" x14ac:dyDescent="0.25">
      <c r="A302" s="1359"/>
      <c r="B302" s="1" t="s">
        <v>39</v>
      </c>
      <c r="C302" s="1325"/>
      <c r="D302" s="1325"/>
      <c r="E302" s="1325"/>
      <c r="F302" s="1325"/>
      <c r="G302" s="1291"/>
      <c r="H302" s="1291"/>
      <c r="I302" s="1327"/>
      <c r="J302" s="6"/>
      <c r="K302" s="6"/>
      <c r="L302" s="47"/>
      <c r="M302" s="47"/>
      <c r="N302" s="47"/>
      <c r="O302" s="47"/>
      <c r="P302" s="47">
        <v>2400.44</v>
      </c>
      <c r="Q302" s="47">
        <f>S302</f>
        <v>0</v>
      </c>
      <c r="R302" s="47">
        <f>S302</f>
        <v>0</v>
      </c>
      <c r="S302" s="47">
        <v>0</v>
      </c>
      <c r="T302" s="47"/>
      <c r="U302" s="47"/>
      <c r="V302" s="47"/>
      <c r="W302" s="47"/>
      <c r="X302" s="47"/>
      <c r="Y302" s="47"/>
      <c r="Z302" s="47"/>
      <c r="AA302" s="47">
        <v>0</v>
      </c>
      <c r="AB302" s="47">
        <v>0</v>
      </c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19"/>
      <c r="AQ302" s="47"/>
    </row>
    <row r="303" spans="1:79" ht="18.75" customHeight="1" x14ac:dyDescent="0.25">
      <c r="A303" s="1361"/>
      <c r="B303" s="1" t="s">
        <v>213</v>
      </c>
      <c r="C303" s="1324"/>
      <c r="D303" s="1324"/>
      <c r="E303" s="1324"/>
      <c r="F303" s="1324"/>
      <c r="G303" s="1291">
        <v>2024</v>
      </c>
      <c r="H303" s="1291">
        <v>2029</v>
      </c>
      <c r="I303" s="1328"/>
      <c r="J303" s="6">
        <f>L303</f>
        <v>12299.37</v>
      </c>
      <c r="K303" s="6"/>
      <c r="L303" s="47">
        <v>12299.37</v>
      </c>
      <c r="M303" s="47">
        <v>0</v>
      </c>
      <c r="N303" s="47">
        <v>0</v>
      </c>
      <c r="O303" s="47">
        <v>5371.98</v>
      </c>
      <c r="P303" s="47">
        <v>0</v>
      </c>
      <c r="Q303" s="47">
        <v>0</v>
      </c>
      <c r="R303" s="47">
        <v>0</v>
      </c>
      <c r="S303" s="47">
        <v>0</v>
      </c>
      <c r="T303" s="47">
        <v>0</v>
      </c>
      <c r="U303" s="47">
        <v>0</v>
      </c>
      <c r="V303" s="47">
        <v>0</v>
      </c>
      <c r="W303" s="47">
        <v>0</v>
      </c>
      <c r="X303" s="47">
        <v>0</v>
      </c>
      <c r="Y303" s="47">
        <v>0</v>
      </c>
      <c r="Z303" s="96"/>
      <c r="AA303" s="47">
        <v>0</v>
      </c>
      <c r="AB303" s="47">
        <v>0</v>
      </c>
      <c r="AC303" s="47">
        <v>0</v>
      </c>
      <c r="AD303" s="47">
        <v>0</v>
      </c>
      <c r="AE303" s="47">
        <v>0</v>
      </c>
      <c r="AF303" s="47">
        <v>0</v>
      </c>
      <c r="AG303" s="47">
        <v>0</v>
      </c>
      <c r="AH303" s="47">
        <v>0</v>
      </c>
      <c r="AI303" s="47">
        <v>0</v>
      </c>
      <c r="AJ303" s="47">
        <v>0</v>
      </c>
      <c r="AK303" s="47">
        <v>0</v>
      </c>
      <c r="AL303" s="47">
        <v>0</v>
      </c>
      <c r="AM303" s="47">
        <v>0</v>
      </c>
      <c r="AN303" s="47">
        <v>0</v>
      </c>
      <c r="AO303" s="47">
        <v>0</v>
      </c>
      <c r="AP303" s="419"/>
      <c r="AQ303" s="96"/>
    </row>
    <row r="304" spans="1:79" ht="15.75" hidden="1" x14ac:dyDescent="0.25">
      <c r="B304" s="623" t="s">
        <v>96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97</v>
      </c>
      <c r="U304" s="623"/>
      <c r="V304" s="623"/>
      <c r="W304" s="623"/>
      <c r="AB304" s="623" t="s">
        <v>97</v>
      </c>
      <c r="AO304" s="623"/>
      <c r="AP304" s="623"/>
    </row>
    <row r="305" spans="1:43" ht="15.75" hidden="1" x14ac:dyDescent="0.25">
      <c r="B305" s="623"/>
      <c r="C305" s="623"/>
      <c r="D305" s="623"/>
      <c r="E305" s="623"/>
      <c r="F305" s="623"/>
      <c r="G305" s="623"/>
      <c r="H305" s="623"/>
      <c r="I305" s="623"/>
      <c r="J305" s="623"/>
      <c r="K305" s="623"/>
      <c r="L305" s="623"/>
      <c r="M305" s="623"/>
      <c r="N305" s="623"/>
      <c r="O305" s="623"/>
      <c r="P305" s="624"/>
      <c r="Q305" s="623"/>
      <c r="S305" s="623"/>
      <c r="T305" s="623"/>
      <c r="U305" s="623"/>
      <c r="AB305" s="623"/>
      <c r="AC305" s="626" t="s">
        <v>98</v>
      </c>
      <c r="AD305" s="623"/>
      <c r="AE305" s="623"/>
      <c r="AF305" s="623"/>
      <c r="AG305" s="623"/>
      <c r="AH305" s="623"/>
      <c r="AI305" s="623"/>
      <c r="AJ305" s="623"/>
      <c r="AK305" s="623"/>
      <c r="AL305" s="623"/>
      <c r="AM305" s="623" t="s">
        <v>99</v>
      </c>
      <c r="AN305" s="623"/>
      <c r="AO305" s="623"/>
      <c r="AP305" s="623"/>
    </row>
    <row r="306" spans="1:43" ht="15.75" hidden="1" x14ac:dyDescent="0.25">
      <c r="B306" s="623"/>
      <c r="C306" s="623"/>
      <c r="D306" s="623"/>
      <c r="E306" s="623"/>
      <c r="F306" s="623"/>
      <c r="G306" s="623"/>
      <c r="H306" s="623"/>
      <c r="I306" s="623"/>
      <c r="J306" s="623"/>
      <c r="K306" s="623"/>
      <c r="L306" s="623"/>
      <c r="M306" s="623"/>
      <c r="N306" s="623"/>
      <c r="O306" s="623"/>
      <c r="P306" s="624"/>
      <c r="Q306" s="623"/>
      <c r="S306" s="623"/>
      <c r="T306" s="623"/>
      <c r="W306" s="623" t="s">
        <v>98</v>
      </c>
      <c r="AB306" s="623"/>
      <c r="AD306" s="623"/>
      <c r="AE306" s="623"/>
      <c r="AF306" s="623"/>
      <c r="AG306" s="623"/>
      <c r="AH306" s="623"/>
      <c r="AI306" s="623"/>
      <c r="AJ306" s="623"/>
      <c r="AK306" s="623"/>
      <c r="AL306" s="623"/>
      <c r="AM306" s="623"/>
      <c r="AN306" s="623"/>
      <c r="AO306" s="623"/>
      <c r="AP306" s="623"/>
    </row>
    <row r="307" spans="1:43" ht="15.75" hidden="1" x14ac:dyDescent="0.25">
      <c r="B307" s="623" t="s">
        <v>94</v>
      </c>
      <c r="C307" s="623"/>
      <c r="D307" s="623"/>
      <c r="E307" s="623"/>
      <c r="F307" s="623"/>
      <c r="G307" s="623"/>
      <c r="H307" s="623"/>
      <c r="I307" s="623"/>
      <c r="J307" s="623"/>
      <c r="K307" s="623"/>
      <c r="L307" s="623"/>
      <c r="M307" s="623"/>
      <c r="N307" s="623"/>
      <c r="O307" s="623"/>
      <c r="P307" s="624"/>
      <c r="Q307" s="623"/>
      <c r="S307" s="623"/>
      <c r="T307" s="623" t="s">
        <v>95</v>
      </c>
      <c r="W307" s="623"/>
      <c r="AB307" s="623" t="s">
        <v>95</v>
      </c>
      <c r="AC307" s="626" t="s">
        <v>100</v>
      </c>
      <c r="AD307" s="623"/>
      <c r="AE307" s="623"/>
      <c r="AF307" s="623"/>
      <c r="AG307" s="623"/>
      <c r="AH307" s="623"/>
      <c r="AI307" s="623"/>
      <c r="AJ307" s="623"/>
      <c r="AK307" s="623"/>
      <c r="AL307" s="623"/>
      <c r="AM307" s="623" t="s">
        <v>101</v>
      </c>
      <c r="AN307" s="623"/>
    </row>
    <row r="308" spans="1:43" ht="15.75" hidden="1" x14ac:dyDescent="0.25">
      <c r="W308" s="623"/>
      <c r="AJ308" s="623"/>
    </row>
    <row r="309" spans="1:43" ht="15.75" hidden="1" x14ac:dyDescent="0.25">
      <c r="W309" s="623" t="s">
        <v>100</v>
      </c>
      <c r="AJ309" s="623" t="s">
        <v>101</v>
      </c>
    </row>
    <row r="310" spans="1:43" s="624" customFormat="1" ht="4.5" hidden="1" customHeight="1" x14ac:dyDescent="0.25">
      <c r="B310" s="624" t="s">
        <v>242</v>
      </c>
      <c r="T310" s="624" t="s">
        <v>151</v>
      </c>
      <c r="X310" s="627"/>
      <c r="Y310" s="627"/>
      <c r="Z310" s="627"/>
      <c r="AB310" s="624" t="s">
        <v>151</v>
      </c>
      <c r="AP310" s="628"/>
      <c r="AQ310" s="627"/>
    </row>
    <row r="311" spans="1:43" s="327" customFormat="1" ht="29.25" customHeight="1" x14ac:dyDescent="0.25">
      <c r="A311" s="1358" t="s">
        <v>194</v>
      </c>
      <c r="B311" s="780" t="s">
        <v>394</v>
      </c>
      <c r="C311" s="1280"/>
      <c r="D311" s="1280"/>
      <c r="E311" s="1280"/>
      <c r="F311" s="1280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68">M313</f>
        <v>0</v>
      </c>
      <c r="N311" s="3">
        <f t="shared" si="168"/>
        <v>0</v>
      </c>
      <c r="O311" s="3">
        <f t="shared" si="168"/>
        <v>5371.98</v>
      </c>
      <c r="P311" s="3">
        <f>P312+P313</f>
        <v>2804.27</v>
      </c>
      <c r="Q311" s="3">
        <f t="shared" si="168"/>
        <v>0</v>
      </c>
      <c r="R311" s="3">
        <f t="shared" si="168"/>
        <v>0</v>
      </c>
      <c r="S311" s="3">
        <f t="shared" si="168"/>
        <v>0</v>
      </c>
      <c r="T311" s="3">
        <f t="shared" si="168"/>
        <v>0</v>
      </c>
      <c r="U311" s="3">
        <f t="shared" si="168"/>
        <v>0</v>
      </c>
      <c r="V311" s="3">
        <f t="shared" si="168"/>
        <v>0</v>
      </c>
      <c r="W311" s="3">
        <f t="shared" si="168"/>
        <v>0</v>
      </c>
      <c r="X311" s="3">
        <f t="shared" si="168"/>
        <v>0</v>
      </c>
      <c r="Y311" s="3">
        <f t="shared" si="168"/>
        <v>0</v>
      </c>
      <c r="Z311" s="95">
        <v>0</v>
      </c>
      <c r="AA311" s="3">
        <f t="shared" ref="AA311:AO311" si="169">AA313</f>
        <v>0</v>
      </c>
      <c r="AB311" s="3">
        <f t="shared" si="169"/>
        <v>0</v>
      </c>
      <c r="AC311" s="3">
        <f t="shared" si="169"/>
        <v>0</v>
      </c>
      <c r="AD311" s="3">
        <f t="shared" si="169"/>
        <v>0</v>
      </c>
      <c r="AE311" s="3">
        <f t="shared" si="169"/>
        <v>0</v>
      </c>
      <c r="AF311" s="3">
        <f t="shared" si="169"/>
        <v>0</v>
      </c>
      <c r="AG311" s="3">
        <f t="shared" si="169"/>
        <v>0</v>
      </c>
      <c r="AH311" s="3">
        <f t="shared" si="169"/>
        <v>0</v>
      </c>
      <c r="AI311" s="3">
        <f t="shared" si="169"/>
        <v>0</v>
      </c>
      <c r="AJ311" s="3">
        <f t="shared" si="169"/>
        <v>0</v>
      </c>
      <c r="AK311" s="3">
        <f t="shared" si="169"/>
        <v>0</v>
      </c>
      <c r="AL311" s="3">
        <f t="shared" si="169"/>
        <v>0</v>
      </c>
      <c r="AM311" s="3">
        <f t="shared" si="169"/>
        <v>0</v>
      </c>
      <c r="AN311" s="3">
        <f t="shared" si="169"/>
        <v>0</v>
      </c>
      <c r="AO311" s="3">
        <f t="shared" si="169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1325"/>
      <c r="D312" s="1325"/>
      <c r="E312" s="1325"/>
      <c r="F312" s="1325"/>
      <c r="G312" s="1291"/>
      <c r="H312" s="1291"/>
      <c r="I312" s="1327"/>
      <c r="J312" s="6"/>
      <c r="K312" s="6"/>
      <c r="L312" s="47"/>
      <c r="M312" s="47"/>
      <c r="N312" s="47"/>
      <c r="O312" s="47"/>
      <c r="P312" s="47">
        <v>2804.27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1324"/>
      <c r="D313" s="1324"/>
      <c r="E313" s="1324"/>
      <c r="F313" s="1324"/>
      <c r="G313" s="1291">
        <v>2024</v>
      </c>
      <c r="H313" s="1291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  <row r="314" spans="1:43" s="327" customFormat="1" ht="29.25" customHeight="1" x14ac:dyDescent="0.25">
      <c r="A314" s="1358" t="s">
        <v>194</v>
      </c>
      <c r="B314" s="780" t="s">
        <v>459</v>
      </c>
      <c r="C314" s="1280"/>
      <c r="D314" s="1280"/>
      <c r="E314" s="1280"/>
      <c r="F314" s="1280">
        <v>82</v>
      </c>
      <c r="G314" s="807"/>
      <c r="H314" s="807"/>
      <c r="I314" s="1326" t="s">
        <v>20</v>
      </c>
      <c r="J314" s="52">
        <f>L314</f>
        <v>12299.37</v>
      </c>
      <c r="K314" s="52"/>
      <c r="L314" s="3">
        <f>L316</f>
        <v>12299.37</v>
      </c>
      <c r="M314" s="3">
        <f t="shared" ref="M314:Y314" si="170">M316</f>
        <v>0</v>
      </c>
      <c r="N314" s="3">
        <f t="shared" si="170"/>
        <v>0</v>
      </c>
      <c r="O314" s="3">
        <f t="shared" si="170"/>
        <v>5371.98</v>
      </c>
      <c r="P314" s="3">
        <f>P315+P316</f>
        <v>377.92</v>
      </c>
      <c r="Q314" s="3">
        <f t="shared" si="170"/>
        <v>0</v>
      </c>
      <c r="R314" s="3">
        <f t="shared" si="170"/>
        <v>0</v>
      </c>
      <c r="S314" s="3">
        <f t="shared" si="170"/>
        <v>0</v>
      </c>
      <c r="T314" s="3">
        <f t="shared" si="170"/>
        <v>0</v>
      </c>
      <c r="U314" s="3">
        <f t="shared" si="170"/>
        <v>0</v>
      </c>
      <c r="V314" s="3">
        <f t="shared" si="170"/>
        <v>0</v>
      </c>
      <c r="W314" s="3">
        <f t="shared" si="170"/>
        <v>0</v>
      </c>
      <c r="X314" s="3">
        <f t="shared" si="170"/>
        <v>0</v>
      </c>
      <c r="Y314" s="3">
        <f t="shared" si="170"/>
        <v>0</v>
      </c>
      <c r="Z314" s="95">
        <v>0</v>
      </c>
      <c r="AA314" s="3">
        <f t="shared" ref="AA314:AO314" si="171">AA316</f>
        <v>0</v>
      </c>
      <c r="AB314" s="3">
        <f t="shared" si="171"/>
        <v>0</v>
      </c>
      <c r="AC314" s="3">
        <f t="shared" si="171"/>
        <v>0</v>
      </c>
      <c r="AD314" s="3">
        <f t="shared" si="171"/>
        <v>0</v>
      </c>
      <c r="AE314" s="3">
        <f t="shared" si="171"/>
        <v>0</v>
      </c>
      <c r="AF314" s="3">
        <f t="shared" si="171"/>
        <v>0</v>
      </c>
      <c r="AG314" s="3">
        <f t="shared" si="171"/>
        <v>0</v>
      </c>
      <c r="AH314" s="3">
        <f t="shared" si="171"/>
        <v>0</v>
      </c>
      <c r="AI314" s="3">
        <f t="shared" si="171"/>
        <v>0</v>
      </c>
      <c r="AJ314" s="3">
        <f t="shared" si="171"/>
        <v>0</v>
      </c>
      <c r="AK314" s="3">
        <f t="shared" si="171"/>
        <v>0</v>
      </c>
      <c r="AL314" s="3">
        <f t="shared" si="171"/>
        <v>0</v>
      </c>
      <c r="AM314" s="3">
        <f t="shared" si="171"/>
        <v>0</v>
      </c>
      <c r="AN314" s="3">
        <f t="shared" si="171"/>
        <v>0</v>
      </c>
      <c r="AO314" s="3">
        <f t="shared" si="171"/>
        <v>0</v>
      </c>
      <c r="AP314" s="834"/>
      <c r="AQ314" s="95">
        <v>0</v>
      </c>
    </row>
    <row r="315" spans="1:43" ht="15.75" customHeight="1" x14ac:dyDescent="0.25">
      <c r="A315" s="1359"/>
      <c r="B315" s="1" t="s">
        <v>39</v>
      </c>
      <c r="C315" s="1325"/>
      <c r="D315" s="1325"/>
      <c r="E315" s="1325"/>
      <c r="F315" s="1325"/>
      <c r="G315" s="1291"/>
      <c r="H315" s="1291"/>
      <c r="I315" s="1327"/>
      <c r="J315" s="6"/>
      <c r="K315" s="6"/>
      <c r="L315" s="47"/>
      <c r="M315" s="47"/>
      <c r="N315" s="47"/>
      <c r="O315" s="47"/>
      <c r="P315" s="47">
        <v>377.92</v>
      </c>
      <c r="Q315" s="47">
        <f>S315</f>
        <v>0</v>
      </c>
      <c r="R315" s="47">
        <f>S315</f>
        <v>0</v>
      </c>
      <c r="S315" s="47">
        <v>0</v>
      </c>
      <c r="T315" s="47"/>
      <c r="U315" s="47"/>
      <c r="V315" s="47"/>
      <c r="W315" s="47"/>
      <c r="X315" s="47"/>
      <c r="Y315" s="47"/>
      <c r="Z315" s="47"/>
      <c r="AA315" s="47">
        <v>0</v>
      </c>
      <c r="AB315" s="47">
        <v>0</v>
      </c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19"/>
      <c r="AQ315" s="47"/>
    </row>
    <row r="316" spans="1:43" ht="19.5" customHeight="1" x14ac:dyDescent="0.25">
      <c r="A316" s="1361"/>
      <c r="B316" s="1" t="s">
        <v>213</v>
      </c>
      <c r="C316" s="1324"/>
      <c r="D316" s="1324"/>
      <c r="E316" s="1324"/>
      <c r="F316" s="1324"/>
      <c r="G316" s="1291">
        <v>2024</v>
      </c>
      <c r="H316" s="1291">
        <v>2029</v>
      </c>
      <c r="I316" s="1328"/>
      <c r="J316" s="6">
        <f>L316</f>
        <v>12299.37</v>
      </c>
      <c r="K316" s="6"/>
      <c r="L316" s="47">
        <v>12299.37</v>
      </c>
      <c r="M316" s="47">
        <v>0</v>
      </c>
      <c r="N316" s="47">
        <v>0</v>
      </c>
      <c r="O316" s="47">
        <v>5371.98</v>
      </c>
      <c r="P316" s="47">
        <v>0</v>
      </c>
      <c r="Q316" s="47">
        <v>0</v>
      </c>
      <c r="R316" s="47">
        <v>0</v>
      </c>
      <c r="S316" s="47">
        <v>0</v>
      </c>
      <c r="T316" s="47">
        <v>0</v>
      </c>
      <c r="U316" s="47">
        <v>0</v>
      </c>
      <c r="V316" s="47">
        <v>0</v>
      </c>
      <c r="W316" s="47">
        <v>0</v>
      </c>
      <c r="X316" s="47">
        <v>0</v>
      </c>
      <c r="Y316" s="47">
        <v>0</v>
      </c>
      <c r="Z316" s="96"/>
      <c r="AA316" s="47">
        <v>0</v>
      </c>
      <c r="AB316" s="47">
        <v>0</v>
      </c>
      <c r="AC316" s="47">
        <v>0</v>
      </c>
      <c r="AD316" s="47">
        <v>0</v>
      </c>
      <c r="AE316" s="47">
        <v>0</v>
      </c>
      <c r="AF316" s="47">
        <v>0</v>
      </c>
      <c r="AG316" s="47">
        <v>0</v>
      </c>
      <c r="AH316" s="47">
        <v>0</v>
      </c>
      <c r="AI316" s="47">
        <v>0</v>
      </c>
      <c r="AJ316" s="47">
        <v>0</v>
      </c>
      <c r="AK316" s="47">
        <v>0</v>
      </c>
      <c r="AL316" s="47">
        <v>0</v>
      </c>
      <c r="AM316" s="47">
        <v>0</v>
      </c>
      <c r="AN316" s="47">
        <v>0</v>
      </c>
      <c r="AO316" s="47">
        <v>0</v>
      </c>
      <c r="AP316" s="419"/>
      <c r="AQ316" s="96"/>
    </row>
  </sheetData>
  <mergeCells count="199">
    <mergeCell ref="A1:AP1"/>
    <mergeCell ref="E3:F3"/>
    <mergeCell ref="M3:O3"/>
    <mergeCell ref="R3:S3"/>
    <mergeCell ref="T3:U3"/>
    <mergeCell ref="V3:W3"/>
    <mergeCell ref="X3:Y3"/>
    <mergeCell ref="AF3:AJ3"/>
    <mergeCell ref="AL3:AO3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I68:I71"/>
    <mergeCell ref="J68:J71"/>
    <mergeCell ref="A79:A82"/>
    <mergeCell ref="B79:H82"/>
    <mergeCell ref="A83:A84"/>
    <mergeCell ref="I83:I84"/>
    <mergeCell ref="A65:A67"/>
    <mergeCell ref="B65:H67"/>
    <mergeCell ref="A68:A71"/>
    <mergeCell ref="C68:C71"/>
    <mergeCell ref="D68:D71"/>
    <mergeCell ref="E68:E71"/>
    <mergeCell ref="F68:F71"/>
    <mergeCell ref="A97:A99"/>
    <mergeCell ref="I97:I98"/>
    <mergeCell ref="A100:A101"/>
    <mergeCell ref="I100:I101"/>
    <mergeCell ref="A103:A108"/>
    <mergeCell ref="I103:I108"/>
    <mergeCell ref="C87:C92"/>
    <mergeCell ref="D87:D92"/>
    <mergeCell ref="E87:E92"/>
    <mergeCell ref="F87:F92"/>
    <mergeCell ref="I87:I92"/>
    <mergeCell ref="A94:A96"/>
    <mergeCell ref="I94:I95"/>
    <mergeCell ref="A121:A125"/>
    <mergeCell ref="I121:I125"/>
    <mergeCell ref="A126:A127"/>
    <mergeCell ref="I126:I127"/>
    <mergeCell ref="A129:A132"/>
    <mergeCell ref="B129:H132"/>
    <mergeCell ref="A109:A113"/>
    <mergeCell ref="I109:I113"/>
    <mergeCell ref="A114:A115"/>
    <mergeCell ref="I114:I115"/>
    <mergeCell ref="A117:A120"/>
    <mergeCell ref="I117:I120"/>
    <mergeCell ref="A151:A155"/>
    <mergeCell ref="I151:I155"/>
    <mergeCell ref="J151:J155"/>
    <mergeCell ref="A158:H162"/>
    <mergeCell ref="A163:A166"/>
    <mergeCell ref="B163:H166"/>
    <mergeCell ref="A141:A145"/>
    <mergeCell ref="I141:I145"/>
    <mergeCell ref="J141:J145"/>
    <mergeCell ref="A146:A150"/>
    <mergeCell ref="I146:I150"/>
    <mergeCell ref="J146:J150"/>
    <mergeCell ref="H167:H168"/>
    <mergeCell ref="I167:I168"/>
    <mergeCell ref="J167:J168"/>
    <mergeCell ref="K167:K168"/>
    <mergeCell ref="A170:A173"/>
    <mergeCell ref="F170:F173"/>
    <mergeCell ref="I170:I173"/>
    <mergeCell ref="A167:A168"/>
    <mergeCell ref="C167:C168"/>
    <mergeCell ref="D167:D168"/>
    <mergeCell ref="E167:E168"/>
    <mergeCell ref="F167:F168"/>
    <mergeCell ref="G167:G168"/>
    <mergeCell ref="K174:K175"/>
    <mergeCell ref="A183:A184"/>
    <mergeCell ref="I183:I184"/>
    <mergeCell ref="A174:A175"/>
    <mergeCell ref="C174:C175"/>
    <mergeCell ref="D174:D175"/>
    <mergeCell ref="E174:E175"/>
    <mergeCell ref="F174:F175"/>
    <mergeCell ref="G174:G175"/>
    <mergeCell ref="A187:A188"/>
    <mergeCell ref="I187:I188"/>
    <mergeCell ref="A190:A191"/>
    <mergeCell ref="I190:I191"/>
    <mergeCell ref="A207:A210"/>
    <mergeCell ref="B207:H210"/>
    <mergeCell ref="H174:H175"/>
    <mergeCell ref="I174:I175"/>
    <mergeCell ref="J174:J175"/>
    <mergeCell ref="J211:J215"/>
    <mergeCell ref="A216:A217"/>
    <mergeCell ref="I216:I217"/>
    <mergeCell ref="I222:I223"/>
    <mergeCell ref="I228:I229"/>
    <mergeCell ref="I230:I231"/>
    <mergeCell ref="A211:A215"/>
    <mergeCell ref="C211:C215"/>
    <mergeCell ref="D211:D215"/>
    <mergeCell ref="E211:E215"/>
    <mergeCell ref="F211:F215"/>
    <mergeCell ref="I211:I215"/>
    <mergeCell ref="H241:H244"/>
    <mergeCell ref="I241:I244"/>
    <mergeCell ref="J241:J244"/>
    <mergeCell ref="A248:A251"/>
    <mergeCell ref="B248:H251"/>
    <mergeCell ref="A252:A254"/>
    <mergeCell ref="I252:I253"/>
    <mergeCell ref="I232:I233"/>
    <mergeCell ref="A234:A237"/>
    <mergeCell ref="B234:H237"/>
    <mergeCell ref="I238:I239"/>
    <mergeCell ref="A241:A244"/>
    <mergeCell ref="C241:C244"/>
    <mergeCell ref="D241:D244"/>
    <mergeCell ref="E241:E244"/>
    <mergeCell ref="F241:F244"/>
    <mergeCell ref="G241:G244"/>
    <mergeCell ref="I270:I271"/>
    <mergeCell ref="J270:J271"/>
    <mergeCell ref="A272:A275"/>
    <mergeCell ref="C272:C273"/>
    <mergeCell ref="D272:D273"/>
    <mergeCell ref="E272:E273"/>
    <mergeCell ref="F272:F273"/>
    <mergeCell ref="I272:I275"/>
    <mergeCell ref="A255:A259"/>
    <mergeCell ref="I255:I259"/>
    <mergeCell ref="A260:A261"/>
    <mergeCell ref="I260:I261"/>
    <mergeCell ref="I267:I268"/>
    <mergeCell ref="A270:A271"/>
    <mergeCell ref="C270:C271"/>
    <mergeCell ref="D270:D271"/>
    <mergeCell ref="E270:E271"/>
    <mergeCell ref="F270:F271"/>
    <mergeCell ref="A281:A287"/>
    <mergeCell ref="C281:C282"/>
    <mergeCell ref="D281:D282"/>
    <mergeCell ref="E281:E282"/>
    <mergeCell ref="F281:F282"/>
    <mergeCell ref="I281:I287"/>
    <mergeCell ref="A276:A280"/>
    <mergeCell ref="C276:C277"/>
    <mergeCell ref="D276:D277"/>
    <mergeCell ref="E276:E277"/>
    <mergeCell ref="F276:F277"/>
    <mergeCell ref="I276:I280"/>
    <mergeCell ref="A314:A316"/>
    <mergeCell ref="I314:I316"/>
    <mergeCell ref="A288:A290"/>
    <mergeCell ref="I288:I290"/>
    <mergeCell ref="A291:A300"/>
    <mergeCell ref="A301:A303"/>
    <mergeCell ref="I301:I303"/>
    <mergeCell ref="A311:A313"/>
    <mergeCell ref="I311:I313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6" max="16383" man="1"/>
    <brk id="254" max="16383" man="1"/>
  </rowBreaks>
  <colBreaks count="1" manualBreakCount="1">
    <brk id="4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"/>
  <sheetViews>
    <sheetView zoomScale="150" zoomScaleNormal="150" zoomScaleSheetLayoutView="140" workbookViewId="0">
      <selection activeCell="AF5" sqref="AF5"/>
    </sheetView>
  </sheetViews>
  <sheetFormatPr defaultRowHeight="15" x14ac:dyDescent="0.25"/>
  <cols>
    <col min="1" max="1" width="5" style="285" customWidth="1"/>
    <col min="2" max="2" width="67.85546875" style="285" customWidth="1"/>
    <col min="3" max="3" width="12.140625" style="285" customWidth="1"/>
    <col min="4" max="4" width="15.140625" style="285" customWidth="1"/>
    <col min="5" max="5" width="17.7109375" style="285" customWidth="1"/>
    <col min="6" max="6" width="17.42578125" style="285" customWidth="1"/>
    <col min="7" max="7" width="12.140625" style="285" hidden="1" customWidth="1"/>
    <col min="8" max="8" width="13.140625" style="285" hidden="1" customWidth="1"/>
    <col min="9" max="9" width="10.5703125" style="285" hidden="1" customWidth="1"/>
    <col min="10" max="10" width="12.42578125" style="285" hidden="1" customWidth="1"/>
    <col min="11" max="11" width="11.42578125" style="285" hidden="1" customWidth="1"/>
    <col min="12" max="12" width="10.42578125" style="285" hidden="1" customWidth="1"/>
    <col min="13" max="13" width="12.140625" style="266" hidden="1" customWidth="1"/>
    <col min="14" max="14" width="11.140625" style="266" hidden="1" customWidth="1"/>
    <col min="15" max="15" width="22.28515625" style="285" hidden="1" customWidth="1"/>
    <col min="16" max="17" width="11" style="285" hidden="1" customWidth="1"/>
    <col min="18" max="18" width="9.42578125" style="285" hidden="1" customWidth="1"/>
    <col min="19" max="20" width="11" style="285" hidden="1" customWidth="1"/>
    <col min="21" max="21" width="8" style="285" hidden="1" customWidth="1"/>
    <col min="22" max="22" width="10" style="285" hidden="1" customWidth="1"/>
    <col min="23" max="23" width="11.28515625" style="285" hidden="1" customWidth="1"/>
    <col min="24" max="24" width="10" style="285" hidden="1" customWidth="1"/>
    <col min="25" max="25" width="11.5703125" style="285" hidden="1" customWidth="1"/>
    <col min="26" max="26" width="11.140625" style="285" hidden="1" customWidth="1"/>
    <col min="27" max="27" width="8.5703125" style="285" hidden="1" customWidth="1"/>
    <col min="28" max="28" width="7.28515625" style="285" hidden="1" customWidth="1"/>
    <col min="29" max="29" width="6.28515625" style="285" hidden="1" customWidth="1"/>
    <col min="30" max="30" width="11.5703125" style="625" hidden="1" customWidth="1"/>
    <col min="31" max="16384" width="9.140625" style="285"/>
  </cols>
  <sheetData>
    <row r="1" spans="1:31" s="631" customFormat="1" ht="64.5" customHeight="1" x14ac:dyDescent="0.25">
      <c r="A1" s="1591" t="s">
        <v>330</v>
      </c>
      <c r="B1" s="1591"/>
      <c r="C1" s="1591"/>
      <c r="D1" s="1591"/>
      <c r="E1" s="1591"/>
      <c r="F1" s="1592"/>
      <c r="G1" s="1592"/>
      <c r="H1" s="1592"/>
      <c r="I1" s="1592"/>
      <c r="J1" s="1592"/>
      <c r="K1" s="1592"/>
      <c r="L1" s="1592"/>
      <c r="M1" s="1592"/>
      <c r="N1" s="1592"/>
      <c r="O1" s="1592"/>
      <c r="P1" s="1592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</row>
    <row r="2" spans="1:31" s="600" customFormat="1" ht="20.25" x14ac:dyDescent="0.25">
      <c r="A2" s="601"/>
      <c r="B2" s="601"/>
      <c r="C2" s="601"/>
      <c r="D2" s="601"/>
      <c r="E2" s="601"/>
      <c r="M2" s="602"/>
      <c r="N2" s="602"/>
      <c r="AD2" s="603"/>
    </row>
    <row r="3" spans="1:31" ht="21.75" customHeight="1" x14ac:dyDescent="0.25">
      <c r="A3" s="1390" t="s">
        <v>3</v>
      </c>
      <c r="B3" s="1390" t="s">
        <v>4</v>
      </c>
      <c r="C3" s="1666" t="s">
        <v>338</v>
      </c>
      <c r="D3" s="1667"/>
      <c r="E3" s="1668"/>
      <c r="F3" s="1390" t="s">
        <v>331</v>
      </c>
      <c r="G3" s="1504"/>
      <c r="H3" s="1505"/>
      <c r="I3" s="1508"/>
      <c r="J3" s="1590"/>
      <c r="K3" s="1508"/>
      <c r="L3" s="1590"/>
      <c r="M3" s="1504"/>
      <c r="N3" s="1505"/>
      <c r="O3" s="658"/>
      <c r="P3" s="658"/>
      <c r="Q3" s="658"/>
      <c r="R3" s="658"/>
      <c r="S3" s="658"/>
      <c r="T3" s="1508" t="s">
        <v>307</v>
      </c>
      <c r="U3" s="1515"/>
      <c r="V3" s="1515"/>
      <c r="W3" s="1515"/>
      <c r="X3" s="1669"/>
      <c r="Y3" s="659" t="s">
        <v>73</v>
      </c>
      <c r="Z3" s="1587" t="s">
        <v>74</v>
      </c>
      <c r="AA3" s="1588"/>
      <c r="AB3" s="1588"/>
      <c r="AC3" s="1589"/>
      <c r="AD3" s="604" t="s">
        <v>75</v>
      </c>
      <c r="AE3" s="620"/>
    </row>
    <row r="4" spans="1:31" ht="23.25" customHeight="1" x14ac:dyDescent="0.25">
      <c r="A4" s="1349"/>
      <c r="B4" s="1349"/>
      <c r="C4" s="658" t="s">
        <v>332</v>
      </c>
      <c r="D4" s="658" t="s">
        <v>333</v>
      </c>
      <c r="E4" s="658" t="s">
        <v>334</v>
      </c>
      <c r="F4" s="1349"/>
      <c r="G4" s="656"/>
      <c r="H4" s="657"/>
      <c r="I4" s="658"/>
      <c r="J4" s="662"/>
      <c r="K4" s="658"/>
      <c r="L4" s="662"/>
      <c r="M4" s="656"/>
      <c r="N4" s="657"/>
      <c r="O4" s="658"/>
      <c r="P4" s="658"/>
      <c r="Q4" s="658"/>
      <c r="R4" s="658"/>
      <c r="S4" s="658"/>
      <c r="T4" s="658"/>
      <c r="U4" s="660"/>
      <c r="V4" s="660"/>
      <c r="W4" s="660"/>
      <c r="X4" s="663"/>
      <c r="Y4" s="659"/>
      <c r="Z4" s="664"/>
      <c r="AA4" s="665"/>
      <c r="AB4" s="665"/>
      <c r="AC4" s="666"/>
      <c r="AD4" s="604"/>
      <c r="AE4" s="600"/>
    </row>
    <row r="5" spans="1:31" ht="15.75" x14ac:dyDescent="0.25">
      <c r="A5" s="605">
        <v>1</v>
      </c>
      <c r="B5" s="605">
        <v>2</v>
      </c>
      <c r="C5" s="667"/>
      <c r="D5" s="667"/>
      <c r="E5" s="667"/>
      <c r="F5" s="606"/>
      <c r="G5" s="661"/>
      <c r="H5" s="661"/>
      <c r="I5" s="606"/>
      <c r="J5" s="606"/>
      <c r="K5" s="606"/>
      <c r="L5" s="606"/>
      <c r="M5" s="661"/>
      <c r="N5" s="661"/>
      <c r="O5" s="606"/>
      <c r="P5" s="606">
        <v>10</v>
      </c>
      <c r="Q5" s="606">
        <v>17</v>
      </c>
      <c r="R5" s="606">
        <v>18</v>
      </c>
      <c r="S5" s="606">
        <v>16</v>
      </c>
      <c r="T5" s="606">
        <v>11</v>
      </c>
      <c r="U5" s="606">
        <v>12</v>
      </c>
      <c r="V5" s="606">
        <v>19</v>
      </c>
      <c r="W5" s="606">
        <v>20</v>
      </c>
      <c r="X5" s="606">
        <v>18</v>
      </c>
      <c r="Y5" s="606">
        <v>13</v>
      </c>
      <c r="Z5" s="606">
        <v>14</v>
      </c>
      <c r="AA5" s="606">
        <v>15</v>
      </c>
      <c r="AB5" s="606">
        <v>16</v>
      </c>
      <c r="AC5" s="606">
        <v>17</v>
      </c>
      <c r="AD5" s="606">
        <v>18</v>
      </c>
    </row>
    <row r="6" spans="1:31" ht="27.75" customHeight="1" x14ac:dyDescent="0.25">
      <c r="A6" s="655">
        <v>1</v>
      </c>
      <c r="B6" s="1" t="s">
        <v>28</v>
      </c>
      <c r="C6" s="668" t="s">
        <v>340</v>
      </c>
      <c r="D6" s="669" t="s">
        <v>341</v>
      </c>
      <c r="E6" s="669" t="s">
        <v>341</v>
      </c>
      <c r="F6" s="668">
        <f>591.34*1.2</f>
        <v>709.60800000000006</v>
      </c>
      <c r="G6" s="71"/>
      <c r="H6" s="71"/>
      <c r="I6" s="71"/>
      <c r="J6" s="71"/>
      <c r="K6" s="71"/>
      <c r="L6" s="71"/>
      <c r="M6" s="71"/>
      <c r="N6" s="71"/>
      <c r="O6" s="71"/>
      <c r="P6" s="71" t="e">
        <f>#REF!</f>
        <v>#REF!</v>
      </c>
      <c r="Q6" s="71" t="e">
        <f>#REF!</f>
        <v>#REF!</v>
      </c>
      <c r="R6" s="71" t="e">
        <f>#REF!</f>
        <v>#REF!</v>
      </c>
      <c r="S6" s="71" t="e">
        <f>#REF!</f>
        <v>#REF!</v>
      </c>
      <c r="T6" s="71" t="e">
        <f>#REF!</f>
        <v>#REF!</v>
      </c>
      <c r="U6" s="71" t="e">
        <f>#REF!</f>
        <v>#REF!</v>
      </c>
      <c r="V6" s="71" t="e">
        <f>#REF!</f>
        <v>#REF!</v>
      </c>
      <c r="W6" s="71" t="e">
        <f>#REF!</f>
        <v>#REF!</v>
      </c>
      <c r="X6" s="71" t="e">
        <f>#REF!</f>
        <v>#REF!</v>
      </c>
      <c r="Y6" s="47" t="e">
        <f>C6-F6</f>
        <v>#VALUE!</v>
      </c>
      <c r="Z6" s="47" t="e">
        <f>Y6</f>
        <v>#VALUE!</v>
      </c>
      <c r="AA6" s="71" t="e">
        <f>#REF!</f>
        <v>#REF!</v>
      </c>
      <c r="AB6" s="71" t="e">
        <f>#REF!</f>
        <v>#REF!</v>
      </c>
      <c r="AC6" s="71" t="e">
        <f>#REF!</f>
        <v>#REF!</v>
      </c>
      <c r="AD6" s="613"/>
    </row>
    <row r="7" spans="1:31" ht="21.75" customHeight="1" x14ac:dyDescent="0.25">
      <c r="A7" s="655" t="s">
        <v>337</v>
      </c>
      <c r="B7" s="1" t="s">
        <v>173</v>
      </c>
      <c r="C7" s="668" t="s">
        <v>335</v>
      </c>
      <c r="D7" s="668" t="s">
        <v>339</v>
      </c>
      <c r="E7" s="668" t="s">
        <v>336</v>
      </c>
      <c r="F7" s="668">
        <f>2036.47*1.2</f>
        <v>2443.7640000000001</v>
      </c>
      <c r="G7" s="47"/>
      <c r="H7" s="47"/>
      <c r="I7" s="47"/>
      <c r="J7" s="47"/>
      <c r="K7" s="47"/>
      <c r="L7" s="47"/>
      <c r="M7" s="47"/>
      <c r="N7" s="47"/>
      <c r="O7" s="47"/>
      <c r="P7" s="47" t="e">
        <f>#REF!+#REF!</f>
        <v>#REF!</v>
      </c>
      <c r="Q7" s="47" t="e">
        <f>#REF!+#REF!</f>
        <v>#REF!</v>
      </c>
      <c r="R7" s="47" t="e">
        <f>#REF!+#REF!</f>
        <v>#REF!</v>
      </c>
      <c r="S7" s="47" t="e">
        <f>#REF!+#REF!</f>
        <v>#REF!</v>
      </c>
      <c r="T7" s="47" t="e">
        <f>#REF!+#REF!</f>
        <v>#REF!</v>
      </c>
      <c r="U7" s="47" t="e">
        <f>#REF!+#REF!</f>
        <v>#REF!</v>
      </c>
      <c r="V7" s="47" t="e">
        <f>#REF!+#REF!</f>
        <v>#REF!</v>
      </c>
      <c r="W7" s="47" t="e">
        <f>#REF!+#REF!</f>
        <v>#REF!</v>
      </c>
      <c r="X7" s="47" t="e">
        <f>#REF!+#REF!</f>
        <v>#REF!</v>
      </c>
      <c r="Y7" s="47" t="e">
        <f>C7-F7</f>
        <v>#VALUE!</v>
      </c>
      <c r="Z7" s="47" t="e">
        <f>Y7</f>
        <v>#VALUE!</v>
      </c>
      <c r="AA7" s="4" t="e">
        <f>ROUND((F7*100%/C7*100),2)</f>
        <v>#VALUE!</v>
      </c>
      <c r="AB7" s="47" t="e">
        <f>#REF!+#REF!</f>
        <v>#REF!</v>
      </c>
      <c r="AC7" s="47" t="e">
        <f>#REF!+#REF!</f>
        <v>#REF!</v>
      </c>
      <c r="AD7" s="397" t="s">
        <v>245</v>
      </c>
    </row>
    <row r="8" spans="1:31" ht="15.75" x14ac:dyDescent="0.25">
      <c r="B8" s="623"/>
      <c r="C8" s="624"/>
      <c r="D8" s="624"/>
      <c r="E8" s="624"/>
      <c r="F8" s="623"/>
      <c r="G8" s="624"/>
      <c r="H8" s="624"/>
      <c r="I8" s="623"/>
      <c r="J8" s="623"/>
      <c r="K8" s="623"/>
      <c r="L8" s="623"/>
    </row>
    <row r="9" spans="1:31" s="626" customFormat="1" ht="15.75" x14ac:dyDescent="0.25">
      <c r="F9" s="623"/>
      <c r="H9" s="623"/>
      <c r="I9" s="623"/>
      <c r="J9" s="623"/>
      <c r="M9" s="629"/>
      <c r="N9" s="629"/>
      <c r="AD9" s="630"/>
    </row>
    <row r="10" spans="1:31" s="626" customFormat="1" ht="15.75" x14ac:dyDescent="0.25">
      <c r="F10" s="623"/>
      <c r="H10" s="623"/>
      <c r="I10" s="623"/>
      <c r="J10" s="623"/>
      <c r="M10" s="629"/>
      <c r="N10" s="629"/>
      <c r="AD10" s="630"/>
    </row>
    <row r="11" spans="1:31" s="626" customFormat="1" ht="15.75" x14ac:dyDescent="0.25">
      <c r="C11" s="624"/>
      <c r="D11" s="624"/>
      <c r="E11" s="624"/>
      <c r="F11" s="623"/>
      <c r="H11" s="623"/>
      <c r="I11" s="623"/>
      <c r="J11" s="623"/>
      <c r="M11" s="629"/>
      <c r="N11" s="629"/>
      <c r="AD11" s="630"/>
    </row>
    <row r="12" spans="1:31" ht="15.75" x14ac:dyDescent="0.25">
      <c r="I12" s="623"/>
      <c r="J12" s="623"/>
    </row>
  </sheetData>
  <mergeCells count="11">
    <mergeCell ref="A3:A4"/>
    <mergeCell ref="B3:B4"/>
    <mergeCell ref="C3:E3"/>
    <mergeCell ref="A1:AD1"/>
    <mergeCell ref="G3:H3"/>
    <mergeCell ref="I3:J3"/>
    <mergeCell ref="K3:L3"/>
    <mergeCell ref="M3:N3"/>
    <mergeCell ref="T3:X3"/>
    <mergeCell ref="Z3:AC3"/>
    <mergeCell ref="F3:F4"/>
  </mergeCells>
  <pageMargins left="0" right="0" top="0.19685039370078741" bottom="0.15748031496062992" header="0.31496062992125984" footer="0.31496062992125984"/>
  <pageSetup paperSize="9" scale="105" fitToHeight="10" orientation="landscape" r:id="rId1"/>
  <colBreaks count="1" manualBreakCount="1">
    <brk id="3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7" sqref="F7"/>
    </sheetView>
  </sheetViews>
  <sheetFormatPr defaultRowHeight="18.75" x14ac:dyDescent="0.3"/>
  <cols>
    <col min="1" max="16384" width="9.140625" style="261"/>
  </cols>
  <sheetData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Z381"/>
  <sheetViews>
    <sheetView tabSelected="1" view="pageBreakPreview" topLeftCell="A8" zoomScaleNormal="140" zoomScaleSheetLayoutView="100" workbookViewId="0">
      <pane xSplit="16" ySplit="5" topLeftCell="Q257" activePane="bottomRight" state="frozen"/>
      <selection activeCell="A8" sqref="A8"/>
      <selection pane="topRight" activeCell="Q8" sqref="Q8"/>
      <selection pane="bottomLeft" activeCell="A13" sqref="A13"/>
      <selection pane="bottomRight" activeCell="P94" sqref="P94"/>
    </sheetView>
  </sheetViews>
  <sheetFormatPr defaultRowHeight="15" x14ac:dyDescent="0.25"/>
  <cols>
    <col min="1" max="1" width="7.140625" style="12" customWidth="1"/>
    <col min="2" max="2" width="26.5703125" style="12" customWidth="1"/>
    <col min="3" max="3" width="10" style="12" hidden="1" customWidth="1"/>
    <col min="4" max="4" width="12" style="12" hidden="1" customWidth="1"/>
    <col min="5" max="5" width="9.42578125" style="12" hidden="1" customWidth="1"/>
    <col min="6" max="6" width="11" style="12" hidden="1" customWidth="1"/>
    <col min="7" max="7" width="10.28515625" style="12" hidden="1" customWidth="1"/>
    <col min="8" max="8" width="10.5703125" style="12" hidden="1" customWidth="1"/>
    <col min="9" max="9" width="13.140625" style="12" customWidth="1"/>
    <col min="10" max="10" width="16.140625" style="12" hidden="1" customWidth="1"/>
    <col min="11" max="11" width="13.140625" style="12" hidden="1" customWidth="1"/>
    <col min="12" max="12" width="13.28515625" style="12" customWidth="1"/>
    <col min="13" max="13" width="12.140625" style="12" hidden="1" customWidth="1"/>
    <col min="14" max="14" width="11.7109375" style="12" hidden="1" customWidth="1"/>
    <col min="15" max="15" width="14.42578125" style="12" hidden="1" customWidth="1"/>
    <col min="16" max="16" width="11.28515625" style="12" customWidth="1"/>
    <col min="17" max="17" width="11.5703125" style="12" bestFit="1" customWidth="1"/>
    <col min="18" max="18" width="12.140625" style="12" hidden="1" customWidth="1"/>
    <col min="19" max="19" width="13.140625" style="12" hidden="1" customWidth="1"/>
    <col min="20" max="20" width="11.7109375" style="12" hidden="1" customWidth="1"/>
    <col min="21" max="21" width="12.42578125" style="12" hidden="1" customWidth="1"/>
    <col min="22" max="22" width="11.42578125" style="12" hidden="1" customWidth="1"/>
    <col min="23" max="23" width="10.42578125" style="12" hidden="1" customWidth="1"/>
    <col min="24" max="24" width="12.140625" style="97" customWidth="1"/>
    <col min="25" max="25" width="11.140625" style="97" customWidth="1"/>
    <col min="26" max="26" width="11.5703125" style="12" customWidth="1"/>
    <col min="27" max="28" width="11" style="12" hidden="1" customWidth="1"/>
    <col min="29" max="29" width="10.28515625" style="12" hidden="1" customWidth="1"/>
    <col min="30" max="30" width="11" style="12" customWidth="1"/>
    <col min="31" max="31" width="10.28515625" style="12" customWidth="1"/>
    <col min="32" max="32" width="8" style="12" hidden="1" customWidth="1"/>
    <col min="33" max="33" width="10" style="12" hidden="1" customWidth="1"/>
    <col min="34" max="34" width="11.28515625" style="12" hidden="1" customWidth="1"/>
    <col min="35" max="35" width="12.42578125" style="12" customWidth="1"/>
    <col min="36" max="36" width="11.5703125" style="12" customWidth="1"/>
    <col min="37" max="37" width="11.140625" style="12" customWidth="1"/>
    <col min="38" max="38" width="8.5703125" style="12" customWidth="1"/>
    <col min="39" max="39" width="7.28515625" style="12" customWidth="1"/>
    <col min="40" max="40" width="6.28515625" style="12" customWidth="1"/>
    <col min="41" max="41" width="11.5703125" style="414" customWidth="1"/>
    <col min="42" max="16384" width="9.140625" style="12"/>
  </cols>
  <sheetData>
    <row r="3" spans="1:41" s="26" customFormat="1" ht="45" customHeight="1" x14ac:dyDescent="0.25">
      <c r="A3" s="1388" t="s">
        <v>481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8"/>
      <c r="M3" s="1388"/>
      <c r="N3" s="1388"/>
      <c r="O3" s="1388"/>
      <c r="P3" s="1388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  <c r="AD3" s="1389"/>
      <c r="AE3" s="1389"/>
      <c r="AF3" s="1389"/>
      <c r="AG3" s="1389"/>
      <c r="AH3" s="1389"/>
      <c r="AI3" s="1389"/>
      <c r="AJ3" s="1389"/>
      <c r="AK3" s="1389"/>
      <c r="AL3" s="1389"/>
      <c r="AM3" s="1389"/>
      <c r="AN3" s="1389"/>
      <c r="AO3" s="1389"/>
    </row>
    <row r="4" spans="1:41" s="26" customFormat="1" ht="20.25" x14ac:dyDescent="0.3">
      <c r="A4" s="320"/>
      <c r="B4" s="88"/>
      <c r="C4" s="88"/>
      <c r="D4" s="88"/>
      <c r="E4" s="88"/>
      <c r="F4" s="88"/>
      <c r="G4" s="88"/>
      <c r="H4" s="88"/>
      <c r="I4" s="88"/>
      <c r="J4" s="88"/>
      <c r="K4" s="88"/>
      <c r="L4" s="843"/>
      <c r="M4" s="88"/>
      <c r="N4" s="88"/>
      <c r="O4" s="88"/>
      <c r="P4" s="843"/>
      <c r="X4" s="154"/>
      <c r="Y4" s="154"/>
      <c r="AO4" s="838" t="s">
        <v>241</v>
      </c>
    </row>
    <row r="5" spans="1:41" s="26" customFormat="1" ht="16.5" customHeight="1" x14ac:dyDescent="0.3">
      <c r="A5" s="320"/>
      <c r="B5" s="88"/>
      <c r="C5" s="88"/>
      <c r="D5" s="88"/>
      <c r="E5" s="88"/>
      <c r="F5" s="88"/>
      <c r="G5" s="88"/>
      <c r="H5" s="88"/>
      <c r="I5" s="88"/>
      <c r="J5" s="88"/>
      <c r="K5" s="88"/>
      <c r="L5" s="843"/>
      <c r="M5" s="88"/>
      <c r="N5" s="88"/>
      <c r="O5" s="88"/>
      <c r="P5" s="843"/>
      <c r="X5" s="154"/>
      <c r="Y5" s="154"/>
      <c r="AO5" s="838" t="s">
        <v>309</v>
      </c>
    </row>
    <row r="6" spans="1:41" s="26" customFormat="1" ht="20.25" x14ac:dyDescent="0.3">
      <c r="A6" s="320"/>
      <c r="B6" s="88"/>
      <c r="C6" s="88"/>
      <c r="D6" s="88"/>
      <c r="E6" s="88"/>
      <c r="F6" s="88"/>
      <c r="G6" s="88"/>
      <c r="H6" s="88"/>
      <c r="I6" s="88"/>
      <c r="J6" s="88"/>
      <c r="K6" s="88"/>
      <c r="L6" s="843"/>
      <c r="M6" s="88"/>
      <c r="N6" s="88"/>
      <c r="O6" s="88"/>
      <c r="P6" s="843"/>
      <c r="X6" s="154"/>
      <c r="Y6" s="154"/>
      <c r="AO6" s="839" t="s">
        <v>422</v>
      </c>
    </row>
    <row r="7" spans="1:41" s="26" customFormat="1" ht="20.25" x14ac:dyDescent="0.25">
      <c r="A7" s="320"/>
      <c r="B7" s="88"/>
      <c r="C7" s="88"/>
      <c r="D7" s="88"/>
      <c r="E7" s="88"/>
      <c r="F7" s="88"/>
      <c r="G7" s="88"/>
      <c r="H7" s="88"/>
      <c r="I7" s="88"/>
      <c r="J7" s="88"/>
      <c r="K7" s="88"/>
      <c r="L7" s="843"/>
      <c r="M7" s="250"/>
      <c r="N7" s="88"/>
      <c r="O7" s="88"/>
      <c r="P7" s="843"/>
      <c r="X7" s="154"/>
      <c r="Y7" s="154"/>
      <c r="AO7" s="391" t="s">
        <v>92</v>
      </c>
    </row>
    <row r="8" spans="1:41" ht="50.25" customHeight="1" x14ac:dyDescent="0.25">
      <c r="A8" s="1455" t="s">
        <v>3</v>
      </c>
      <c r="B8" s="1455" t="s">
        <v>4</v>
      </c>
      <c r="C8" s="1456" t="s">
        <v>6</v>
      </c>
      <c r="D8" s="1456" t="s">
        <v>14</v>
      </c>
      <c r="E8" s="1459" t="s">
        <v>5</v>
      </c>
      <c r="F8" s="1460"/>
      <c r="G8" s="1456" t="s">
        <v>1</v>
      </c>
      <c r="H8" s="1456" t="s">
        <v>2</v>
      </c>
      <c r="I8" s="1456" t="s">
        <v>0</v>
      </c>
      <c r="J8" s="1456" t="s">
        <v>51</v>
      </c>
      <c r="K8" s="1456" t="s">
        <v>52</v>
      </c>
      <c r="L8" s="1390" t="s">
        <v>353</v>
      </c>
      <c r="M8" s="1530" t="s">
        <v>8</v>
      </c>
      <c r="N8" s="1531"/>
      <c r="O8" s="1532"/>
      <c r="P8" s="1500" t="s">
        <v>425</v>
      </c>
      <c r="Q8" s="1501"/>
      <c r="R8" s="1504" t="s">
        <v>306</v>
      </c>
      <c r="S8" s="1505"/>
      <c r="T8" s="1500" t="s">
        <v>68</v>
      </c>
      <c r="U8" s="1501"/>
      <c r="V8" s="1508" t="s">
        <v>320</v>
      </c>
      <c r="W8" s="1509"/>
      <c r="X8" s="1504" t="s">
        <v>70</v>
      </c>
      <c r="Y8" s="1505"/>
      <c r="Z8" s="1508" t="s">
        <v>308</v>
      </c>
      <c r="AA8" s="1515"/>
      <c r="AB8" s="1515"/>
      <c r="AC8" s="1515"/>
      <c r="AD8" s="1516"/>
      <c r="AE8" s="1500" t="s">
        <v>307</v>
      </c>
      <c r="AF8" s="1520"/>
      <c r="AG8" s="1520"/>
      <c r="AH8" s="1520"/>
      <c r="AI8" s="1521"/>
      <c r="AJ8" s="1512" t="s">
        <v>73</v>
      </c>
      <c r="AK8" s="1525" t="s">
        <v>74</v>
      </c>
      <c r="AL8" s="1526"/>
      <c r="AM8" s="1526"/>
      <c r="AN8" s="1527"/>
      <c r="AO8" s="1495" t="s">
        <v>75</v>
      </c>
    </row>
    <row r="9" spans="1:41" ht="15.75" customHeight="1" x14ac:dyDescent="0.25">
      <c r="A9" s="1455"/>
      <c r="B9" s="1455"/>
      <c r="C9" s="1457"/>
      <c r="D9" s="1457"/>
      <c r="E9" s="1461"/>
      <c r="F9" s="1462"/>
      <c r="G9" s="1457"/>
      <c r="H9" s="1457"/>
      <c r="I9" s="1457"/>
      <c r="J9" s="1457"/>
      <c r="K9" s="1457"/>
      <c r="L9" s="1356"/>
      <c r="M9" s="492" t="s">
        <v>86</v>
      </c>
      <c r="N9" s="1513" t="s">
        <v>254</v>
      </c>
      <c r="O9" s="1528">
        <v>2021</v>
      </c>
      <c r="P9" s="1502"/>
      <c r="Q9" s="1503"/>
      <c r="R9" s="1506"/>
      <c r="S9" s="1507"/>
      <c r="T9" s="1502"/>
      <c r="U9" s="1503"/>
      <c r="V9" s="1510"/>
      <c r="W9" s="1511"/>
      <c r="X9" s="1506"/>
      <c r="Y9" s="1507"/>
      <c r="Z9" s="1517"/>
      <c r="AA9" s="1518"/>
      <c r="AB9" s="1518"/>
      <c r="AC9" s="1518"/>
      <c r="AD9" s="1519"/>
      <c r="AE9" s="1522"/>
      <c r="AF9" s="1523"/>
      <c r="AG9" s="1523"/>
      <c r="AH9" s="1523"/>
      <c r="AI9" s="1524"/>
      <c r="AJ9" s="1513"/>
      <c r="AK9" s="1498" t="s">
        <v>76</v>
      </c>
      <c r="AL9" s="1498" t="s">
        <v>77</v>
      </c>
      <c r="AM9" s="1499" t="s">
        <v>78</v>
      </c>
      <c r="AN9" s="1499"/>
      <c r="AO9" s="1496"/>
    </row>
    <row r="10" spans="1:41" ht="33" customHeight="1" x14ac:dyDescent="0.25">
      <c r="A10" s="1455"/>
      <c r="B10" s="1455"/>
      <c r="C10" s="1458"/>
      <c r="D10" s="1458"/>
      <c r="E10" s="13" t="s">
        <v>64</v>
      </c>
      <c r="F10" s="13" t="s">
        <v>65</v>
      </c>
      <c r="G10" s="1458"/>
      <c r="H10" s="1458"/>
      <c r="I10" s="1458"/>
      <c r="J10" s="1458"/>
      <c r="K10" s="1458"/>
      <c r="L10" s="1349"/>
      <c r="M10" s="491" t="s">
        <v>90</v>
      </c>
      <c r="N10" s="1514"/>
      <c r="O10" s="1529"/>
      <c r="P10" s="445" t="s">
        <v>79</v>
      </c>
      <c r="Q10" s="62" t="s">
        <v>80</v>
      </c>
      <c r="R10" s="359" t="s">
        <v>81</v>
      </c>
      <c r="S10" s="359" t="s">
        <v>82</v>
      </c>
      <c r="T10" s="445" t="s">
        <v>81</v>
      </c>
      <c r="U10" s="62" t="s">
        <v>82</v>
      </c>
      <c r="V10" s="62" t="s">
        <v>83</v>
      </c>
      <c r="W10" s="62" t="s">
        <v>82</v>
      </c>
      <c r="X10" s="359" t="s">
        <v>83</v>
      </c>
      <c r="Y10" s="359" t="s">
        <v>82</v>
      </c>
      <c r="Z10" s="445" t="s">
        <v>424</v>
      </c>
      <c r="AA10" s="62" t="s">
        <v>249</v>
      </c>
      <c r="AB10" s="445" t="s">
        <v>260</v>
      </c>
      <c r="AC10" s="62" t="s">
        <v>269</v>
      </c>
      <c r="AD10" s="62" t="s">
        <v>270</v>
      </c>
      <c r="AE10" s="846" t="s">
        <v>426</v>
      </c>
      <c r="AF10" s="428" t="s">
        <v>247</v>
      </c>
      <c r="AG10" s="1021" t="s">
        <v>248</v>
      </c>
      <c r="AH10" s="459" t="s">
        <v>269</v>
      </c>
      <c r="AI10" s="846" t="s">
        <v>270</v>
      </c>
      <c r="AJ10" s="1514"/>
      <c r="AK10" s="1498"/>
      <c r="AL10" s="1498"/>
      <c r="AM10" s="65" t="s">
        <v>84</v>
      </c>
      <c r="AN10" s="65" t="s">
        <v>85</v>
      </c>
      <c r="AO10" s="1497"/>
    </row>
    <row r="11" spans="1:41" ht="15.75" x14ac:dyDescent="0.25">
      <c r="A11" s="14">
        <v>1</v>
      </c>
      <c r="B11" s="14">
        <v>2</v>
      </c>
      <c r="C11" s="14">
        <v>3</v>
      </c>
      <c r="D11" s="14">
        <v>4</v>
      </c>
      <c r="E11" s="14">
        <v>5</v>
      </c>
      <c r="F11" s="14">
        <v>6</v>
      </c>
      <c r="G11" s="14">
        <v>7</v>
      </c>
      <c r="H11" s="14">
        <v>8</v>
      </c>
      <c r="I11" s="14">
        <v>3</v>
      </c>
      <c r="J11" s="14"/>
      <c r="K11" s="14"/>
      <c r="L11" s="14">
        <v>4</v>
      </c>
      <c r="M11" s="14">
        <v>17</v>
      </c>
      <c r="N11" s="14">
        <v>18</v>
      </c>
      <c r="O11" s="14">
        <v>19</v>
      </c>
      <c r="P11" s="847">
        <v>5</v>
      </c>
      <c r="Q11" s="66">
        <v>6</v>
      </c>
      <c r="R11" s="353">
        <v>7</v>
      </c>
      <c r="S11" s="353">
        <v>8</v>
      </c>
      <c r="T11" s="66">
        <v>9</v>
      </c>
      <c r="U11" s="66">
        <v>10</v>
      </c>
      <c r="V11" s="66">
        <v>11</v>
      </c>
      <c r="W11" s="66">
        <v>12</v>
      </c>
      <c r="X11" s="373">
        <v>13</v>
      </c>
      <c r="Y11" s="374">
        <v>14</v>
      </c>
      <c r="Z11" s="66">
        <v>9</v>
      </c>
      <c r="AA11" s="66">
        <v>10</v>
      </c>
      <c r="AB11" s="66">
        <v>17</v>
      </c>
      <c r="AC11" s="66">
        <v>18</v>
      </c>
      <c r="AD11" s="66">
        <v>16</v>
      </c>
      <c r="AE11" s="66">
        <v>11</v>
      </c>
      <c r="AF11" s="66">
        <v>12</v>
      </c>
      <c r="AG11" s="66">
        <v>19</v>
      </c>
      <c r="AH11" s="66">
        <v>20</v>
      </c>
      <c r="AI11" s="66">
        <v>18</v>
      </c>
      <c r="AJ11" s="66">
        <v>13</v>
      </c>
      <c r="AK11" s="66">
        <v>14</v>
      </c>
      <c r="AL11" s="66">
        <v>15</v>
      </c>
      <c r="AM11" s="66">
        <v>16</v>
      </c>
      <c r="AN11" s="66">
        <v>17</v>
      </c>
      <c r="AO11" s="66">
        <v>18</v>
      </c>
    </row>
    <row r="12" spans="1:41" ht="15.75" x14ac:dyDescent="0.25">
      <c r="A12" s="321"/>
      <c r="B12" s="1402" t="s">
        <v>11</v>
      </c>
      <c r="C12" s="1403"/>
      <c r="D12" s="1403"/>
      <c r="E12" s="1403"/>
      <c r="F12" s="1404"/>
      <c r="G12" s="85"/>
      <c r="H12" s="85"/>
      <c r="I12" s="86"/>
      <c r="J12" s="87">
        <f t="shared" ref="J12:Q12" si="0">J13+J14+J15+J16</f>
        <v>2076103.03</v>
      </c>
      <c r="K12" s="87">
        <f t="shared" si="0"/>
        <v>1024515.6399999999</v>
      </c>
      <c r="L12" s="87">
        <f t="shared" si="0"/>
        <v>2889805.3400000003</v>
      </c>
      <c r="M12" s="87">
        <f t="shared" si="0"/>
        <v>1176698.6399999999</v>
      </c>
      <c r="N12" s="87">
        <f t="shared" si="0"/>
        <v>1031242.96</v>
      </c>
      <c r="O12" s="87" t="e">
        <f t="shared" si="0"/>
        <v>#REF!</v>
      </c>
      <c r="P12" s="87">
        <f t="shared" si="0"/>
        <v>519486.85399999999</v>
      </c>
      <c r="Q12" s="87">
        <f t="shared" si="0"/>
        <v>114165.22368999998</v>
      </c>
      <c r="R12" s="87">
        <f t="shared" ref="R12:AN12" si="1">R13+R14+R15+R16</f>
        <v>160.38999999999999</v>
      </c>
      <c r="S12" s="87">
        <f t="shared" si="1"/>
        <v>23172.798740000002</v>
      </c>
      <c r="T12" s="87">
        <f t="shared" si="1"/>
        <v>616.64663999999993</v>
      </c>
      <c r="U12" s="87">
        <f t="shared" si="1"/>
        <v>33000.816870000002</v>
      </c>
      <c r="V12" s="87">
        <f t="shared" si="1"/>
        <v>46727.563999999998</v>
      </c>
      <c r="W12" s="87">
        <f t="shared" si="1"/>
        <v>48467.855680000001</v>
      </c>
      <c r="X12" s="87">
        <f t="shared" si="1"/>
        <v>15333.84606</v>
      </c>
      <c r="Y12" s="87">
        <f t="shared" si="1"/>
        <v>11264.809020000001</v>
      </c>
      <c r="Z12" s="87">
        <f t="shared" ref="Z12:AJ12" si="2">Z13+Z14+Z15+Z16</f>
        <v>128715.00451</v>
      </c>
      <c r="AA12" s="87">
        <f t="shared" si="2"/>
        <v>23827.395</v>
      </c>
      <c r="AB12" s="87">
        <f t="shared" si="2"/>
        <v>39773.911469999999</v>
      </c>
      <c r="AC12" s="87">
        <f t="shared" si="2"/>
        <v>55275.556210000002</v>
      </c>
      <c r="AD12" s="87">
        <f t="shared" si="2"/>
        <v>24269.176890000002</v>
      </c>
      <c r="AE12" s="87">
        <f t="shared" ref="AE12:AG12" si="3">AE178</f>
        <v>251949.815</v>
      </c>
      <c r="AF12" s="87">
        <f t="shared" si="3"/>
        <v>251949.815</v>
      </c>
      <c r="AG12" s="87">
        <f t="shared" si="3"/>
        <v>251949.815</v>
      </c>
      <c r="AH12" s="87">
        <f>AH178</f>
        <v>251949.815</v>
      </c>
      <c r="AI12" s="87">
        <f t="shared" si="2"/>
        <v>0</v>
      </c>
      <c r="AJ12" s="87">
        <f t="shared" si="2"/>
        <v>436083.42224000004</v>
      </c>
      <c r="AK12" s="87">
        <f t="shared" si="1"/>
        <v>439336.67388000002</v>
      </c>
      <c r="AL12" s="87">
        <f>ROUND((Q12*100%/P12*100),2)</f>
        <v>21.98</v>
      </c>
      <c r="AM12" s="87">
        <f t="shared" si="1"/>
        <v>0</v>
      </c>
      <c r="AN12" s="87">
        <f t="shared" si="1"/>
        <v>0</v>
      </c>
      <c r="AO12" s="394"/>
    </row>
    <row r="13" spans="1:41" ht="52.5" customHeight="1" x14ac:dyDescent="0.25">
      <c r="A13" s="1410"/>
      <c r="B13" s="1411"/>
      <c r="C13" s="1411"/>
      <c r="D13" s="1411"/>
      <c r="E13" s="1411"/>
      <c r="F13" s="1411"/>
      <c r="G13" s="1411"/>
      <c r="H13" s="1412"/>
      <c r="I13" s="15" t="s">
        <v>19</v>
      </c>
      <c r="J13" s="16">
        <f t="shared" ref="J13:AK13" si="4">J19+J179</f>
        <v>1142546.5</v>
      </c>
      <c r="K13" s="16">
        <f t="shared" si="4"/>
        <v>322311.91999999993</v>
      </c>
      <c r="L13" s="16">
        <f t="shared" si="4"/>
        <v>886119.42</v>
      </c>
      <c r="M13" s="16">
        <f t="shared" si="4"/>
        <v>139101.35</v>
      </c>
      <c r="N13" s="16">
        <f t="shared" si="4"/>
        <v>143623.62</v>
      </c>
      <c r="O13" s="16">
        <f t="shared" si="4"/>
        <v>111768.69</v>
      </c>
      <c r="P13" s="16">
        <f t="shared" si="4"/>
        <v>319525.15999999997</v>
      </c>
      <c r="Q13" s="16">
        <f t="shared" si="4"/>
        <v>1209.9796200000001</v>
      </c>
      <c r="R13" s="16">
        <f t="shared" si="4"/>
        <v>0</v>
      </c>
      <c r="S13" s="16">
        <f t="shared" si="4"/>
        <v>99.9</v>
      </c>
      <c r="T13" s="16">
        <f t="shared" si="4"/>
        <v>0</v>
      </c>
      <c r="U13" s="16">
        <f t="shared" si="4"/>
        <v>0</v>
      </c>
      <c r="V13" s="16">
        <f t="shared" si="4"/>
        <v>7030</v>
      </c>
      <c r="W13" s="16">
        <f t="shared" si="4"/>
        <v>0</v>
      </c>
      <c r="X13" s="16">
        <f t="shared" si="4"/>
        <v>0</v>
      </c>
      <c r="Y13" s="16">
        <f t="shared" si="4"/>
        <v>1110.07962</v>
      </c>
      <c r="Z13" s="16">
        <f t="shared" si="4"/>
        <v>2395.0391799999998</v>
      </c>
      <c r="AA13" s="16">
        <f t="shared" si="4"/>
        <v>99.9</v>
      </c>
      <c r="AB13" s="16">
        <f t="shared" si="4"/>
        <v>0</v>
      </c>
      <c r="AC13" s="16">
        <f t="shared" si="4"/>
        <v>0</v>
      </c>
      <c r="AD13" s="16">
        <f t="shared" si="4"/>
        <v>16726.17424</v>
      </c>
      <c r="AE13" s="16">
        <f t="shared" si="4"/>
        <v>0</v>
      </c>
      <c r="AF13" s="16">
        <f t="shared" si="4"/>
        <v>0</v>
      </c>
      <c r="AG13" s="16">
        <f t="shared" si="4"/>
        <v>0</v>
      </c>
      <c r="AH13" s="16">
        <f t="shared" si="4"/>
        <v>0</v>
      </c>
      <c r="AI13" s="16">
        <f t="shared" si="4"/>
        <v>0</v>
      </c>
      <c r="AJ13" s="16">
        <f t="shared" si="4"/>
        <v>264162.01</v>
      </c>
      <c r="AK13" s="16">
        <f t="shared" si="4"/>
        <v>264162.01</v>
      </c>
      <c r="AL13" s="385">
        <f>ROUND((Q13*100%/P13*100),2)</f>
        <v>0.38</v>
      </c>
      <c r="AM13" s="16">
        <f t="shared" ref="AM13:AN16" si="5">AM19+AM179</f>
        <v>0</v>
      </c>
      <c r="AN13" s="16">
        <f t="shared" si="5"/>
        <v>0</v>
      </c>
      <c r="AO13" s="395"/>
    </row>
    <row r="14" spans="1:41" ht="39" customHeight="1" x14ac:dyDescent="0.25">
      <c r="A14" s="1413"/>
      <c r="B14" s="1414"/>
      <c r="C14" s="1414"/>
      <c r="D14" s="1414"/>
      <c r="E14" s="1414"/>
      <c r="F14" s="1414"/>
      <c r="G14" s="1414"/>
      <c r="H14" s="1415"/>
      <c r="I14" s="15" t="s">
        <v>20</v>
      </c>
      <c r="J14" s="16">
        <f t="shared" ref="J14:AK14" si="6">J20+J180</f>
        <v>207935.45</v>
      </c>
      <c r="K14" s="16">
        <f t="shared" si="6"/>
        <v>0</v>
      </c>
      <c r="L14" s="16">
        <f t="shared" si="6"/>
        <v>626638.74000000011</v>
      </c>
      <c r="M14" s="16">
        <f t="shared" si="6"/>
        <v>60774.350000000006</v>
      </c>
      <c r="N14" s="16">
        <f t="shared" si="6"/>
        <v>161418.78</v>
      </c>
      <c r="O14" s="16" t="e">
        <f t="shared" si="6"/>
        <v>#REF!</v>
      </c>
      <c r="P14" s="16">
        <f t="shared" si="6"/>
        <v>192768.41399999999</v>
      </c>
      <c r="Q14" s="16">
        <f t="shared" si="6"/>
        <v>13546.729230000001</v>
      </c>
      <c r="R14" s="16">
        <f>R20+R180</f>
        <v>160.38999999999999</v>
      </c>
      <c r="S14" s="16">
        <f t="shared" si="6"/>
        <v>1366.9750000000001</v>
      </c>
      <c r="T14" s="16">
        <f t="shared" si="6"/>
        <v>616.64663999999993</v>
      </c>
      <c r="U14" s="16">
        <f t="shared" si="6"/>
        <v>647.33863999999994</v>
      </c>
      <c r="V14" s="16">
        <f t="shared" si="6"/>
        <v>39697.563999999998</v>
      </c>
      <c r="W14" s="16">
        <f t="shared" si="6"/>
        <v>3118.7428100000002</v>
      </c>
      <c r="X14" s="16">
        <f t="shared" si="6"/>
        <v>15333.84606</v>
      </c>
      <c r="Y14" s="16">
        <f t="shared" si="6"/>
        <v>10154.7294</v>
      </c>
      <c r="Z14" s="16">
        <f t="shared" si="6"/>
        <v>12138.776760000001</v>
      </c>
      <c r="AA14" s="16">
        <f t="shared" si="6"/>
        <v>2021.58</v>
      </c>
      <c r="AB14" s="16">
        <f t="shared" si="6"/>
        <v>34.091999999999999</v>
      </c>
      <c r="AC14" s="16">
        <f t="shared" si="6"/>
        <v>2540.1021099999998</v>
      </c>
      <c r="AD14" s="16">
        <f t="shared" si="6"/>
        <v>7543.0026500000004</v>
      </c>
      <c r="AE14" s="16">
        <f t="shared" si="6"/>
        <v>0</v>
      </c>
      <c r="AF14" s="16">
        <f t="shared" si="6"/>
        <v>0</v>
      </c>
      <c r="AG14" s="16">
        <f t="shared" si="6"/>
        <v>0</v>
      </c>
      <c r="AH14" s="16">
        <f t="shared" si="6"/>
        <v>0</v>
      </c>
      <c r="AI14" s="16">
        <f t="shared" si="6"/>
        <v>0</v>
      </c>
      <c r="AJ14" s="16">
        <f t="shared" si="6"/>
        <v>171921.41224000003</v>
      </c>
      <c r="AK14" s="16">
        <f t="shared" si="6"/>
        <v>175174.66388000004</v>
      </c>
      <c r="AL14" s="385">
        <f>ROUND((Q14*100%/P14*100),2)</f>
        <v>7.03</v>
      </c>
      <c r="AM14" s="16">
        <f t="shared" si="5"/>
        <v>0</v>
      </c>
      <c r="AN14" s="16">
        <f t="shared" si="5"/>
        <v>0</v>
      </c>
      <c r="AO14" s="395"/>
    </row>
    <row r="15" spans="1:41" ht="25.5" customHeight="1" x14ac:dyDescent="0.25">
      <c r="A15" s="1413"/>
      <c r="B15" s="1414"/>
      <c r="C15" s="1414"/>
      <c r="D15" s="1414"/>
      <c r="E15" s="1414"/>
      <c r="F15" s="1414"/>
      <c r="G15" s="1414"/>
      <c r="H15" s="1415"/>
      <c r="I15" s="15" t="s">
        <v>10</v>
      </c>
      <c r="J15" s="16">
        <f t="shared" ref="J15:AK15" si="7">J21+J181</f>
        <v>23417.360000000001</v>
      </c>
      <c r="K15" s="16">
        <f t="shared" si="7"/>
        <v>0</v>
      </c>
      <c r="L15" s="16">
        <f t="shared" si="7"/>
        <v>831632.89</v>
      </c>
      <c r="M15" s="16">
        <f t="shared" si="7"/>
        <v>627881.75</v>
      </c>
      <c r="N15" s="16">
        <f t="shared" si="7"/>
        <v>529727.44999999995</v>
      </c>
      <c r="O15" s="16">
        <f t="shared" si="7"/>
        <v>297742.64</v>
      </c>
      <c r="P15" s="16">
        <f t="shared" si="7"/>
        <v>7193.2800000000007</v>
      </c>
      <c r="Q15" s="16">
        <f t="shared" si="7"/>
        <v>99408.514839999989</v>
      </c>
      <c r="R15" s="16">
        <f t="shared" si="7"/>
        <v>0</v>
      </c>
      <c r="S15" s="16">
        <f t="shared" si="7"/>
        <v>21705.923740000002</v>
      </c>
      <c r="T15" s="16">
        <f t="shared" si="7"/>
        <v>0</v>
      </c>
      <c r="U15" s="16">
        <f t="shared" si="7"/>
        <v>32353.478230000001</v>
      </c>
      <c r="V15" s="16">
        <f t="shared" si="7"/>
        <v>0</v>
      </c>
      <c r="W15" s="16">
        <f t="shared" si="7"/>
        <v>45349.112869999997</v>
      </c>
      <c r="X15" s="16">
        <f t="shared" si="7"/>
        <v>0</v>
      </c>
      <c r="Y15" s="16">
        <f t="shared" si="7"/>
        <v>0</v>
      </c>
      <c r="Z15" s="16">
        <f t="shared" si="7"/>
        <v>114181.18857</v>
      </c>
      <c r="AA15" s="16">
        <f t="shared" si="7"/>
        <v>21705.915000000001</v>
      </c>
      <c r="AB15" s="16">
        <f t="shared" si="7"/>
        <v>39739.819470000002</v>
      </c>
      <c r="AC15" s="16">
        <f t="shared" si="7"/>
        <v>52735.454100000003</v>
      </c>
      <c r="AD15" s="16">
        <f t="shared" si="7"/>
        <v>0</v>
      </c>
      <c r="AE15" s="16">
        <f t="shared" si="7"/>
        <v>0</v>
      </c>
      <c r="AF15" s="16">
        <f t="shared" si="7"/>
        <v>0</v>
      </c>
      <c r="AG15" s="16">
        <f t="shared" si="7"/>
        <v>0</v>
      </c>
      <c r="AH15" s="16">
        <f t="shared" si="7"/>
        <v>0</v>
      </c>
      <c r="AI15" s="16">
        <f t="shared" si="7"/>
        <v>0</v>
      </c>
      <c r="AJ15" s="16">
        <f t="shared" si="7"/>
        <v>0</v>
      </c>
      <c r="AK15" s="16">
        <f t="shared" si="7"/>
        <v>0</v>
      </c>
      <c r="AL15" s="385">
        <v>0</v>
      </c>
      <c r="AM15" s="16">
        <f t="shared" si="5"/>
        <v>0</v>
      </c>
      <c r="AN15" s="16">
        <f t="shared" si="5"/>
        <v>0</v>
      </c>
      <c r="AO15" s="395"/>
    </row>
    <row r="16" spans="1:41" ht="25.5" x14ac:dyDescent="0.25">
      <c r="A16" s="1416"/>
      <c r="B16" s="1417"/>
      <c r="C16" s="1417"/>
      <c r="D16" s="1417"/>
      <c r="E16" s="1417"/>
      <c r="F16" s="1417"/>
      <c r="G16" s="1417"/>
      <c r="H16" s="1418"/>
      <c r="I16" s="15" t="s">
        <v>9</v>
      </c>
      <c r="J16" s="16">
        <f t="shared" ref="J16:AK16" si="8">J22+J182</f>
        <v>702203.72</v>
      </c>
      <c r="K16" s="16">
        <f t="shared" si="8"/>
        <v>702203.72</v>
      </c>
      <c r="L16" s="16">
        <f t="shared" si="8"/>
        <v>545414.29</v>
      </c>
      <c r="M16" s="16">
        <f t="shared" si="8"/>
        <v>348941.19</v>
      </c>
      <c r="N16" s="16">
        <f t="shared" si="8"/>
        <v>196473.11</v>
      </c>
      <c r="O16" s="16">
        <f t="shared" si="8"/>
        <v>1</v>
      </c>
      <c r="P16" s="16">
        <f t="shared" si="8"/>
        <v>0</v>
      </c>
      <c r="Q16" s="16">
        <f t="shared" si="8"/>
        <v>0</v>
      </c>
      <c r="R16" s="16">
        <f t="shared" si="8"/>
        <v>0</v>
      </c>
      <c r="S16" s="16">
        <f t="shared" si="8"/>
        <v>0</v>
      </c>
      <c r="T16" s="16">
        <f t="shared" si="8"/>
        <v>0</v>
      </c>
      <c r="U16" s="16">
        <f t="shared" si="8"/>
        <v>0</v>
      </c>
      <c r="V16" s="16">
        <f t="shared" si="8"/>
        <v>0</v>
      </c>
      <c r="W16" s="16">
        <f t="shared" si="8"/>
        <v>0</v>
      </c>
      <c r="X16" s="16">
        <f t="shared" si="8"/>
        <v>0</v>
      </c>
      <c r="Y16" s="16">
        <f t="shared" si="8"/>
        <v>0</v>
      </c>
      <c r="Z16" s="16">
        <f t="shared" si="8"/>
        <v>0</v>
      </c>
      <c r="AA16" s="16">
        <f t="shared" si="8"/>
        <v>0</v>
      </c>
      <c r="AB16" s="16">
        <f t="shared" si="8"/>
        <v>0</v>
      </c>
      <c r="AC16" s="16">
        <f t="shared" si="8"/>
        <v>0</v>
      </c>
      <c r="AD16" s="16">
        <f t="shared" si="8"/>
        <v>0</v>
      </c>
      <c r="AE16" s="16">
        <f t="shared" si="8"/>
        <v>0</v>
      </c>
      <c r="AF16" s="16">
        <f t="shared" si="8"/>
        <v>0</v>
      </c>
      <c r="AG16" s="16">
        <f t="shared" si="8"/>
        <v>0</v>
      </c>
      <c r="AH16" s="16">
        <f t="shared" si="8"/>
        <v>0</v>
      </c>
      <c r="AI16" s="16">
        <f t="shared" si="8"/>
        <v>0</v>
      </c>
      <c r="AJ16" s="16">
        <f t="shared" si="8"/>
        <v>0</v>
      </c>
      <c r="AK16" s="16">
        <f t="shared" si="8"/>
        <v>0</v>
      </c>
      <c r="AL16" s="385">
        <v>0</v>
      </c>
      <c r="AM16" s="16">
        <f t="shared" si="5"/>
        <v>0</v>
      </c>
      <c r="AN16" s="16">
        <f t="shared" si="5"/>
        <v>0</v>
      </c>
      <c r="AO16" s="395"/>
    </row>
    <row r="17" spans="1:41" ht="15.75" x14ac:dyDescent="0.25">
      <c r="A17" s="1405" t="s">
        <v>12</v>
      </c>
      <c r="B17" s="1406"/>
      <c r="C17" s="1406"/>
      <c r="D17" s="1406"/>
      <c r="E17" s="1406"/>
      <c r="F17" s="1406"/>
      <c r="G17" s="1406"/>
      <c r="H17" s="1407"/>
      <c r="I17" s="17"/>
      <c r="J17" s="17"/>
      <c r="K17" s="17"/>
      <c r="L17" s="18"/>
      <c r="M17" s="18"/>
      <c r="N17" s="18"/>
      <c r="O17" s="18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396"/>
    </row>
    <row r="18" spans="1:41" ht="15.75" x14ac:dyDescent="0.25">
      <c r="A18" s="1419"/>
      <c r="B18" s="1420"/>
      <c r="C18" s="1420"/>
      <c r="D18" s="1420"/>
      <c r="E18" s="1420"/>
      <c r="F18" s="1420"/>
      <c r="G18" s="1420"/>
      <c r="H18" s="1421"/>
      <c r="I18" s="19" t="s">
        <v>21</v>
      </c>
      <c r="J18" s="20">
        <f t="shared" ref="J18:O18" si="9">J19+J20+J21+J22</f>
        <v>1909326.1</v>
      </c>
      <c r="K18" s="20">
        <f t="shared" si="9"/>
        <v>999161.53999999992</v>
      </c>
      <c r="L18" s="20">
        <f t="shared" si="9"/>
        <v>1551752.6800000002</v>
      </c>
      <c r="M18" s="20">
        <f t="shared" si="9"/>
        <v>605672.16</v>
      </c>
      <c r="N18" s="20">
        <f t="shared" si="9"/>
        <v>383582.47</v>
      </c>
      <c r="O18" s="20">
        <f t="shared" si="9"/>
        <v>116582.55</v>
      </c>
      <c r="P18" s="47">
        <f>P19+P20+P21+P22</f>
        <v>226744.65400000001</v>
      </c>
      <c r="Q18" s="47">
        <f t="shared" ref="Q18:AN18" si="10">Q19+Q20+Q21+Q22</f>
        <v>9122.3576700000012</v>
      </c>
      <c r="R18" s="47">
        <f t="shared" si="10"/>
        <v>75</v>
      </c>
      <c r="S18" s="47">
        <f>S19+S20+S21+S22</f>
        <v>76.58</v>
      </c>
      <c r="T18" s="47">
        <f t="shared" si="10"/>
        <v>0</v>
      </c>
      <c r="U18" s="47">
        <f t="shared" si="10"/>
        <v>34.091999999999999</v>
      </c>
      <c r="V18" s="47">
        <f t="shared" si="10"/>
        <v>39239.563999999998</v>
      </c>
      <c r="W18" s="47">
        <f t="shared" si="10"/>
        <v>2202.9409500000002</v>
      </c>
      <c r="X18" s="47">
        <f t="shared" si="10"/>
        <v>15333.84606</v>
      </c>
      <c r="Y18" s="47">
        <f t="shared" si="10"/>
        <v>8549.80134</v>
      </c>
      <c r="Z18" s="47">
        <f t="shared" si="10"/>
        <v>10282.71623</v>
      </c>
      <c r="AA18" s="47">
        <f t="shared" si="10"/>
        <v>76.58</v>
      </c>
      <c r="AB18" s="47">
        <f t="shared" si="10"/>
        <v>34.091999999999999</v>
      </c>
      <c r="AC18" s="47">
        <f t="shared" si="10"/>
        <v>1613.9100800000001</v>
      </c>
      <c r="AD18" s="47">
        <f t="shared" si="10"/>
        <v>8558.1341499999999</v>
      </c>
      <c r="AE18" s="47">
        <f t="shared" si="10"/>
        <v>0</v>
      </c>
      <c r="AF18" s="47">
        <f t="shared" si="10"/>
        <v>0</v>
      </c>
      <c r="AG18" s="47">
        <f t="shared" si="10"/>
        <v>0</v>
      </c>
      <c r="AH18" s="47">
        <f t="shared" si="10"/>
        <v>0</v>
      </c>
      <c r="AI18" s="47">
        <f t="shared" si="10"/>
        <v>0</v>
      </c>
      <c r="AJ18" s="47">
        <f t="shared" si="10"/>
        <v>169302.23</v>
      </c>
      <c r="AK18" s="47">
        <f t="shared" si="10"/>
        <v>169302.23</v>
      </c>
      <c r="AL18" s="47">
        <v>0</v>
      </c>
      <c r="AM18" s="47">
        <f t="shared" si="10"/>
        <v>0</v>
      </c>
      <c r="AN18" s="47">
        <f t="shared" si="10"/>
        <v>0</v>
      </c>
      <c r="AO18" s="397"/>
    </row>
    <row r="19" spans="1:41" ht="55.5" customHeight="1" x14ac:dyDescent="0.25">
      <c r="A19" s="1422"/>
      <c r="B19" s="1423"/>
      <c r="C19" s="1423"/>
      <c r="D19" s="1423"/>
      <c r="E19" s="1423"/>
      <c r="F19" s="1423"/>
      <c r="G19" s="1423"/>
      <c r="H19" s="1424"/>
      <c r="I19" s="15" t="s">
        <v>19</v>
      </c>
      <c r="J19" s="16">
        <f t="shared" ref="J19:AN19" si="11">J23+J157</f>
        <v>989659.6</v>
      </c>
      <c r="K19" s="16">
        <f t="shared" si="11"/>
        <v>296957.81999999995</v>
      </c>
      <c r="L19" s="16">
        <f t="shared" si="11"/>
        <v>605271.59</v>
      </c>
      <c r="M19" s="16">
        <f t="shared" si="11"/>
        <v>96658.23</v>
      </c>
      <c r="N19" s="16">
        <f t="shared" si="11"/>
        <v>83716.939999999988</v>
      </c>
      <c r="O19" s="16">
        <f t="shared" si="11"/>
        <v>78886.680000000008</v>
      </c>
      <c r="P19" s="47">
        <f t="shared" si="11"/>
        <v>172215.9</v>
      </c>
      <c r="Q19" s="22">
        <f t="shared" si="11"/>
        <v>0</v>
      </c>
      <c r="R19" s="22">
        <f t="shared" si="11"/>
        <v>0</v>
      </c>
      <c r="S19" s="22">
        <f t="shared" si="11"/>
        <v>0</v>
      </c>
      <c r="T19" s="22">
        <f t="shared" si="11"/>
        <v>0</v>
      </c>
      <c r="U19" s="22">
        <f t="shared" si="11"/>
        <v>0</v>
      </c>
      <c r="V19" s="22">
        <f t="shared" si="11"/>
        <v>0</v>
      </c>
      <c r="W19" s="22">
        <f t="shared" si="11"/>
        <v>0</v>
      </c>
      <c r="X19" s="22">
        <f t="shared" si="11"/>
        <v>0</v>
      </c>
      <c r="Y19" s="22">
        <f t="shared" si="11"/>
        <v>0</v>
      </c>
      <c r="Z19" s="22">
        <f>Z23+Z157</f>
        <v>1185.0595599999999</v>
      </c>
      <c r="AA19" s="22">
        <f t="shared" si="11"/>
        <v>0</v>
      </c>
      <c r="AB19" s="22">
        <f t="shared" si="11"/>
        <v>0</v>
      </c>
      <c r="AC19" s="22">
        <f t="shared" si="11"/>
        <v>0</v>
      </c>
      <c r="AD19" s="22">
        <f>AD23+AD157</f>
        <v>1185.0595599999999</v>
      </c>
      <c r="AE19" s="22">
        <f t="shared" si="11"/>
        <v>0</v>
      </c>
      <c r="AF19" s="22">
        <f t="shared" si="11"/>
        <v>0</v>
      </c>
      <c r="AG19" s="22">
        <f t="shared" si="11"/>
        <v>0</v>
      </c>
      <c r="AH19" s="22">
        <f t="shared" si="11"/>
        <v>0</v>
      </c>
      <c r="AI19" s="22">
        <f t="shared" si="11"/>
        <v>0</v>
      </c>
      <c r="AJ19" s="22">
        <f t="shared" si="11"/>
        <v>164000</v>
      </c>
      <c r="AK19" s="22">
        <f t="shared" si="11"/>
        <v>164000</v>
      </c>
      <c r="AL19" s="22">
        <f t="shared" si="11"/>
        <v>0</v>
      </c>
      <c r="AM19" s="22">
        <f t="shared" si="11"/>
        <v>0</v>
      </c>
      <c r="AN19" s="22">
        <f t="shared" si="11"/>
        <v>0</v>
      </c>
      <c r="AO19" s="398"/>
    </row>
    <row r="20" spans="1:41" ht="38.25" x14ac:dyDescent="0.25">
      <c r="A20" s="1422"/>
      <c r="B20" s="1423"/>
      <c r="C20" s="1423"/>
      <c r="D20" s="1423"/>
      <c r="E20" s="1423"/>
      <c r="F20" s="1423"/>
      <c r="G20" s="1423"/>
      <c r="H20" s="1424"/>
      <c r="I20" s="15" t="s">
        <v>20</v>
      </c>
      <c r="J20" s="16">
        <f>J24+J54+J62+J78+J94+J158</f>
        <v>194045.42</v>
      </c>
      <c r="K20" s="16">
        <f>K24+K78+K158</f>
        <v>0</v>
      </c>
      <c r="L20" s="16">
        <f t="shared" ref="L20:AN20" si="12">L24+L54+L62+L78+L94+L158+L168</f>
        <v>197270.65</v>
      </c>
      <c r="M20" s="107">
        <f t="shared" si="12"/>
        <v>24568.73</v>
      </c>
      <c r="N20" s="107">
        <f t="shared" si="12"/>
        <v>66892.61</v>
      </c>
      <c r="O20" s="107">
        <f t="shared" si="12"/>
        <v>37695.869999999995</v>
      </c>
      <c r="P20" s="22">
        <f t="shared" si="12"/>
        <v>52294.474000000002</v>
      </c>
      <c r="Q20" s="22">
        <f t="shared" si="12"/>
        <v>9122.3576700000012</v>
      </c>
      <c r="R20" s="22">
        <f t="shared" si="12"/>
        <v>75</v>
      </c>
      <c r="S20" s="22">
        <f t="shared" si="12"/>
        <v>76.58</v>
      </c>
      <c r="T20" s="22">
        <f t="shared" si="12"/>
        <v>0</v>
      </c>
      <c r="U20" s="22">
        <f t="shared" si="12"/>
        <v>34.091999999999999</v>
      </c>
      <c r="V20" s="22">
        <f t="shared" si="12"/>
        <v>39239.563999999998</v>
      </c>
      <c r="W20" s="22">
        <f t="shared" si="12"/>
        <v>2202.9409500000002</v>
      </c>
      <c r="X20" s="22">
        <f t="shared" si="12"/>
        <v>15333.84606</v>
      </c>
      <c r="Y20" s="22">
        <f>Y24+Y54+Y62+Y78+Y94+Y158+Y168</f>
        <v>8549.80134</v>
      </c>
      <c r="Z20" s="22">
        <f>Z24+Z54+Z62+Z78+Z94+Z158+Z168</f>
        <v>9097.6566700000003</v>
      </c>
      <c r="AA20" s="22">
        <f t="shared" si="12"/>
        <v>76.58</v>
      </c>
      <c r="AB20" s="22">
        <f t="shared" si="12"/>
        <v>34.091999999999999</v>
      </c>
      <c r="AC20" s="22">
        <f t="shared" si="12"/>
        <v>1613.9100800000001</v>
      </c>
      <c r="AD20" s="22">
        <f t="shared" si="12"/>
        <v>7373.0745900000002</v>
      </c>
      <c r="AE20" s="22">
        <f t="shared" si="12"/>
        <v>0</v>
      </c>
      <c r="AF20" s="22">
        <f t="shared" si="12"/>
        <v>0</v>
      </c>
      <c r="AG20" s="22">
        <f t="shared" si="12"/>
        <v>0</v>
      </c>
      <c r="AH20" s="22">
        <f t="shared" si="12"/>
        <v>0</v>
      </c>
      <c r="AI20" s="22">
        <f t="shared" si="12"/>
        <v>0</v>
      </c>
      <c r="AJ20" s="22">
        <f t="shared" si="12"/>
        <v>5302.2300000000005</v>
      </c>
      <c r="AK20" s="22">
        <f t="shared" si="12"/>
        <v>5302.2300000000005</v>
      </c>
      <c r="AL20" s="22">
        <v>0</v>
      </c>
      <c r="AM20" s="22">
        <f t="shared" si="12"/>
        <v>0</v>
      </c>
      <c r="AN20" s="22">
        <f t="shared" si="12"/>
        <v>0</v>
      </c>
      <c r="AO20" s="398"/>
    </row>
    <row r="21" spans="1:41" ht="25.5" x14ac:dyDescent="0.25">
      <c r="A21" s="1422"/>
      <c r="B21" s="1423"/>
      <c r="C21" s="1423"/>
      <c r="D21" s="1423"/>
      <c r="E21" s="1423"/>
      <c r="F21" s="1423"/>
      <c r="G21" s="1423"/>
      <c r="H21" s="1424"/>
      <c r="I21" s="15" t="s">
        <v>10</v>
      </c>
      <c r="J21" s="16">
        <f>J25+J79+J159+J55</f>
        <v>23417.360000000001</v>
      </c>
      <c r="K21" s="16">
        <f>K25+K79+K159+K55</f>
        <v>0</v>
      </c>
      <c r="L21" s="16">
        <f t="shared" ref="L21:AI21" si="13">L25+L79+L159+L55+L63</f>
        <v>203796.15000000002</v>
      </c>
      <c r="M21" s="16">
        <f t="shared" si="13"/>
        <v>135504.01</v>
      </c>
      <c r="N21" s="16">
        <f t="shared" si="13"/>
        <v>36499.81</v>
      </c>
      <c r="O21" s="16">
        <f t="shared" si="13"/>
        <v>0</v>
      </c>
      <c r="P21" s="22">
        <f t="shared" si="13"/>
        <v>2234.2800000000002</v>
      </c>
      <c r="Q21" s="22">
        <f>Q25+Q79+Q159+Q55+Q63</f>
        <v>0</v>
      </c>
      <c r="R21" s="22">
        <f t="shared" si="13"/>
        <v>0</v>
      </c>
      <c r="S21" s="22">
        <f t="shared" si="13"/>
        <v>0</v>
      </c>
      <c r="T21" s="22">
        <f t="shared" si="13"/>
        <v>0</v>
      </c>
      <c r="U21" s="22">
        <f t="shared" si="13"/>
        <v>0</v>
      </c>
      <c r="V21" s="22">
        <f t="shared" si="13"/>
        <v>0</v>
      </c>
      <c r="W21" s="22">
        <f t="shared" si="13"/>
        <v>0</v>
      </c>
      <c r="X21" s="22">
        <f t="shared" si="13"/>
        <v>0</v>
      </c>
      <c r="Y21" s="22">
        <f t="shared" si="13"/>
        <v>0</v>
      </c>
      <c r="Z21" s="22">
        <f t="shared" si="13"/>
        <v>0</v>
      </c>
      <c r="AA21" s="22">
        <f t="shared" si="13"/>
        <v>0</v>
      </c>
      <c r="AB21" s="22">
        <f t="shared" si="13"/>
        <v>0</v>
      </c>
      <c r="AC21" s="22">
        <f t="shared" si="13"/>
        <v>0</v>
      </c>
      <c r="AD21" s="22">
        <f t="shared" si="13"/>
        <v>0</v>
      </c>
      <c r="AE21" s="22">
        <f t="shared" si="13"/>
        <v>0</v>
      </c>
      <c r="AF21" s="22">
        <f t="shared" si="13"/>
        <v>0</v>
      </c>
      <c r="AG21" s="22">
        <f t="shared" si="13"/>
        <v>0</v>
      </c>
      <c r="AH21" s="22">
        <f t="shared" si="13"/>
        <v>0</v>
      </c>
      <c r="AI21" s="22">
        <f t="shared" si="13"/>
        <v>0</v>
      </c>
      <c r="AJ21" s="22">
        <f>AJ25+AJ79+AJ159+AJ55</f>
        <v>0</v>
      </c>
      <c r="AK21" s="22">
        <f>AK25+AK79+AK159+AK55</f>
        <v>0</v>
      </c>
      <c r="AL21" s="22">
        <f>AL25+AL79+AL159+AL55</f>
        <v>0</v>
      </c>
      <c r="AM21" s="22">
        <f>AM25+AM79+AM159+AM55</f>
        <v>0</v>
      </c>
      <c r="AN21" s="22">
        <f>AN25+AN79+AN159+AN55</f>
        <v>0</v>
      </c>
      <c r="AO21" s="398"/>
    </row>
    <row r="22" spans="1:41" ht="25.5" x14ac:dyDescent="0.25">
      <c r="A22" s="1425"/>
      <c r="B22" s="1426"/>
      <c r="C22" s="1426"/>
      <c r="D22" s="1426"/>
      <c r="E22" s="1426"/>
      <c r="F22" s="1426"/>
      <c r="G22" s="1426"/>
      <c r="H22" s="1427"/>
      <c r="I22" s="15" t="s">
        <v>9</v>
      </c>
      <c r="J22" s="21">
        <f t="shared" ref="J22:AN22" si="14">J26+J80+J160</f>
        <v>702203.72</v>
      </c>
      <c r="K22" s="21">
        <f t="shared" si="14"/>
        <v>702203.72</v>
      </c>
      <c r="L22" s="69">
        <f t="shared" si="14"/>
        <v>545414.29</v>
      </c>
      <c r="M22" s="21">
        <f t="shared" si="14"/>
        <v>348941.19</v>
      </c>
      <c r="N22" s="21">
        <f t="shared" si="14"/>
        <v>196473.11</v>
      </c>
      <c r="O22" s="21">
        <f t="shared" si="14"/>
        <v>0</v>
      </c>
      <c r="P22" s="69">
        <f t="shared" si="14"/>
        <v>0</v>
      </c>
      <c r="Q22" s="69">
        <f t="shared" si="14"/>
        <v>0</v>
      </c>
      <c r="R22" s="69">
        <f t="shared" si="14"/>
        <v>0</v>
      </c>
      <c r="S22" s="69">
        <f t="shared" si="14"/>
        <v>0</v>
      </c>
      <c r="T22" s="69">
        <f t="shared" si="14"/>
        <v>0</v>
      </c>
      <c r="U22" s="69">
        <f t="shared" si="14"/>
        <v>0</v>
      </c>
      <c r="V22" s="69">
        <f t="shared" si="14"/>
        <v>0</v>
      </c>
      <c r="W22" s="69">
        <f t="shared" si="14"/>
        <v>0</v>
      </c>
      <c r="X22" s="69">
        <f t="shared" si="14"/>
        <v>0</v>
      </c>
      <c r="Y22" s="69">
        <f t="shared" si="14"/>
        <v>0</v>
      </c>
      <c r="Z22" s="69">
        <f t="shared" si="14"/>
        <v>0</v>
      </c>
      <c r="AA22" s="69">
        <f t="shared" si="14"/>
        <v>0</v>
      </c>
      <c r="AB22" s="69">
        <f t="shared" si="14"/>
        <v>0</v>
      </c>
      <c r="AC22" s="69">
        <f t="shared" si="14"/>
        <v>0</v>
      </c>
      <c r="AD22" s="69">
        <f t="shared" si="14"/>
        <v>0</v>
      </c>
      <c r="AE22" s="69">
        <f t="shared" si="14"/>
        <v>0</v>
      </c>
      <c r="AF22" s="69">
        <f t="shared" si="14"/>
        <v>0</v>
      </c>
      <c r="AG22" s="69">
        <f t="shared" si="14"/>
        <v>0</v>
      </c>
      <c r="AH22" s="69">
        <f t="shared" si="14"/>
        <v>0</v>
      </c>
      <c r="AI22" s="69">
        <f t="shared" si="14"/>
        <v>0</v>
      </c>
      <c r="AJ22" s="69">
        <f t="shared" si="14"/>
        <v>0</v>
      </c>
      <c r="AK22" s="69">
        <f t="shared" si="14"/>
        <v>0</v>
      </c>
      <c r="AL22" s="69">
        <f t="shared" si="14"/>
        <v>0</v>
      </c>
      <c r="AM22" s="69">
        <f t="shared" si="14"/>
        <v>0</v>
      </c>
      <c r="AN22" s="69">
        <f t="shared" si="14"/>
        <v>0</v>
      </c>
      <c r="AO22" s="399"/>
    </row>
    <row r="23" spans="1:41" ht="28.5" customHeight="1" x14ac:dyDescent="0.25">
      <c r="A23" s="1428" t="s">
        <v>25</v>
      </c>
      <c r="B23" s="1431" t="s">
        <v>40</v>
      </c>
      <c r="C23" s="1432"/>
      <c r="D23" s="1432"/>
      <c r="E23" s="1432"/>
      <c r="F23" s="1432"/>
      <c r="G23" s="1432"/>
      <c r="H23" s="1433"/>
      <c r="I23" s="15" t="s">
        <v>19</v>
      </c>
      <c r="J23" s="22">
        <f t="shared" ref="J23:AN23" si="15">J28+J41+J44</f>
        <v>989659.6</v>
      </c>
      <c r="K23" s="22">
        <f t="shared" si="15"/>
        <v>296957.81999999995</v>
      </c>
      <c r="L23" s="16">
        <f>L28+L41+L44+L48</f>
        <v>605271.59</v>
      </c>
      <c r="M23" s="16">
        <f t="shared" si="15"/>
        <v>96658.23</v>
      </c>
      <c r="N23" s="16">
        <f t="shared" si="15"/>
        <v>83716.939999999988</v>
      </c>
      <c r="O23" s="16">
        <f t="shared" si="15"/>
        <v>78886.680000000008</v>
      </c>
      <c r="P23" s="22">
        <f>P28+P41+P44+P48</f>
        <v>172215.9</v>
      </c>
      <c r="Q23" s="22">
        <f>Q28+Q41+Q44+Q48</f>
        <v>0</v>
      </c>
      <c r="R23" s="22">
        <f t="shared" si="15"/>
        <v>0</v>
      </c>
      <c r="S23" s="22">
        <f t="shared" si="15"/>
        <v>0</v>
      </c>
      <c r="T23" s="22">
        <f t="shared" si="15"/>
        <v>0</v>
      </c>
      <c r="U23" s="22">
        <f t="shared" si="15"/>
        <v>0</v>
      </c>
      <c r="V23" s="22">
        <f t="shared" si="15"/>
        <v>0</v>
      </c>
      <c r="W23" s="22">
        <f t="shared" si="15"/>
        <v>0</v>
      </c>
      <c r="X23" s="22">
        <f t="shared" si="15"/>
        <v>0</v>
      </c>
      <c r="Y23" s="22">
        <f>Y28+Y41+Y44+Y48</f>
        <v>0</v>
      </c>
      <c r="Z23" s="22">
        <f>Z28+Z41+Z44+Z48</f>
        <v>1185.0595599999999</v>
      </c>
      <c r="AA23" s="22">
        <f t="shared" ref="AA23:AD23" si="16">AA28+AA41+AA44+AA48</f>
        <v>0</v>
      </c>
      <c r="AB23" s="22">
        <f t="shared" si="16"/>
        <v>0</v>
      </c>
      <c r="AC23" s="22">
        <f t="shared" si="16"/>
        <v>0</v>
      </c>
      <c r="AD23" s="22">
        <f t="shared" si="16"/>
        <v>1185.0595599999999</v>
      </c>
      <c r="AE23" s="22">
        <f t="shared" si="15"/>
        <v>0</v>
      </c>
      <c r="AF23" s="22">
        <f>AF28+AF41+AF44</f>
        <v>0</v>
      </c>
      <c r="AG23" s="22">
        <f>AG28+AG41+AG44</f>
        <v>0</v>
      </c>
      <c r="AH23" s="22">
        <f>AH28+AH41+AH44</f>
        <v>0</v>
      </c>
      <c r="AI23" s="22">
        <f>AI28+AI41+AI44</f>
        <v>0</v>
      </c>
      <c r="AJ23" s="22">
        <f t="shared" si="15"/>
        <v>164000</v>
      </c>
      <c r="AK23" s="22">
        <f t="shared" si="15"/>
        <v>164000</v>
      </c>
      <c r="AL23" s="22">
        <f t="shared" si="15"/>
        <v>0</v>
      </c>
      <c r="AM23" s="22">
        <f t="shared" si="15"/>
        <v>0</v>
      </c>
      <c r="AN23" s="22">
        <f t="shared" si="15"/>
        <v>0</v>
      </c>
      <c r="AO23" s="398"/>
    </row>
    <row r="24" spans="1:41" ht="42.75" customHeight="1" x14ac:dyDescent="0.25">
      <c r="A24" s="1429"/>
      <c r="B24" s="1434"/>
      <c r="C24" s="1435"/>
      <c r="D24" s="1435"/>
      <c r="E24" s="1435"/>
      <c r="F24" s="1435"/>
      <c r="G24" s="1435"/>
      <c r="H24" s="1436"/>
      <c r="I24" s="23" t="s">
        <v>20</v>
      </c>
      <c r="J24" s="3">
        <v>0</v>
      </c>
      <c r="K24" s="3">
        <v>0</v>
      </c>
      <c r="L24" s="3">
        <v>0</v>
      </c>
      <c r="M24" s="3">
        <v>0</v>
      </c>
      <c r="N24" s="47">
        <v>0</v>
      </c>
      <c r="O24" s="47">
        <v>2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47">
        <v>0</v>
      </c>
      <c r="X24" s="47">
        <v>0</v>
      </c>
      <c r="Y24" s="47">
        <v>0</v>
      </c>
      <c r="Z24" s="47">
        <v>0</v>
      </c>
      <c r="AA24" s="47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398"/>
    </row>
    <row r="25" spans="1:41" ht="25.5" x14ac:dyDescent="0.25">
      <c r="A25" s="1429"/>
      <c r="B25" s="1434"/>
      <c r="C25" s="1435"/>
      <c r="D25" s="1435"/>
      <c r="E25" s="1435"/>
      <c r="F25" s="1435"/>
      <c r="G25" s="1435"/>
      <c r="H25" s="1436"/>
      <c r="I25" s="15" t="s">
        <v>10</v>
      </c>
      <c r="J25" s="16">
        <v>0</v>
      </c>
      <c r="K25" s="16">
        <v>0</v>
      </c>
      <c r="L25" s="16">
        <f>M25+N25+O25</f>
        <v>172003.82</v>
      </c>
      <c r="M25" s="16">
        <f>M38</f>
        <v>135504.01</v>
      </c>
      <c r="N25" s="22">
        <f>N38</f>
        <v>36499.81</v>
      </c>
      <c r="O25" s="22">
        <f>O38</f>
        <v>0</v>
      </c>
      <c r="P25" s="22">
        <f>P38</f>
        <v>0</v>
      </c>
      <c r="Q25" s="22">
        <f>Q38</f>
        <v>0</v>
      </c>
      <c r="R25" s="22">
        <f t="shared" ref="R25:AE25" si="17">R38</f>
        <v>0</v>
      </c>
      <c r="S25" s="22">
        <f t="shared" si="17"/>
        <v>0</v>
      </c>
      <c r="T25" s="22">
        <f t="shared" si="17"/>
        <v>0</v>
      </c>
      <c r="U25" s="22">
        <f>U38</f>
        <v>0</v>
      </c>
      <c r="V25" s="22">
        <f t="shared" si="17"/>
        <v>0</v>
      </c>
      <c r="W25" s="22">
        <f t="shared" si="17"/>
        <v>0</v>
      </c>
      <c r="X25" s="22">
        <f t="shared" si="17"/>
        <v>0</v>
      </c>
      <c r="Y25" s="22">
        <f t="shared" si="17"/>
        <v>0</v>
      </c>
      <c r="Z25" s="22">
        <f t="shared" si="17"/>
        <v>0</v>
      </c>
      <c r="AA25" s="22">
        <f t="shared" si="17"/>
        <v>0</v>
      </c>
      <c r="AB25" s="22">
        <f>AB38</f>
        <v>0</v>
      </c>
      <c r="AC25" s="22">
        <f>AC38</f>
        <v>0</v>
      </c>
      <c r="AD25" s="22">
        <f>AD38</f>
        <v>0</v>
      </c>
      <c r="AE25" s="22">
        <f t="shared" si="17"/>
        <v>0</v>
      </c>
      <c r="AF25" s="22">
        <f>AF38</f>
        <v>0</v>
      </c>
      <c r="AG25" s="22">
        <f>AG38</f>
        <v>0</v>
      </c>
      <c r="AH25" s="22">
        <f>AH38</f>
        <v>0</v>
      </c>
      <c r="AI25" s="22">
        <f>AI38</f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398"/>
    </row>
    <row r="26" spans="1:41" ht="36" customHeight="1" x14ac:dyDescent="0.25">
      <c r="A26" s="1430"/>
      <c r="B26" s="1437"/>
      <c r="C26" s="1438"/>
      <c r="D26" s="1438"/>
      <c r="E26" s="1438"/>
      <c r="F26" s="1438"/>
      <c r="G26" s="1438"/>
      <c r="H26" s="1439"/>
      <c r="I26" s="15" t="s">
        <v>9</v>
      </c>
      <c r="J26" s="16">
        <f t="shared" ref="J26:P26" si="18">J36</f>
        <v>702203.72</v>
      </c>
      <c r="K26" s="16">
        <f t="shared" si="18"/>
        <v>702203.72</v>
      </c>
      <c r="L26" s="16">
        <f t="shared" si="18"/>
        <v>545414.29</v>
      </c>
      <c r="M26" s="16">
        <f t="shared" si="18"/>
        <v>348941.19</v>
      </c>
      <c r="N26" s="22">
        <f t="shared" si="18"/>
        <v>196473.11</v>
      </c>
      <c r="O26" s="22">
        <f t="shared" si="18"/>
        <v>0</v>
      </c>
      <c r="P26" s="22">
        <f t="shared" si="18"/>
        <v>0</v>
      </c>
      <c r="Q26" s="22">
        <f t="shared" ref="Q26:AE26" si="19">Q36</f>
        <v>0</v>
      </c>
      <c r="R26" s="22">
        <f t="shared" si="19"/>
        <v>0</v>
      </c>
      <c r="S26" s="22">
        <f t="shared" si="19"/>
        <v>0</v>
      </c>
      <c r="T26" s="22">
        <f t="shared" si="19"/>
        <v>0</v>
      </c>
      <c r="U26" s="22">
        <f t="shared" si="19"/>
        <v>0</v>
      </c>
      <c r="V26" s="22">
        <f t="shared" si="19"/>
        <v>0</v>
      </c>
      <c r="W26" s="22">
        <f t="shared" si="19"/>
        <v>0</v>
      </c>
      <c r="X26" s="22">
        <f t="shared" si="19"/>
        <v>0</v>
      </c>
      <c r="Y26" s="22">
        <f t="shared" si="19"/>
        <v>0</v>
      </c>
      <c r="Z26" s="22">
        <f t="shared" si="19"/>
        <v>0</v>
      </c>
      <c r="AA26" s="22">
        <f t="shared" si="19"/>
        <v>0</v>
      </c>
      <c r="AB26" s="22">
        <f>AB36</f>
        <v>0</v>
      </c>
      <c r="AC26" s="22">
        <f>AC36</f>
        <v>0</v>
      </c>
      <c r="AD26" s="22">
        <f>AD36</f>
        <v>0</v>
      </c>
      <c r="AE26" s="22">
        <f t="shared" si="19"/>
        <v>0</v>
      </c>
      <c r="AF26" s="22">
        <f t="shared" ref="AF26:AN26" si="20">AF36</f>
        <v>0</v>
      </c>
      <c r="AG26" s="22">
        <f t="shared" si="20"/>
        <v>0</v>
      </c>
      <c r="AH26" s="22">
        <f t="shared" si="20"/>
        <v>0</v>
      </c>
      <c r="AI26" s="22">
        <f t="shared" si="20"/>
        <v>0</v>
      </c>
      <c r="AJ26" s="22">
        <f t="shared" si="20"/>
        <v>0</v>
      </c>
      <c r="AK26" s="22">
        <f t="shared" si="20"/>
        <v>0</v>
      </c>
      <c r="AL26" s="22">
        <f t="shared" si="20"/>
        <v>0</v>
      </c>
      <c r="AM26" s="22">
        <f t="shared" si="20"/>
        <v>0</v>
      </c>
      <c r="AN26" s="22">
        <f t="shared" si="20"/>
        <v>0</v>
      </c>
      <c r="AO26" s="398"/>
    </row>
    <row r="27" spans="1:41" ht="42" customHeight="1" x14ac:dyDescent="0.25">
      <c r="A27" s="1376" t="s">
        <v>26</v>
      </c>
      <c r="B27" s="75" t="s">
        <v>18</v>
      </c>
      <c r="C27" s="1350"/>
      <c r="D27" s="1350"/>
      <c r="E27" s="1350"/>
      <c r="F27" s="1440" t="s">
        <v>44</v>
      </c>
      <c r="G27" s="1350">
        <v>2018</v>
      </c>
      <c r="H27" s="1350">
        <v>2020</v>
      </c>
      <c r="I27" s="2"/>
      <c r="J27" s="24">
        <v>1075576.6499999999</v>
      </c>
      <c r="K27" s="25">
        <f>K28+K36</f>
        <v>999161.53999999992</v>
      </c>
      <c r="L27" s="76">
        <f t="shared" ref="L27:Q27" si="21">L28+L36+L38</f>
        <v>793833.22</v>
      </c>
      <c r="M27" s="76">
        <f t="shared" si="21"/>
        <v>560860.31000000006</v>
      </c>
      <c r="N27" s="76">
        <f t="shared" si="21"/>
        <v>232972.91999999998</v>
      </c>
      <c r="O27" s="76">
        <f t="shared" si="21"/>
        <v>0</v>
      </c>
      <c r="P27" s="76">
        <f t="shared" si="21"/>
        <v>0</v>
      </c>
      <c r="Q27" s="76">
        <f t="shared" si="21"/>
        <v>0</v>
      </c>
      <c r="R27" s="76">
        <f t="shared" ref="R27:X27" si="22">R28+R36</f>
        <v>0</v>
      </c>
      <c r="S27" s="76">
        <f>S28+S36</f>
        <v>0</v>
      </c>
      <c r="T27" s="76">
        <f>T28+T36+T38</f>
        <v>0</v>
      </c>
      <c r="U27" s="76">
        <f>U28+U36+U38</f>
        <v>0</v>
      </c>
      <c r="V27" s="76">
        <f t="shared" si="22"/>
        <v>0</v>
      </c>
      <c r="W27" s="76">
        <f t="shared" si="22"/>
        <v>0</v>
      </c>
      <c r="X27" s="76">
        <f t="shared" si="22"/>
        <v>0</v>
      </c>
      <c r="Y27" s="76">
        <f>Y28+Y36+Y38</f>
        <v>0</v>
      </c>
      <c r="Z27" s="76">
        <f>Z28+Z36+Z38</f>
        <v>0</v>
      </c>
      <c r="AA27" s="76">
        <f t="shared" ref="AA27:AH27" si="23">AA28+AA36</f>
        <v>0</v>
      </c>
      <c r="AB27" s="76">
        <f t="shared" si="23"/>
        <v>0</v>
      </c>
      <c r="AC27" s="76">
        <f t="shared" si="23"/>
        <v>0</v>
      </c>
      <c r="AD27" s="76">
        <f t="shared" si="23"/>
        <v>0</v>
      </c>
      <c r="AE27" s="76">
        <f t="shared" si="23"/>
        <v>0</v>
      </c>
      <c r="AF27" s="76">
        <f t="shared" si="23"/>
        <v>0</v>
      </c>
      <c r="AG27" s="76">
        <f t="shared" si="23"/>
        <v>0</v>
      </c>
      <c r="AH27" s="76">
        <f t="shared" si="23"/>
        <v>0</v>
      </c>
      <c r="AI27" s="76">
        <v>0</v>
      </c>
      <c r="AJ27" s="76">
        <v>0</v>
      </c>
      <c r="AK27" s="76">
        <f>AJ27</f>
        <v>0</v>
      </c>
      <c r="AL27" s="76">
        <v>0</v>
      </c>
      <c r="AM27" s="76">
        <f>AM28+AM36</f>
        <v>0</v>
      </c>
      <c r="AN27" s="76">
        <f>AN28+AN36</f>
        <v>0</v>
      </c>
      <c r="AO27" s="400" t="s">
        <v>418</v>
      </c>
    </row>
    <row r="28" spans="1:41" ht="52.5" customHeight="1" x14ac:dyDescent="0.25">
      <c r="A28" s="1377"/>
      <c r="B28" s="358" t="s">
        <v>16</v>
      </c>
      <c r="C28" s="1351"/>
      <c r="D28" s="1351"/>
      <c r="E28" s="1351"/>
      <c r="F28" s="1441"/>
      <c r="G28" s="1351"/>
      <c r="H28" s="1351"/>
      <c r="I28" s="2" t="s">
        <v>19</v>
      </c>
      <c r="J28" s="27">
        <v>373372.92999999993</v>
      </c>
      <c r="K28" s="28">
        <f>J28-L28</f>
        <v>296957.81999999995</v>
      </c>
      <c r="L28" s="47">
        <v>76415.11</v>
      </c>
      <c r="M28" s="47">
        <v>76415.11</v>
      </c>
      <c r="N28" s="47">
        <v>0</v>
      </c>
      <c r="O28" s="47">
        <v>0</v>
      </c>
      <c r="P28" s="47">
        <v>0</v>
      </c>
      <c r="Q28" s="47">
        <f>SUM(Q29:Q35)</f>
        <v>0</v>
      </c>
      <c r="R28" s="47">
        <f t="shared" ref="R28:Y28" si="24">SUM(R29:R35)</f>
        <v>0</v>
      </c>
      <c r="S28" s="47">
        <f t="shared" si="24"/>
        <v>0</v>
      </c>
      <c r="T28" s="47">
        <f t="shared" si="24"/>
        <v>0</v>
      </c>
      <c r="U28" s="47">
        <f t="shared" si="24"/>
        <v>0</v>
      </c>
      <c r="V28" s="47">
        <f t="shared" si="24"/>
        <v>0</v>
      </c>
      <c r="W28" s="47">
        <f>SUM(W29:W35)</f>
        <v>0</v>
      </c>
      <c r="X28" s="47">
        <f t="shared" si="24"/>
        <v>0</v>
      </c>
      <c r="Y28" s="47">
        <f t="shared" si="24"/>
        <v>0</v>
      </c>
      <c r="Z28" s="47">
        <f t="shared" ref="Z28:AH28" si="25">SUM(Z29:Z35)</f>
        <v>0</v>
      </c>
      <c r="AA28" s="47">
        <f>SUM(AA29:AA35)</f>
        <v>0</v>
      </c>
      <c r="AB28" s="47">
        <f t="shared" si="25"/>
        <v>0</v>
      </c>
      <c r="AC28" s="47">
        <f t="shared" si="25"/>
        <v>0</v>
      </c>
      <c r="AD28" s="47">
        <f t="shared" si="25"/>
        <v>0</v>
      </c>
      <c r="AE28" s="47">
        <f>AI28</f>
        <v>0</v>
      </c>
      <c r="AF28" s="47">
        <f t="shared" si="25"/>
        <v>0</v>
      </c>
      <c r="AG28" s="47">
        <f t="shared" si="25"/>
        <v>0</v>
      </c>
      <c r="AH28" s="47">
        <f t="shared" si="25"/>
        <v>0</v>
      </c>
      <c r="AI28" s="47">
        <v>0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1364"/>
    </row>
    <row r="29" spans="1:41" s="97" customFormat="1" ht="25.5" hidden="1" customHeight="1" x14ac:dyDescent="0.25">
      <c r="A29" s="1377"/>
      <c r="B29" s="361" t="s">
        <v>215</v>
      </c>
      <c r="C29" s="90"/>
      <c r="D29" s="90"/>
      <c r="E29" s="90"/>
      <c r="F29" s="91"/>
      <c r="G29" s="90"/>
      <c r="H29" s="90"/>
      <c r="I29" s="269">
        <f>R28+T28+V28</f>
        <v>0</v>
      </c>
      <c r="J29" s="93"/>
      <c r="K29" s="94"/>
      <c r="L29" s="3"/>
      <c r="M29" s="96"/>
      <c r="N29" s="96"/>
      <c r="O29" s="96"/>
      <c r="P29" s="47">
        <f>R29+T29+V29+X29</f>
        <v>0</v>
      </c>
      <c r="Q29" s="96">
        <f>S29+U29+W29+Y29</f>
        <v>0</v>
      </c>
      <c r="R29" s="96">
        <v>0</v>
      </c>
      <c r="S29" s="96">
        <v>0</v>
      </c>
      <c r="T29" s="96">
        <v>0</v>
      </c>
      <c r="U29" s="96">
        <v>0</v>
      </c>
      <c r="V29" s="96">
        <v>0</v>
      </c>
      <c r="W29" s="96">
        <v>0</v>
      </c>
      <c r="X29" s="96">
        <v>0</v>
      </c>
      <c r="Y29" s="96">
        <v>0</v>
      </c>
      <c r="Z29" s="96">
        <f>AA29+AB29+AC29+AD29</f>
        <v>0</v>
      </c>
      <c r="AA29" s="96">
        <v>0</v>
      </c>
      <c r="AB29" s="96">
        <v>0</v>
      </c>
      <c r="AC29" s="96">
        <v>0</v>
      </c>
      <c r="AD29" s="96">
        <v>0</v>
      </c>
      <c r="AE29" s="96">
        <f t="shared" ref="AE29:AE35" si="26">SUM(AF29:AF29)</f>
        <v>0</v>
      </c>
      <c r="AF29" s="96"/>
      <c r="AG29" s="96"/>
      <c r="AH29" s="96"/>
      <c r="AI29" s="96"/>
      <c r="AJ29" s="96"/>
      <c r="AK29" s="96"/>
      <c r="AL29" s="96"/>
      <c r="AM29" s="96"/>
      <c r="AN29" s="96"/>
      <c r="AO29" s="1365"/>
    </row>
    <row r="30" spans="1:41" s="97" customFormat="1" ht="15" hidden="1" customHeight="1" x14ac:dyDescent="0.25">
      <c r="A30" s="1377"/>
      <c r="B30" s="361" t="s">
        <v>216</v>
      </c>
      <c r="C30" s="90"/>
      <c r="D30" s="90"/>
      <c r="E30" s="90"/>
      <c r="F30" s="91"/>
      <c r="G30" s="90"/>
      <c r="H30" s="90"/>
      <c r="I30" s="269">
        <f>S28+U28+W28</f>
        <v>0</v>
      </c>
      <c r="J30" s="93"/>
      <c r="K30" s="94"/>
      <c r="L30" s="3"/>
      <c r="M30" s="96"/>
      <c r="N30" s="96"/>
      <c r="O30" s="96"/>
      <c r="P30" s="47">
        <f>Q30</f>
        <v>0</v>
      </c>
      <c r="Q30" s="96">
        <f t="shared" ref="Q30:Q35" si="27">S30+U30+W30+Y30</f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f>AA30+AB30+AC30+AD30</f>
        <v>0</v>
      </c>
      <c r="AA30" s="96">
        <v>0</v>
      </c>
      <c r="AB30" s="96"/>
      <c r="AC30" s="96">
        <v>0</v>
      </c>
      <c r="AD30" s="96">
        <v>0</v>
      </c>
      <c r="AE30" s="96">
        <f t="shared" si="26"/>
        <v>0</v>
      </c>
      <c r="AF30" s="96"/>
      <c r="AG30" s="96"/>
      <c r="AH30" s="96"/>
      <c r="AI30" s="96"/>
      <c r="AJ30" s="96"/>
      <c r="AK30" s="96"/>
      <c r="AL30" s="96"/>
      <c r="AM30" s="96"/>
      <c r="AN30" s="96"/>
      <c r="AO30" s="1365"/>
    </row>
    <row r="31" spans="1:41" s="97" customFormat="1" ht="15" hidden="1" customHeight="1" x14ac:dyDescent="0.25">
      <c r="A31" s="1377"/>
      <c r="B31" s="361" t="s">
        <v>217</v>
      </c>
      <c r="C31" s="90"/>
      <c r="D31" s="90"/>
      <c r="E31" s="90"/>
      <c r="F31" s="91"/>
      <c r="G31" s="90"/>
      <c r="H31" s="90"/>
      <c r="I31" s="92"/>
      <c r="J31" s="93"/>
      <c r="K31" s="94"/>
      <c r="L31" s="3"/>
      <c r="M31" s="96"/>
      <c r="N31" s="96"/>
      <c r="O31" s="96"/>
      <c r="P31" s="47">
        <f>R31</f>
        <v>0</v>
      </c>
      <c r="Q31" s="96">
        <f t="shared" si="27"/>
        <v>0</v>
      </c>
      <c r="R31" s="96">
        <v>0</v>
      </c>
      <c r="S31" s="96">
        <v>0</v>
      </c>
      <c r="T31" s="96">
        <f>U31</f>
        <v>0</v>
      </c>
      <c r="U31" s="96">
        <v>0</v>
      </c>
      <c r="V31" s="96">
        <v>0</v>
      </c>
      <c r="W31" s="96">
        <v>0</v>
      </c>
      <c r="X31" s="96">
        <v>0</v>
      </c>
      <c r="Y31" s="96">
        <v>0</v>
      </c>
      <c r="Z31" s="96">
        <f>AA31+AB31+AC31+AD31</f>
        <v>0</v>
      </c>
      <c r="AA31" s="96">
        <v>0</v>
      </c>
      <c r="AB31" s="96">
        <v>0</v>
      </c>
      <c r="AC31" s="96">
        <v>0</v>
      </c>
      <c r="AD31" s="96">
        <v>0</v>
      </c>
      <c r="AE31" s="96">
        <f t="shared" si="26"/>
        <v>0</v>
      </c>
      <c r="AF31" s="96"/>
      <c r="AG31" s="96"/>
      <c r="AH31" s="96"/>
      <c r="AI31" s="96"/>
      <c r="AJ31" s="96"/>
      <c r="AK31" s="96"/>
      <c r="AL31" s="96"/>
      <c r="AM31" s="96"/>
      <c r="AN31" s="96"/>
      <c r="AO31" s="1365"/>
    </row>
    <row r="32" spans="1:41" s="97" customFormat="1" ht="15" hidden="1" customHeight="1" x14ac:dyDescent="0.25">
      <c r="A32" s="1377"/>
      <c r="B32" s="361" t="s">
        <v>218</v>
      </c>
      <c r="C32" s="90"/>
      <c r="D32" s="90"/>
      <c r="E32" s="90"/>
      <c r="F32" s="91"/>
      <c r="G32" s="90"/>
      <c r="H32" s="90"/>
      <c r="I32" s="92"/>
      <c r="J32" s="93"/>
      <c r="K32" s="94"/>
      <c r="L32" s="3"/>
      <c r="M32" s="96"/>
      <c r="N32" s="96"/>
      <c r="O32" s="96"/>
      <c r="P32" s="47">
        <f>R32</f>
        <v>0</v>
      </c>
      <c r="Q32" s="96">
        <f t="shared" si="27"/>
        <v>0</v>
      </c>
      <c r="R32" s="96">
        <v>0</v>
      </c>
      <c r="S32" s="96">
        <v>0</v>
      </c>
      <c r="T32" s="96">
        <v>0</v>
      </c>
      <c r="U32" s="96">
        <v>0</v>
      </c>
      <c r="V32" s="96">
        <v>0</v>
      </c>
      <c r="W32" s="96">
        <v>0</v>
      </c>
      <c r="X32" s="96">
        <v>0</v>
      </c>
      <c r="Y32" s="96">
        <v>0</v>
      </c>
      <c r="Z32" s="96">
        <f>AA32+AB32+AC32</f>
        <v>0</v>
      </c>
      <c r="AA32" s="96">
        <v>0</v>
      </c>
      <c r="AB32" s="96"/>
      <c r="AC32" s="96"/>
      <c r="AD32" s="96"/>
      <c r="AE32" s="96">
        <f t="shared" si="26"/>
        <v>0</v>
      </c>
      <c r="AF32" s="96"/>
      <c r="AG32" s="96"/>
      <c r="AH32" s="96"/>
      <c r="AI32" s="96"/>
      <c r="AJ32" s="96"/>
      <c r="AK32" s="96"/>
      <c r="AL32" s="96"/>
      <c r="AM32" s="96"/>
      <c r="AN32" s="96"/>
      <c r="AO32" s="1365"/>
    </row>
    <row r="33" spans="1:41" s="97" customFormat="1" ht="15" hidden="1" customHeight="1" x14ac:dyDescent="0.25">
      <c r="A33" s="1377"/>
      <c r="B33" s="361" t="s">
        <v>261</v>
      </c>
      <c r="C33" s="90"/>
      <c r="D33" s="90"/>
      <c r="E33" s="90"/>
      <c r="F33" s="91"/>
      <c r="G33" s="90"/>
      <c r="H33" s="90"/>
      <c r="I33" s="92"/>
      <c r="J33" s="93"/>
      <c r="K33" s="94"/>
      <c r="L33" s="3"/>
      <c r="M33" s="96"/>
      <c r="N33" s="96"/>
      <c r="O33" s="96"/>
      <c r="P33" s="47">
        <v>0</v>
      </c>
      <c r="Q33" s="96">
        <f t="shared" si="27"/>
        <v>0</v>
      </c>
      <c r="R33" s="96">
        <v>0</v>
      </c>
      <c r="S33" s="96">
        <v>0</v>
      </c>
      <c r="T33" s="96">
        <v>0</v>
      </c>
      <c r="U33" s="96">
        <v>0</v>
      </c>
      <c r="V33" s="96">
        <v>0</v>
      </c>
      <c r="W33" s="96">
        <v>0</v>
      </c>
      <c r="X33" s="96">
        <v>0</v>
      </c>
      <c r="Y33" s="96">
        <v>0</v>
      </c>
      <c r="Z33" s="96">
        <f>AA33+AB33+AC33</f>
        <v>0</v>
      </c>
      <c r="AA33" s="96">
        <v>0</v>
      </c>
      <c r="AB33" s="96"/>
      <c r="AC33" s="96"/>
      <c r="AD33" s="96"/>
      <c r="AE33" s="96">
        <f t="shared" si="26"/>
        <v>0</v>
      </c>
      <c r="AF33" s="96"/>
      <c r="AG33" s="96"/>
      <c r="AH33" s="96"/>
      <c r="AI33" s="96"/>
      <c r="AJ33" s="96"/>
      <c r="AK33" s="96"/>
      <c r="AL33" s="96"/>
      <c r="AM33" s="96"/>
      <c r="AN33" s="96"/>
      <c r="AO33" s="1365"/>
    </row>
    <row r="34" spans="1:41" s="97" customFormat="1" ht="15" hidden="1" customHeight="1" x14ac:dyDescent="0.25">
      <c r="A34" s="1377"/>
      <c r="B34" s="361" t="s">
        <v>223</v>
      </c>
      <c r="C34" s="90"/>
      <c r="D34" s="90"/>
      <c r="E34" s="90"/>
      <c r="F34" s="91"/>
      <c r="G34" s="90"/>
      <c r="H34" s="90"/>
      <c r="I34" s="92"/>
      <c r="J34" s="93"/>
      <c r="K34" s="94"/>
      <c r="L34" s="3"/>
      <c r="M34" s="96"/>
      <c r="N34" s="96"/>
      <c r="O34" s="96"/>
      <c r="P34" s="47">
        <v>0</v>
      </c>
      <c r="Q34" s="96">
        <f t="shared" si="27"/>
        <v>0</v>
      </c>
      <c r="R34" s="96">
        <v>0</v>
      </c>
      <c r="S34" s="96">
        <v>0</v>
      </c>
      <c r="T34" s="96">
        <v>0</v>
      </c>
      <c r="U34" s="96">
        <v>0</v>
      </c>
      <c r="V34" s="96">
        <v>0</v>
      </c>
      <c r="W34" s="96">
        <v>0</v>
      </c>
      <c r="X34" s="96">
        <v>0</v>
      </c>
      <c r="Y34" s="96">
        <v>0</v>
      </c>
      <c r="Z34" s="96">
        <f>AA34+AB34+AC34</f>
        <v>0</v>
      </c>
      <c r="AA34" s="96">
        <v>0</v>
      </c>
      <c r="AB34" s="96"/>
      <c r="AC34" s="96"/>
      <c r="AD34" s="96"/>
      <c r="AE34" s="96">
        <f t="shared" si="26"/>
        <v>0</v>
      </c>
      <c r="AF34" s="96"/>
      <c r="AG34" s="96"/>
      <c r="AH34" s="96"/>
      <c r="AI34" s="96"/>
      <c r="AJ34" s="96"/>
      <c r="AK34" s="96"/>
      <c r="AL34" s="96"/>
      <c r="AM34" s="96"/>
      <c r="AN34" s="96"/>
      <c r="AO34" s="1365"/>
    </row>
    <row r="35" spans="1:41" s="97" customFormat="1" ht="16.5" hidden="1" customHeight="1" x14ac:dyDescent="0.25">
      <c r="A35" s="1377"/>
      <c r="B35" s="361" t="s">
        <v>221</v>
      </c>
      <c r="C35" s="90"/>
      <c r="D35" s="90"/>
      <c r="E35" s="90"/>
      <c r="F35" s="91"/>
      <c r="G35" s="90"/>
      <c r="H35" s="90"/>
      <c r="I35" s="92"/>
      <c r="J35" s="93"/>
      <c r="K35" s="94"/>
      <c r="L35" s="3"/>
      <c r="M35" s="96"/>
      <c r="N35" s="96"/>
      <c r="O35" s="96"/>
      <c r="P35" s="47">
        <f>R35</f>
        <v>0</v>
      </c>
      <c r="Q35" s="96">
        <f t="shared" si="27"/>
        <v>0</v>
      </c>
      <c r="R35" s="96">
        <f>S35</f>
        <v>0</v>
      </c>
      <c r="S35" s="96">
        <v>0</v>
      </c>
      <c r="T35" s="96">
        <v>0</v>
      </c>
      <c r="U35" s="96">
        <v>0</v>
      </c>
      <c r="V35" s="96">
        <v>0</v>
      </c>
      <c r="W35" s="96">
        <v>0</v>
      </c>
      <c r="X35" s="96">
        <v>0</v>
      </c>
      <c r="Y35" s="96">
        <v>0</v>
      </c>
      <c r="Z35" s="96">
        <f>SUM(AA35:AD35)</f>
        <v>0</v>
      </c>
      <c r="AA35" s="96">
        <v>0</v>
      </c>
      <c r="AB35" s="96">
        <v>0</v>
      </c>
      <c r="AC35" s="96">
        <v>0</v>
      </c>
      <c r="AD35" s="96">
        <v>0</v>
      </c>
      <c r="AE35" s="96">
        <f t="shared" si="26"/>
        <v>0</v>
      </c>
      <c r="AF35" s="96"/>
      <c r="AG35" s="96"/>
      <c r="AH35" s="96"/>
      <c r="AI35" s="96"/>
      <c r="AJ35" s="96"/>
      <c r="AK35" s="96"/>
      <c r="AL35" s="96"/>
      <c r="AM35" s="96"/>
      <c r="AN35" s="96"/>
      <c r="AO35" s="1365"/>
    </row>
    <row r="36" spans="1:41" ht="24.75" customHeight="1" x14ac:dyDescent="0.25">
      <c r="A36" s="1377"/>
      <c r="B36" s="446"/>
      <c r="C36" s="435"/>
      <c r="D36" s="435"/>
      <c r="E36" s="435"/>
      <c r="F36" s="437"/>
      <c r="G36" s="435"/>
      <c r="H36" s="435"/>
      <c r="I36" s="15" t="s">
        <v>9</v>
      </c>
      <c r="J36" s="438">
        <f>K36</f>
        <v>702203.72</v>
      </c>
      <c r="K36" s="29">
        <v>702203.72</v>
      </c>
      <c r="L36" s="71">
        <v>545414.29</v>
      </c>
      <c r="M36" s="71">
        <v>348941.19</v>
      </c>
      <c r="N36" s="71">
        <v>196473.11</v>
      </c>
      <c r="O36" s="71">
        <v>0</v>
      </c>
      <c r="P36" s="71">
        <v>0</v>
      </c>
      <c r="Q36" s="71">
        <f>SUM(Q37:Q37)</f>
        <v>0</v>
      </c>
      <c r="R36" s="71">
        <f>SUM(R37:R37)</f>
        <v>0</v>
      </c>
      <c r="S36" s="71">
        <f>SUM(S37:S37)</f>
        <v>0</v>
      </c>
      <c r="T36" s="71">
        <f t="shared" ref="T36:AI36" si="28">SUM(T37:T37)</f>
        <v>0</v>
      </c>
      <c r="U36" s="71">
        <f t="shared" si="28"/>
        <v>0</v>
      </c>
      <c r="V36" s="71">
        <f t="shared" si="28"/>
        <v>0</v>
      </c>
      <c r="W36" s="71">
        <f t="shared" si="28"/>
        <v>0</v>
      </c>
      <c r="X36" s="71">
        <v>0</v>
      </c>
      <c r="Y36" s="71">
        <f t="shared" si="28"/>
        <v>0</v>
      </c>
      <c r="Z36" s="71">
        <f t="shared" si="28"/>
        <v>0</v>
      </c>
      <c r="AA36" s="71">
        <f>SUM(AA37:AA37)</f>
        <v>0</v>
      </c>
      <c r="AB36" s="71">
        <f>SUM(AB37:AB37)</f>
        <v>0</v>
      </c>
      <c r="AC36" s="71">
        <f>SUM(AC37:AC37)</f>
        <v>0</v>
      </c>
      <c r="AD36" s="71">
        <f>SUM(AD37:AD37)</f>
        <v>0</v>
      </c>
      <c r="AE36" s="71">
        <f t="shared" si="28"/>
        <v>0</v>
      </c>
      <c r="AF36" s="71">
        <f t="shared" si="28"/>
        <v>0</v>
      </c>
      <c r="AG36" s="71">
        <f t="shared" si="28"/>
        <v>0</v>
      </c>
      <c r="AH36" s="71">
        <f t="shared" si="28"/>
        <v>0</v>
      </c>
      <c r="AI36" s="71">
        <f t="shared" si="28"/>
        <v>0</v>
      </c>
      <c r="AJ36" s="71">
        <v>0</v>
      </c>
      <c r="AK36" s="71">
        <v>0</v>
      </c>
      <c r="AL36" s="71">
        <v>0</v>
      </c>
      <c r="AM36" s="71">
        <v>0</v>
      </c>
      <c r="AN36" s="71">
        <v>0</v>
      </c>
      <c r="AO36" s="1365"/>
    </row>
    <row r="37" spans="1:41" s="97" customFormat="1" ht="15.75" hidden="1" customHeight="1" x14ac:dyDescent="0.25">
      <c r="A37" s="322"/>
      <c r="B37" s="535" t="s">
        <v>246</v>
      </c>
      <c r="C37" s="90"/>
      <c r="D37" s="90"/>
      <c r="E37" s="90"/>
      <c r="F37" s="91"/>
      <c r="G37" s="90"/>
      <c r="H37" s="90"/>
      <c r="I37" s="101"/>
      <c r="J37" s="98"/>
      <c r="K37" s="99"/>
      <c r="L37" s="71"/>
      <c r="M37" s="100"/>
      <c r="N37" s="100"/>
      <c r="O37" s="100"/>
      <c r="P37" s="47">
        <f>Q37</f>
        <v>0</v>
      </c>
      <c r="Q37" s="96">
        <f>S37+U37+W37+Y37</f>
        <v>0</v>
      </c>
      <c r="R37" s="96">
        <v>0</v>
      </c>
      <c r="S37" s="100">
        <v>0</v>
      </c>
      <c r="T37" s="100">
        <v>0</v>
      </c>
      <c r="U37" s="100">
        <v>0</v>
      </c>
      <c r="V37" s="100">
        <v>0</v>
      </c>
      <c r="W37" s="100">
        <v>0</v>
      </c>
      <c r="X37" s="100">
        <v>0</v>
      </c>
      <c r="Y37" s="100">
        <v>0</v>
      </c>
      <c r="Z37" s="96">
        <f>SUM(AA37:AD37)</f>
        <v>0</v>
      </c>
      <c r="AA37" s="100">
        <v>0</v>
      </c>
      <c r="AB37" s="100">
        <v>0</v>
      </c>
      <c r="AC37" s="100">
        <v>0</v>
      </c>
      <c r="AD37" s="100">
        <v>0</v>
      </c>
      <c r="AE37" s="96">
        <f>SUM(AF37:AF37)</f>
        <v>0</v>
      </c>
      <c r="AF37" s="100"/>
      <c r="AG37" s="100"/>
      <c r="AH37" s="100"/>
      <c r="AI37" s="100"/>
      <c r="AJ37" s="100"/>
      <c r="AK37" s="100"/>
      <c r="AL37" s="100"/>
      <c r="AM37" s="100"/>
      <c r="AN37" s="100"/>
      <c r="AO37" s="1365"/>
    </row>
    <row r="38" spans="1:41" ht="25.5" x14ac:dyDescent="0.25">
      <c r="A38" s="436"/>
      <c r="B38" s="446"/>
      <c r="C38" s="435"/>
      <c r="D38" s="435"/>
      <c r="E38" s="435"/>
      <c r="F38" s="437"/>
      <c r="G38" s="435"/>
      <c r="H38" s="435"/>
      <c r="I38" s="439" t="s">
        <v>10</v>
      </c>
      <c r="J38" s="434"/>
      <c r="K38" s="283"/>
      <c r="L38" s="71">
        <f>SUM(L39:L40)</f>
        <v>172003.82</v>
      </c>
      <c r="M38" s="71">
        <v>135504.01</v>
      </c>
      <c r="N38" s="71">
        <f>SUM(N39:N40)</f>
        <v>36499.81</v>
      </c>
      <c r="O38" s="71">
        <v>0</v>
      </c>
      <c r="P38" s="71">
        <v>0</v>
      </c>
      <c r="Q38" s="47">
        <f>SUM(Q39:Q40)</f>
        <v>0</v>
      </c>
      <c r="R38" s="47">
        <f t="shared" ref="R38:Y38" si="29">SUM(R39:R40)</f>
        <v>0</v>
      </c>
      <c r="S38" s="47">
        <f t="shared" si="29"/>
        <v>0</v>
      </c>
      <c r="T38" s="47">
        <v>0</v>
      </c>
      <c r="U38" s="47">
        <v>0</v>
      </c>
      <c r="V38" s="47">
        <f t="shared" si="29"/>
        <v>0</v>
      </c>
      <c r="W38" s="47">
        <f t="shared" si="29"/>
        <v>0</v>
      </c>
      <c r="X38" s="47">
        <v>0</v>
      </c>
      <c r="Y38" s="47">
        <f t="shared" si="29"/>
        <v>0</v>
      </c>
      <c r="Z38" s="47">
        <f t="shared" ref="Z38:AI38" si="30">SUM(Z39:Z40)</f>
        <v>0</v>
      </c>
      <c r="AA38" s="47">
        <f t="shared" si="30"/>
        <v>0</v>
      </c>
      <c r="AB38" s="47">
        <f t="shared" si="30"/>
        <v>0</v>
      </c>
      <c r="AC38" s="47">
        <f t="shared" si="30"/>
        <v>0</v>
      </c>
      <c r="AD38" s="47">
        <f t="shared" si="30"/>
        <v>0</v>
      </c>
      <c r="AE38" s="47">
        <f t="shared" si="30"/>
        <v>0</v>
      </c>
      <c r="AF38" s="47">
        <f t="shared" si="30"/>
        <v>0</v>
      </c>
      <c r="AG38" s="47">
        <f t="shared" si="30"/>
        <v>0</v>
      </c>
      <c r="AH38" s="47">
        <f t="shared" si="30"/>
        <v>0</v>
      </c>
      <c r="AI38" s="47">
        <f t="shared" si="30"/>
        <v>0</v>
      </c>
      <c r="AJ38" s="71">
        <v>0</v>
      </c>
      <c r="AK38" s="71">
        <v>0</v>
      </c>
      <c r="AL38" s="71">
        <v>0</v>
      </c>
      <c r="AM38" s="71">
        <v>0</v>
      </c>
      <c r="AN38" s="71">
        <v>0</v>
      </c>
      <c r="AO38" s="1366"/>
    </row>
    <row r="39" spans="1:41" ht="15.75" x14ac:dyDescent="0.25">
      <c r="A39" s="466"/>
      <c r="B39" s="478" t="s">
        <v>219</v>
      </c>
      <c r="C39" s="465"/>
      <c r="D39" s="465"/>
      <c r="E39" s="465"/>
      <c r="F39" s="467"/>
      <c r="G39" s="465"/>
      <c r="H39" s="465"/>
      <c r="I39" s="686" t="s">
        <v>351</v>
      </c>
      <c r="J39" s="464"/>
      <c r="K39" s="283"/>
      <c r="L39" s="71">
        <v>90003.82</v>
      </c>
      <c r="M39" s="71"/>
      <c r="N39" s="71">
        <v>62531.64</v>
      </c>
      <c r="O39" s="71"/>
      <c r="P39" s="47">
        <f>Q39</f>
        <v>0</v>
      </c>
      <c r="Q39" s="47">
        <f>S39+U39+W39+Y39</f>
        <v>0</v>
      </c>
      <c r="R39" s="71">
        <v>0</v>
      </c>
      <c r="S39" s="71">
        <v>0</v>
      </c>
      <c r="T39" s="71">
        <f>U39</f>
        <v>0</v>
      </c>
      <c r="U39" s="71">
        <v>0</v>
      </c>
      <c r="V39" s="71">
        <v>0</v>
      </c>
      <c r="W39" s="71">
        <v>0</v>
      </c>
      <c r="X39" s="71">
        <v>0</v>
      </c>
      <c r="Y39" s="71">
        <v>0</v>
      </c>
      <c r="Z39" s="71">
        <v>0</v>
      </c>
      <c r="AA39" s="71">
        <v>0</v>
      </c>
      <c r="AB39" s="71"/>
      <c r="AC39" s="71"/>
      <c r="AD39" s="71"/>
      <c r="AE39" s="47">
        <f>SUM(AF39:AF39)</f>
        <v>0</v>
      </c>
      <c r="AF39" s="47">
        <f>SUM(AF40:AF41)</f>
        <v>0</v>
      </c>
      <c r="AG39" s="71"/>
      <c r="AH39" s="71"/>
      <c r="AI39" s="71"/>
      <c r="AJ39" s="71">
        <v>0</v>
      </c>
      <c r="AK39" s="71">
        <v>0</v>
      </c>
      <c r="AL39" s="71">
        <v>0</v>
      </c>
      <c r="AM39" s="71">
        <v>0</v>
      </c>
      <c r="AN39" s="71">
        <v>0</v>
      </c>
      <c r="AO39" s="479"/>
    </row>
    <row r="40" spans="1:41" ht="15.75" x14ac:dyDescent="0.25">
      <c r="A40" s="466"/>
      <c r="B40" s="478" t="s">
        <v>220</v>
      </c>
      <c r="C40" s="465"/>
      <c r="D40" s="465"/>
      <c r="E40" s="465"/>
      <c r="F40" s="467"/>
      <c r="G40" s="465"/>
      <c r="H40" s="465"/>
      <c r="I40" s="686" t="s">
        <v>352</v>
      </c>
      <c r="J40" s="464"/>
      <c r="K40" s="283"/>
      <c r="L40" s="71">
        <v>82000</v>
      </c>
      <c r="M40" s="71"/>
      <c r="N40" s="71">
        <v>-26031.83</v>
      </c>
      <c r="O40" s="71"/>
      <c r="P40" s="47">
        <f>Q40</f>
        <v>0</v>
      </c>
      <c r="Q40" s="47">
        <f>S40+U40+W40</f>
        <v>0</v>
      </c>
      <c r="R40" s="71">
        <v>0</v>
      </c>
      <c r="S40" s="71">
        <v>0</v>
      </c>
      <c r="T40" s="71">
        <v>0</v>
      </c>
      <c r="U40" s="71">
        <v>0</v>
      </c>
      <c r="V40" s="71">
        <v>0</v>
      </c>
      <c r="W40" s="71">
        <v>0</v>
      </c>
      <c r="X40" s="71">
        <v>0</v>
      </c>
      <c r="Y40" s="71">
        <v>0</v>
      </c>
      <c r="Z40" s="71">
        <v>0</v>
      </c>
      <c r="AA40" s="71">
        <v>0</v>
      </c>
      <c r="AB40" s="71"/>
      <c r="AC40" s="71"/>
      <c r="AD40" s="71"/>
      <c r="AE40" s="47">
        <f>SUM(AF40:AF40)</f>
        <v>0</v>
      </c>
      <c r="AF40" s="47">
        <f>SUM(AF41:AF42)</f>
        <v>0</v>
      </c>
      <c r="AG40" s="71"/>
      <c r="AH40" s="71"/>
      <c r="AI40" s="71"/>
      <c r="AJ40" s="71">
        <v>0</v>
      </c>
      <c r="AK40" s="71">
        <v>0</v>
      </c>
      <c r="AL40" s="71">
        <v>0</v>
      </c>
      <c r="AM40" s="71">
        <v>0</v>
      </c>
      <c r="AN40" s="71">
        <v>0</v>
      </c>
      <c r="AO40" s="479"/>
    </row>
    <row r="41" spans="1:41" ht="56.25" customHeight="1" x14ac:dyDescent="0.25">
      <c r="A41" s="1376" t="s">
        <v>33</v>
      </c>
      <c r="B41" s="77" t="s">
        <v>28</v>
      </c>
      <c r="C41" s="30"/>
      <c r="D41" s="30"/>
      <c r="E41" s="30"/>
      <c r="F41" s="31">
        <v>30000</v>
      </c>
      <c r="G41" s="10"/>
      <c r="H41" s="10"/>
      <c r="I41" s="1326" t="s">
        <v>19</v>
      </c>
      <c r="J41" s="1386">
        <f>K41+L41</f>
        <v>272205.39</v>
      </c>
      <c r="K41" s="1386">
        <v>0</v>
      </c>
      <c r="L41" s="78">
        <f>L43+L42</f>
        <v>272205.39</v>
      </c>
      <c r="M41" s="78">
        <f>M43+M42</f>
        <v>0</v>
      </c>
      <c r="N41" s="78">
        <f>N43+N42</f>
        <v>69943.709999999992</v>
      </c>
      <c r="O41" s="78">
        <f>O43+O42</f>
        <v>69943.710000000006</v>
      </c>
      <c r="P41" s="78">
        <f>P43+P42</f>
        <v>74000</v>
      </c>
      <c r="Q41" s="78">
        <f t="shared" ref="Q41:AN41" si="31">Q43</f>
        <v>0</v>
      </c>
      <c r="R41" s="78">
        <f t="shared" si="31"/>
        <v>0</v>
      </c>
      <c r="S41" s="78">
        <f t="shared" si="31"/>
        <v>0</v>
      </c>
      <c r="T41" s="78">
        <f t="shared" si="31"/>
        <v>0</v>
      </c>
      <c r="U41" s="78">
        <f t="shared" si="31"/>
        <v>0</v>
      </c>
      <c r="V41" s="78">
        <f t="shared" si="31"/>
        <v>0</v>
      </c>
      <c r="W41" s="78">
        <f t="shared" si="31"/>
        <v>0</v>
      </c>
      <c r="X41" s="78">
        <f t="shared" si="31"/>
        <v>0</v>
      </c>
      <c r="Y41" s="78">
        <f t="shared" si="31"/>
        <v>0</v>
      </c>
      <c r="Z41" s="78">
        <f t="shared" si="31"/>
        <v>0</v>
      </c>
      <c r="AA41" s="78">
        <f t="shared" si="31"/>
        <v>0</v>
      </c>
      <c r="AB41" s="78">
        <f t="shared" si="31"/>
        <v>0</v>
      </c>
      <c r="AC41" s="78">
        <f t="shared" si="31"/>
        <v>0</v>
      </c>
      <c r="AD41" s="78">
        <f t="shared" si="31"/>
        <v>0</v>
      </c>
      <c r="AE41" s="78">
        <f t="shared" si="31"/>
        <v>0</v>
      </c>
      <c r="AF41" s="78">
        <f t="shared" si="31"/>
        <v>0</v>
      </c>
      <c r="AG41" s="78">
        <f t="shared" si="31"/>
        <v>0</v>
      </c>
      <c r="AH41" s="78">
        <f>AH43</f>
        <v>0</v>
      </c>
      <c r="AI41" s="78">
        <f>AI43</f>
        <v>0</v>
      </c>
      <c r="AJ41" s="78">
        <f>P41-Q41</f>
        <v>74000</v>
      </c>
      <c r="AK41" s="79">
        <f>AJ41</f>
        <v>74000</v>
      </c>
      <c r="AL41" s="78">
        <f t="shared" si="31"/>
        <v>0</v>
      </c>
      <c r="AM41" s="78">
        <f t="shared" si="31"/>
        <v>0</v>
      </c>
      <c r="AN41" s="78">
        <f t="shared" si="31"/>
        <v>0</v>
      </c>
      <c r="AO41" s="423" t="s">
        <v>419</v>
      </c>
    </row>
    <row r="42" spans="1:41" s="285" customFormat="1" ht="16.5" customHeight="1" x14ac:dyDescent="0.25">
      <c r="A42" s="1377"/>
      <c r="B42" s="1" t="s">
        <v>15</v>
      </c>
      <c r="C42" s="286"/>
      <c r="D42" s="286"/>
      <c r="E42" s="286"/>
      <c r="F42" s="287"/>
      <c r="G42" s="273"/>
      <c r="H42" s="273"/>
      <c r="I42" s="1327"/>
      <c r="J42" s="1408"/>
      <c r="K42" s="1408"/>
      <c r="L42" s="848">
        <v>4946.26</v>
      </c>
      <c r="M42" s="72">
        <v>0</v>
      </c>
      <c r="N42" s="72">
        <v>4946.26</v>
      </c>
      <c r="O42" s="72">
        <v>0</v>
      </c>
      <c r="P42" s="848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288">
        <v>0</v>
      </c>
      <c r="AK42" s="288">
        <v>0</v>
      </c>
      <c r="AL42" s="72">
        <v>0</v>
      </c>
      <c r="AM42" s="72">
        <v>0</v>
      </c>
      <c r="AN42" s="72">
        <v>0</v>
      </c>
      <c r="AO42" s="1367"/>
    </row>
    <row r="43" spans="1:41" ht="15.75" customHeight="1" x14ac:dyDescent="0.25">
      <c r="A43" s="1409"/>
      <c r="B43" s="1" t="s">
        <v>32</v>
      </c>
      <c r="C43" s="30"/>
      <c r="D43" s="30"/>
      <c r="E43" s="30"/>
      <c r="F43" s="32"/>
      <c r="G43" s="10">
        <v>2020</v>
      </c>
      <c r="H43" s="10">
        <v>2021</v>
      </c>
      <c r="I43" s="1328"/>
      <c r="J43" s="1387"/>
      <c r="K43" s="1387"/>
      <c r="L43" s="848">
        <v>267259.13</v>
      </c>
      <c r="M43" s="72">
        <v>0</v>
      </c>
      <c r="N43" s="72">
        <v>64997.45</v>
      </c>
      <c r="O43" s="72">
        <v>69943.710000000006</v>
      </c>
      <c r="P43" s="848">
        <v>74000</v>
      </c>
      <c r="Q43" s="72">
        <v>0</v>
      </c>
      <c r="R43" s="72">
        <v>0</v>
      </c>
      <c r="S43" s="72">
        <v>0</v>
      </c>
      <c r="T43" s="72">
        <v>0</v>
      </c>
      <c r="U43" s="72">
        <v>0</v>
      </c>
      <c r="V43" s="72">
        <v>0</v>
      </c>
      <c r="W43" s="72">
        <v>0</v>
      </c>
      <c r="X43" s="72">
        <v>0</v>
      </c>
      <c r="Y43" s="72">
        <v>0</v>
      </c>
      <c r="Z43" s="72">
        <v>0</v>
      </c>
      <c r="AA43" s="72">
        <v>0</v>
      </c>
      <c r="AB43" s="72">
        <v>0</v>
      </c>
      <c r="AC43" s="72">
        <v>0</v>
      </c>
      <c r="AD43" s="72">
        <v>0</v>
      </c>
      <c r="AE43" s="72">
        <v>0</v>
      </c>
      <c r="AF43" s="72">
        <v>0</v>
      </c>
      <c r="AG43" s="72">
        <v>0</v>
      </c>
      <c r="AH43" s="72">
        <v>0</v>
      </c>
      <c r="AI43" s="72">
        <v>0</v>
      </c>
      <c r="AJ43" s="72">
        <v>0</v>
      </c>
      <c r="AK43" s="72">
        <v>0</v>
      </c>
      <c r="AL43" s="72">
        <v>0</v>
      </c>
      <c r="AM43" s="72">
        <v>0</v>
      </c>
      <c r="AN43" s="72">
        <v>0</v>
      </c>
      <c r="AO43" s="1368"/>
    </row>
    <row r="44" spans="1:41" ht="53.25" customHeight="1" x14ac:dyDescent="0.25">
      <c r="A44" s="1376" t="s">
        <v>37</v>
      </c>
      <c r="B44" s="77" t="s">
        <v>36</v>
      </c>
      <c r="C44" s="30"/>
      <c r="D44" s="30"/>
      <c r="E44" s="30"/>
      <c r="F44" s="32"/>
      <c r="G44" s="10"/>
      <c r="H44" s="10"/>
      <c r="I44" s="1326" t="s">
        <v>19</v>
      </c>
      <c r="J44" s="33">
        <v>344081.28</v>
      </c>
      <c r="K44" s="1442">
        <v>0</v>
      </c>
      <c r="L44" s="76">
        <f>L45+L47</f>
        <v>248435.19</v>
      </c>
      <c r="M44" s="76">
        <f>M45+M47</f>
        <v>20243.12</v>
      </c>
      <c r="N44" s="76">
        <f>N45+N47</f>
        <v>13773.23</v>
      </c>
      <c r="O44" s="76">
        <f>O45+O47</f>
        <v>8942.9699999999993</v>
      </c>
      <c r="P44" s="76">
        <f>P45+P47</f>
        <v>90000</v>
      </c>
      <c r="Q44" s="76">
        <f t="shared" ref="Q44:AN44" si="32">Q45+Q47</f>
        <v>0</v>
      </c>
      <c r="R44" s="76">
        <f t="shared" si="32"/>
        <v>0</v>
      </c>
      <c r="S44" s="76">
        <f t="shared" si="32"/>
        <v>0</v>
      </c>
      <c r="T44" s="76">
        <f t="shared" si="32"/>
        <v>0</v>
      </c>
      <c r="U44" s="76">
        <f t="shared" si="32"/>
        <v>0</v>
      </c>
      <c r="V44" s="76">
        <f t="shared" si="32"/>
        <v>0</v>
      </c>
      <c r="W44" s="76">
        <f t="shared" si="32"/>
        <v>0</v>
      </c>
      <c r="X44" s="76">
        <f t="shared" si="32"/>
        <v>0</v>
      </c>
      <c r="Y44" s="76">
        <f t="shared" si="32"/>
        <v>0</v>
      </c>
      <c r="Z44" s="76">
        <f t="shared" si="32"/>
        <v>0</v>
      </c>
      <c r="AA44" s="76">
        <f t="shared" si="32"/>
        <v>0</v>
      </c>
      <c r="AB44" s="76">
        <f>AB45+AB47</f>
        <v>0</v>
      </c>
      <c r="AC44" s="76">
        <f>AC45+AC47</f>
        <v>0</v>
      </c>
      <c r="AD44" s="76">
        <f>AD45+AD47</f>
        <v>0</v>
      </c>
      <c r="AE44" s="76">
        <f t="shared" si="32"/>
        <v>0</v>
      </c>
      <c r="AF44" s="76">
        <f t="shared" si="32"/>
        <v>0</v>
      </c>
      <c r="AG44" s="76">
        <f t="shared" si="32"/>
        <v>0</v>
      </c>
      <c r="AH44" s="76">
        <f>AH45+AH47</f>
        <v>0</v>
      </c>
      <c r="AI44" s="76">
        <f>AI45+AI47</f>
        <v>0</v>
      </c>
      <c r="AJ44" s="76">
        <f>P44-Q44</f>
        <v>90000</v>
      </c>
      <c r="AK44" s="76">
        <f>AJ44</f>
        <v>90000</v>
      </c>
      <c r="AL44" s="76">
        <f>ROUND((Q44*100%/P44*100),2)</f>
        <v>0</v>
      </c>
      <c r="AM44" s="76">
        <f t="shared" si="32"/>
        <v>0</v>
      </c>
      <c r="AN44" s="76">
        <f t="shared" si="32"/>
        <v>0</v>
      </c>
      <c r="AO44" s="400"/>
    </row>
    <row r="45" spans="1:41" ht="15" customHeight="1" x14ac:dyDescent="0.25">
      <c r="A45" s="1377"/>
      <c r="B45" s="1" t="s">
        <v>15</v>
      </c>
      <c r="C45" s="30"/>
      <c r="D45" s="30"/>
      <c r="E45" s="30"/>
      <c r="F45" s="32"/>
      <c r="G45" s="10">
        <v>2019</v>
      </c>
      <c r="H45" s="10">
        <v>2019</v>
      </c>
      <c r="I45" s="1327"/>
      <c r="J45" s="16">
        <v>31543.64</v>
      </c>
      <c r="K45" s="1443"/>
      <c r="L45" s="47">
        <f>SUM(M45:O45)</f>
        <v>31543.64</v>
      </c>
      <c r="M45" s="4">
        <v>20243.12</v>
      </c>
      <c r="N45" s="4">
        <v>11300.52</v>
      </c>
      <c r="O45" s="4">
        <v>0</v>
      </c>
      <c r="P45" s="4">
        <v>0</v>
      </c>
      <c r="Q45" s="4">
        <f>Q46</f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f>X46</f>
        <v>0</v>
      </c>
      <c r="Y45" s="4">
        <f>Y46</f>
        <v>0</v>
      </c>
      <c r="Z45" s="4">
        <f>Z46</f>
        <v>0</v>
      </c>
      <c r="AA45" s="4">
        <v>0</v>
      </c>
      <c r="AB45" s="4">
        <v>0</v>
      </c>
      <c r="AC45" s="4">
        <v>0</v>
      </c>
      <c r="AD45" s="4">
        <f>AD46</f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837"/>
    </row>
    <row r="46" spans="1:41" s="97" customFormat="1" ht="15" hidden="1" customHeight="1" x14ac:dyDescent="0.25">
      <c r="A46" s="1377"/>
      <c r="B46" s="102" t="s">
        <v>291</v>
      </c>
      <c r="C46" s="485"/>
      <c r="D46" s="485"/>
      <c r="E46" s="485"/>
      <c r="F46" s="486"/>
      <c r="G46" s="487"/>
      <c r="H46" s="487"/>
      <c r="I46" s="1327"/>
      <c r="J46" s="107"/>
      <c r="K46" s="1443"/>
      <c r="L46" s="47"/>
      <c r="M46" s="268"/>
      <c r="N46" s="268"/>
      <c r="O46" s="268"/>
      <c r="P46" s="4"/>
      <c r="Q46" s="268">
        <f>Y46</f>
        <v>0</v>
      </c>
      <c r="R46" s="268"/>
      <c r="S46" s="268"/>
      <c r="T46" s="268"/>
      <c r="U46" s="268"/>
      <c r="V46" s="268"/>
      <c r="W46" s="268"/>
      <c r="X46" s="268">
        <v>0</v>
      </c>
      <c r="Y46" s="268">
        <v>0</v>
      </c>
      <c r="Z46" s="268">
        <f>AD46</f>
        <v>0</v>
      </c>
      <c r="AA46" s="268"/>
      <c r="AB46" s="268"/>
      <c r="AC46" s="268"/>
      <c r="AD46" s="268">
        <v>0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488"/>
    </row>
    <row r="47" spans="1:41" ht="14.25" customHeight="1" x14ac:dyDescent="0.25">
      <c r="A47" s="1409"/>
      <c r="B47" s="1" t="s">
        <v>16</v>
      </c>
      <c r="C47" s="30"/>
      <c r="D47" s="30"/>
      <c r="E47" s="30"/>
      <c r="F47" s="32"/>
      <c r="G47" s="10">
        <v>2020</v>
      </c>
      <c r="H47" s="10">
        <v>2021</v>
      </c>
      <c r="I47" s="1328"/>
      <c r="J47" s="16">
        <v>312537.64</v>
      </c>
      <c r="K47" s="1444"/>
      <c r="L47" s="47">
        <v>216891.55</v>
      </c>
      <c r="M47" s="4">
        <v>0</v>
      </c>
      <c r="N47" s="4">
        <v>2472.71</v>
      </c>
      <c r="O47" s="4">
        <v>8942.9699999999993</v>
      </c>
      <c r="P47" s="4">
        <v>90000</v>
      </c>
      <c r="Q47" s="47">
        <v>0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7">
        <v>0</v>
      </c>
      <c r="Y47" s="47">
        <v>0</v>
      </c>
      <c r="Z47" s="47">
        <v>0</v>
      </c>
      <c r="AA47" s="47">
        <v>0</v>
      </c>
      <c r="AB47" s="47">
        <v>0</v>
      </c>
      <c r="AC47" s="47">
        <v>0</v>
      </c>
      <c r="AD47" s="47">
        <v>0</v>
      </c>
      <c r="AE47" s="47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7">
        <v>0</v>
      </c>
      <c r="AM47" s="47">
        <v>0</v>
      </c>
      <c r="AN47" s="47">
        <v>0</v>
      </c>
      <c r="AO47" s="397"/>
    </row>
    <row r="48" spans="1:41" ht="69" customHeight="1" x14ac:dyDescent="0.25">
      <c r="A48" s="1376" t="s">
        <v>125</v>
      </c>
      <c r="B48" s="77" t="s">
        <v>349</v>
      </c>
      <c r="C48" s="30"/>
      <c r="D48" s="30"/>
      <c r="E48" s="30"/>
      <c r="F48" s="32"/>
      <c r="G48" s="685"/>
      <c r="H48" s="685"/>
      <c r="I48" s="1445" t="s">
        <v>19</v>
      </c>
      <c r="J48" s="33"/>
      <c r="K48" s="1442"/>
      <c r="L48" s="76">
        <f t="shared" ref="L48:AN48" si="33">L49+L51</f>
        <v>8215.9</v>
      </c>
      <c r="M48" s="76">
        <f t="shared" si="33"/>
        <v>0</v>
      </c>
      <c r="N48" s="76">
        <f t="shared" si="33"/>
        <v>0</v>
      </c>
      <c r="O48" s="76">
        <f t="shared" si="33"/>
        <v>0</v>
      </c>
      <c r="P48" s="76">
        <f t="shared" si="33"/>
        <v>8215.9</v>
      </c>
      <c r="Q48" s="76">
        <f t="shared" si="33"/>
        <v>0</v>
      </c>
      <c r="R48" s="76">
        <f t="shared" si="33"/>
        <v>0</v>
      </c>
      <c r="S48" s="76">
        <f t="shared" si="33"/>
        <v>0</v>
      </c>
      <c r="T48" s="76">
        <f t="shared" si="33"/>
        <v>0</v>
      </c>
      <c r="U48" s="76">
        <f t="shared" si="33"/>
        <v>0</v>
      </c>
      <c r="V48" s="76">
        <f t="shared" si="33"/>
        <v>0</v>
      </c>
      <c r="W48" s="76">
        <f t="shared" si="33"/>
        <v>0</v>
      </c>
      <c r="X48" s="76">
        <f t="shared" si="33"/>
        <v>0</v>
      </c>
      <c r="Y48" s="76">
        <f t="shared" si="33"/>
        <v>0</v>
      </c>
      <c r="Z48" s="76">
        <f t="shared" si="33"/>
        <v>1185.0595599999999</v>
      </c>
      <c r="AA48" s="76">
        <f t="shared" si="33"/>
        <v>0</v>
      </c>
      <c r="AB48" s="76">
        <f t="shared" si="33"/>
        <v>0</v>
      </c>
      <c r="AC48" s="76">
        <f t="shared" si="33"/>
        <v>0</v>
      </c>
      <c r="AD48" s="76">
        <f t="shared" si="33"/>
        <v>1185.0595599999999</v>
      </c>
      <c r="AE48" s="76">
        <f t="shared" si="33"/>
        <v>0</v>
      </c>
      <c r="AF48" s="76">
        <f t="shared" si="33"/>
        <v>0</v>
      </c>
      <c r="AG48" s="76">
        <f t="shared" si="33"/>
        <v>0</v>
      </c>
      <c r="AH48" s="76">
        <f t="shared" si="33"/>
        <v>0</v>
      </c>
      <c r="AI48" s="76">
        <f t="shared" si="33"/>
        <v>0</v>
      </c>
      <c r="AJ48" s="76">
        <f>P48-Q48</f>
        <v>8215.9</v>
      </c>
      <c r="AK48" s="76">
        <f>AJ48</f>
        <v>8215.9</v>
      </c>
      <c r="AL48" s="76">
        <f t="shared" si="33"/>
        <v>0</v>
      </c>
      <c r="AM48" s="76">
        <f t="shared" si="33"/>
        <v>0</v>
      </c>
      <c r="AN48" s="76">
        <f t="shared" si="33"/>
        <v>0</v>
      </c>
      <c r="AO48" s="400"/>
    </row>
    <row r="49" spans="1:41" ht="16.5" customHeight="1" x14ac:dyDescent="0.25">
      <c r="A49" s="1378"/>
      <c r="B49" s="1" t="s">
        <v>15</v>
      </c>
      <c r="C49" s="30"/>
      <c r="D49" s="30"/>
      <c r="E49" s="30"/>
      <c r="F49" s="32"/>
      <c r="G49" s="685"/>
      <c r="H49" s="685"/>
      <c r="I49" s="1446"/>
      <c r="J49" s="33"/>
      <c r="K49" s="1443"/>
      <c r="L49" s="47">
        <v>1519.43</v>
      </c>
      <c r="M49" s="4"/>
      <c r="N49" s="4"/>
      <c r="O49" s="4"/>
      <c r="P49" s="47">
        <v>1519.43</v>
      </c>
      <c r="Q49" s="4">
        <f t="shared" ref="Q49:X49" si="34">Q50</f>
        <v>0</v>
      </c>
      <c r="R49" s="4">
        <f t="shared" si="34"/>
        <v>0</v>
      </c>
      <c r="S49" s="4">
        <f t="shared" si="34"/>
        <v>0</v>
      </c>
      <c r="T49" s="4">
        <f t="shared" si="34"/>
        <v>0</v>
      </c>
      <c r="U49" s="4">
        <f t="shared" si="34"/>
        <v>0</v>
      </c>
      <c r="V49" s="4">
        <f t="shared" si="34"/>
        <v>0</v>
      </c>
      <c r="W49" s="4">
        <f t="shared" si="34"/>
        <v>0</v>
      </c>
      <c r="X49" s="4">
        <f t="shared" si="34"/>
        <v>0</v>
      </c>
      <c r="Y49" s="4">
        <f>Y50</f>
        <v>0</v>
      </c>
      <c r="Z49" s="4">
        <f t="shared" ref="Z49:AN49" si="35">Z50</f>
        <v>0</v>
      </c>
      <c r="AA49" s="4">
        <f t="shared" si="35"/>
        <v>0</v>
      </c>
      <c r="AB49" s="4">
        <f t="shared" si="35"/>
        <v>0</v>
      </c>
      <c r="AC49" s="4">
        <f t="shared" si="35"/>
        <v>0</v>
      </c>
      <c r="AD49" s="4">
        <f t="shared" si="35"/>
        <v>0</v>
      </c>
      <c r="AE49" s="4">
        <f t="shared" si="35"/>
        <v>0</v>
      </c>
      <c r="AF49" s="4">
        <f t="shared" si="35"/>
        <v>0</v>
      </c>
      <c r="AG49" s="4">
        <f t="shared" si="35"/>
        <v>0</v>
      </c>
      <c r="AH49" s="4">
        <f t="shared" si="35"/>
        <v>0</v>
      </c>
      <c r="AI49" s="4">
        <f t="shared" si="35"/>
        <v>0</v>
      </c>
      <c r="AJ49" s="4">
        <f t="shared" si="35"/>
        <v>0</v>
      </c>
      <c r="AK49" s="4">
        <f t="shared" si="35"/>
        <v>0</v>
      </c>
      <c r="AL49" s="4">
        <f t="shared" si="35"/>
        <v>0</v>
      </c>
      <c r="AM49" s="4">
        <f t="shared" si="35"/>
        <v>0</v>
      </c>
      <c r="AN49" s="4">
        <f t="shared" si="35"/>
        <v>0</v>
      </c>
      <c r="AO49" s="837"/>
    </row>
    <row r="50" spans="1:41" s="97" customFormat="1" ht="30.75" hidden="1" customHeight="1" x14ac:dyDescent="0.25">
      <c r="A50" s="1378"/>
      <c r="B50" s="102" t="s">
        <v>397</v>
      </c>
      <c r="C50" s="485"/>
      <c r="D50" s="485"/>
      <c r="E50" s="485"/>
      <c r="F50" s="486"/>
      <c r="G50" s="487"/>
      <c r="H50" s="487"/>
      <c r="I50" s="1446"/>
      <c r="J50" s="708"/>
      <c r="K50" s="1443"/>
      <c r="L50" s="47"/>
      <c r="M50" s="268"/>
      <c r="N50" s="268"/>
      <c r="O50" s="268"/>
      <c r="P50" s="47"/>
      <c r="Q50" s="268">
        <f>Y50</f>
        <v>0</v>
      </c>
      <c r="R50" s="268"/>
      <c r="S50" s="268"/>
      <c r="T50" s="268"/>
      <c r="U50" s="268"/>
      <c r="V50" s="268"/>
      <c r="W50" s="268"/>
      <c r="X50" s="268"/>
      <c r="Y50" s="268">
        <v>0</v>
      </c>
      <c r="Z50" s="268">
        <f>AD50</f>
        <v>0</v>
      </c>
      <c r="AA50" s="268"/>
      <c r="AB50" s="268"/>
      <c r="AC50" s="268"/>
      <c r="AD50" s="268">
        <v>0</v>
      </c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488"/>
    </row>
    <row r="51" spans="1:41" ht="15" customHeight="1" x14ac:dyDescent="0.25">
      <c r="A51" s="1378"/>
      <c r="B51" s="1" t="s">
        <v>16</v>
      </c>
      <c r="C51" s="30"/>
      <c r="D51" s="30"/>
      <c r="E51" s="30"/>
      <c r="F51" s="32"/>
      <c r="G51" s="685"/>
      <c r="H51" s="685"/>
      <c r="I51" s="1446"/>
      <c r="J51" s="16"/>
      <c r="K51" s="1444"/>
      <c r="L51" s="47">
        <v>6696.47</v>
      </c>
      <c r="M51" s="4"/>
      <c r="N51" s="4"/>
      <c r="O51" s="4"/>
      <c r="P51" s="47">
        <v>6696.47</v>
      </c>
      <c r="Q51" s="4">
        <f>Q52</f>
        <v>0</v>
      </c>
      <c r="R51" s="4"/>
      <c r="S51" s="4"/>
      <c r="T51" s="4"/>
      <c r="U51" s="4"/>
      <c r="V51" s="4"/>
      <c r="W51" s="4"/>
      <c r="X51" s="4">
        <v>0</v>
      </c>
      <c r="Y51" s="4">
        <f>Y52</f>
        <v>0</v>
      </c>
      <c r="Z51" s="4">
        <f t="shared" ref="Z51:AN51" si="36">Z52</f>
        <v>1185.0595599999999</v>
      </c>
      <c r="AA51" s="4">
        <f t="shared" si="36"/>
        <v>0</v>
      </c>
      <c r="AB51" s="4">
        <f t="shared" si="36"/>
        <v>0</v>
      </c>
      <c r="AC51" s="4">
        <f t="shared" si="36"/>
        <v>0</v>
      </c>
      <c r="AD51" s="4">
        <f t="shared" si="36"/>
        <v>1185.0595599999999</v>
      </c>
      <c r="AE51" s="4">
        <f t="shared" si="36"/>
        <v>0</v>
      </c>
      <c r="AF51" s="4">
        <f t="shared" si="36"/>
        <v>0</v>
      </c>
      <c r="AG51" s="4">
        <f t="shared" si="36"/>
        <v>0</v>
      </c>
      <c r="AH51" s="4">
        <f t="shared" si="36"/>
        <v>0</v>
      </c>
      <c r="AI51" s="4">
        <f t="shared" si="36"/>
        <v>0</v>
      </c>
      <c r="AJ51" s="4">
        <f t="shared" si="36"/>
        <v>0</v>
      </c>
      <c r="AK51" s="4">
        <f t="shared" si="36"/>
        <v>0</v>
      </c>
      <c r="AL51" s="4">
        <f t="shared" si="36"/>
        <v>0</v>
      </c>
      <c r="AM51" s="4">
        <f t="shared" si="36"/>
        <v>0</v>
      </c>
      <c r="AN51" s="4">
        <f t="shared" si="36"/>
        <v>0</v>
      </c>
      <c r="AO51" s="837"/>
    </row>
    <row r="52" spans="1:41" s="97" customFormat="1" ht="27" customHeight="1" x14ac:dyDescent="0.25">
      <c r="A52" s="1373"/>
      <c r="B52" s="252" t="s">
        <v>488</v>
      </c>
      <c r="C52" s="709"/>
      <c r="D52" s="709"/>
      <c r="E52" s="709"/>
      <c r="F52" s="710"/>
      <c r="G52" s="255"/>
      <c r="H52" s="711"/>
      <c r="I52" s="712"/>
      <c r="J52" s="107"/>
      <c r="K52" s="713"/>
      <c r="L52" s="47"/>
      <c r="M52" s="268"/>
      <c r="N52" s="268"/>
      <c r="O52" s="268"/>
      <c r="P52" s="4"/>
      <c r="Q52" s="268">
        <f>Y52</f>
        <v>0</v>
      </c>
      <c r="R52" s="268"/>
      <c r="S52" s="268"/>
      <c r="T52" s="268"/>
      <c r="U52" s="268"/>
      <c r="V52" s="268"/>
      <c r="W52" s="268"/>
      <c r="X52" s="268"/>
      <c r="Y52" s="268">
        <v>0</v>
      </c>
      <c r="Z52" s="268">
        <f>AD52</f>
        <v>1185.0595599999999</v>
      </c>
      <c r="AA52" s="268"/>
      <c r="AB52" s="268"/>
      <c r="AC52" s="268"/>
      <c r="AD52" s="268">
        <v>1185.0595599999999</v>
      </c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488"/>
    </row>
    <row r="53" spans="1:41" ht="53.25" customHeight="1" x14ac:dyDescent="0.25">
      <c r="A53" s="1376" t="s">
        <v>22</v>
      </c>
      <c r="B53" s="1335" t="s">
        <v>350</v>
      </c>
      <c r="C53" s="1336"/>
      <c r="D53" s="1336"/>
      <c r="E53" s="1336"/>
      <c r="F53" s="1336"/>
      <c r="G53" s="1336"/>
      <c r="H53" s="1337"/>
      <c r="I53" s="15" t="s">
        <v>19</v>
      </c>
      <c r="J53" s="16">
        <v>0</v>
      </c>
      <c r="K53" s="16">
        <v>0</v>
      </c>
      <c r="L53" s="3">
        <v>0</v>
      </c>
      <c r="M53" s="318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837"/>
    </row>
    <row r="54" spans="1:41" ht="44.25" customHeight="1" x14ac:dyDescent="0.25">
      <c r="A54" s="1377"/>
      <c r="B54" s="1338"/>
      <c r="C54" s="1339"/>
      <c r="D54" s="1339"/>
      <c r="E54" s="1339"/>
      <c r="F54" s="1339"/>
      <c r="G54" s="1339"/>
      <c r="H54" s="1340"/>
      <c r="I54" s="15" t="s">
        <v>20</v>
      </c>
      <c r="J54" s="16">
        <v>0</v>
      </c>
      <c r="K54" s="16">
        <v>0</v>
      </c>
      <c r="L54" s="3">
        <f>L57</f>
        <v>6815.74</v>
      </c>
      <c r="M54" s="3">
        <f t="shared" ref="M54:AC54" si="37">M57</f>
        <v>0</v>
      </c>
      <c r="N54" s="47">
        <f t="shared" si="37"/>
        <v>0</v>
      </c>
      <c r="O54" s="47">
        <f t="shared" si="37"/>
        <v>0</v>
      </c>
      <c r="P54" s="47">
        <f t="shared" si="37"/>
        <v>0</v>
      </c>
      <c r="Q54" s="47">
        <f t="shared" si="37"/>
        <v>0</v>
      </c>
      <c r="R54" s="47">
        <f t="shared" si="37"/>
        <v>0</v>
      </c>
      <c r="S54" s="47">
        <f t="shared" si="37"/>
        <v>0</v>
      </c>
      <c r="T54" s="47">
        <f t="shared" si="37"/>
        <v>0</v>
      </c>
      <c r="U54" s="47">
        <f t="shared" si="37"/>
        <v>0</v>
      </c>
      <c r="V54" s="47">
        <f t="shared" si="37"/>
        <v>0</v>
      </c>
      <c r="W54" s="47">
        <f t="shared" si="37"/>
        <v>0</v>
      </c>
      <c r="X54" s="47">
        <f t="shared" si="37"/>
        <v>0</v>
      </c>
      <c r="Y54" s="47">
        <f t="shared" si="37"/>
        <v>0</v>
      </c>
      <c r="Z54" s="47">
        <f t="shared" si="37"/>
        <v>0</v>
      </c>
      <c r="AA54" s="47">
        <f t="shared" si="37"/>
        <v>0</v>
      </c>
      <c r="AB54" s="47">
        <f t="shared" si="37"/>
        <v>0</v>
      </c>
      <c r="AC54" s="47">
        <f t="shared" si="37"/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837"/>
    </row>
    <row r="55" spans="1:41" ht="27.75" customHeight="1" x14ac:dyDescent="0.25">
      <c r="A55" s="1377"/>
      <c r="B55" s="1338"/>
      <c r="C55" s="1339"/>
      <c r="D55" s="1339"/>
      <c r="E55" s="1339"/>
      <c r="F55" s="1339"/>
      <c r="G55" s="1339"/>
      <c r="H55" s="1340"/>
      <c r="I55" s="15" t="s">
        <v>10</v>
      </c>
      <c r="J55" s="16">
        <f>J57</f>
        <v>23417.360000000001</v>
      </c>
      <c r="K55" s="16">
        <f>K57</f>
        <v>0</v>
      </c>
      <c r="L55" s="3">
        <v>0</v>
      </c>
      <c r="M55" s="318">
        <f>M57</f>
        <v>0</v>
      </c>
      <c r="N55" s="4">
        <f t="shared" ref="N55:AJ55" si="38">N57</f>
        <v>0</v>
      </c>
      <c r="O55" s="4">
        <f t="shared" si="38"/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f>AD57</f>
        <v>0</v>
      </c>
      <c r="AE55" s="4">
        <f t="shared" si="38"/>
        <v>0</v>
      </c>
      <c r="AF55" s="4">
        <f>AF57</f>
        <v>0</v>
      </c>
      <c r="AG55" s="4">
        <f>AG57</f>
        <v>0</v>
      </c>
      <c r="AH55" s="4">
        <f>AH57</f>
        <v>0</v>
      </c>
      <c r="AI55" s="4">
        <f>AI57</f>
        <v>0</v>
      </c>
      <c r="AJ55" s="4">
        <f t="shared" si="38"/>
        <v>0</v>
      </c>
      <c r="AK55" s="4">
        <f>AK57</f>
        <v>0</v>
      </c>
      <c r="AL55" s="4">
        <f>AL57</f>
        <v>0</v>
      </c>
      <c r="AM55" s="4">
        <f>AM57</f>
        <v>0</v>
      </c>
      <c r="AN55" s="4">
        <f>AN57</f>
        <v>0</v>
      </c>
      <c r="AO55" s="837"/>
    </row>
    <row r="56" spans="1:41" ht="27.75" customHeight="1" x14ac:dyDescent="0.25">
      <c r="A56" s="1377"/>
      <c r="B56" s="1341"/>
      <c r="C56" s="1342"/>
      <c r="D56" s="1342"/>
      <c r="E56" s="1342"/>
      <c r="F56" s="1342"/>
      <c r="G56" s="1342"/>
      <c r="H56" s="1343"/>
      <c r="I56" s="15" t="s">
        <v>9</v>
      </c>
      <c r="J56" s="16">
        <v>0</v>
      </c>
      <c r="K56" s="16">
        <v>0</v>
      </c>
      <c r="L56" s="3">
        <v>0</v>
      </c>
      <c r="M56" s="318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837"/>
    </row>
    <row r="57" spans="1:41" ht="45" customHeight="1" x14ac:dyDescent="0.25">
      <c r="A57" s="1369" t="s">
        <v>23</v>
      </c>
      <c r="B57" s="77" t="s">
        <v>276</v>
      </c>
      <c r="C57" s="34">
        <v>900</v>
      </c>
      <c r="D57" s="35">
        <v>28000</v>
      </c>
      <c r="E57" s="34"/>
      <c r="F57" s="36"/>
      <c r="G57" s="11"/>
      <c r="H57" s="11"/>
      <c r="I57" s="1447" t="s">
        <v>20</v>
      </c>
      <c r="J57" s="1386">
        <v>23417.360000000001</v>
      </c>
      <c r="K57" s="1386">
        <v>0</v>
      </c>
      <c r="L57" s="78">
        <f>SUM(L58:L61)</f>
        <v>6815.74</v>
      </c>
      <c r="M57" s="78">
        <f>SUM(M58:M61)</f>
        <v>0</v>
      </c>
      <c r="N57" s="78">
        <f>SUM(N58:N61)</f>
        <v>0</v>
      </c>
      <c r="O57" s="78">
        <f>SUM(O58:O61)</f>
        <v>0</v>
      </c>
      <c r="P57" s="78">
        <f>SUM(P58:P61)</f>
        <v>0</v>
      </c>
      <c r="Q57" s="78">
        <f>Q58+Q61</f>
        <v>0</v>
      </c>
      <c r="R57" s="78">
        <f t="shared" ref="R57:AD57" si="39">R58+R61</f>
        <v>0</v>
      </c>
      <c r="S57" s="78">
        <f t="shared" si="39"/>
        <v>0</v>
      </c>
      <c r="T57" s="78">
        <f t="shared" si="39"/>
        <v>0</v>
      </c>
      <c r="U57" s="78">
        <f t="shared" si="39"/>
        <v>0</v>
      </c>
      <c r="V57" s="78">
        <f t="shared" si="39"/>
        <v>0</v>
      </c>
      <c r="W57" s="78">
        <f t="shared" si="39"/>
        <v>0</v>
      </c>
      <c r="X57" s="78">
        <f t="shared" si="39"/>
        <v>0</v>
      </c>
      <c r="Y57" s="78">
        <f t="shared" si="39"/>
        <v>0</v>
      </c>
      <c r="Z57" s="78">
        <f t="shared" si="39"/>
        <v>0</v>
      </c>
      <c r="AA57" s="78">
        <f t="shared" si="39"/>
        <v>0</v>
      </c>
      <c r="AB57" s="78">
        <f t="shared" si="39"/>
        <v>0</v>
      </c>
      <c r="AC57" s="78">
        <f t="shared" si="39"/>
        <v>0</v>
      </c>
      <c r="AD57" s="78">
        <f t="shared" si="39"/>
        <v>0</v>
      </c>
      <c r="AE57" s="78">
        <v>0</v>
      </c>
      <c r="AF57" s="78">
        <v>0</v>
      </c>
      <c r="AG57" s="78">
        <v>0</v>
      </c>
      <c r="AH57" s="78">
        <v>0</v>
      </c>
      <c r="AI57" s="78">
        <v>0</v>
      </c>
      <c r="AJ57" s="79">
        <f>P57-Q57</f>
        <v>0</v>
      </c>
      <c r="AK57" s="79">
        <f>AJ57</f>
        <v>0</v>
      </c>
      <c r="AL57" s="78">
        <v>0</v>
      </c>
      <c r="AM57" s="78">
        <v>0</v>
      </c>
      <c r="AN57" s="78">
        <v>0</v>
      </c>
      <c r="AO57" s="840" t="s">
        <v>420</v>
      </c>
    </row>
    <row r="58" spans="1:41" s="285" customFormat="1" ht="15.75" customHeight="1" x14ac:dyDescent="0.25">
      <c r="A58" s="1370"/>
      <c r="B58" s="574" t="s">
        <v>15</v>
      </c>
      <c r="C58" s="573"/>
      <c r="D58" s="577"/>
      <c r="E58" s="573"/>
      <c r="F58" s="36"/>
      <c r="G58" s="572"/>
      <c r="H58" s="572"/>
      <c r="I58" s="1448"/>
      <c r="J58" s="1408"/>
      <c r="K58" s="1408"/>
      <c r="L58" s="848">
        <v>7.2</v>
      </c>
      <c r="M58" s="72"/>
      <c r="N58" s="72">
        <v>0</v>
      </c>
      <c r="O58" s="73"/>
      <c r="P58" s="848">
        <v>0</v>
      </c>
      <c r="Q58" s="680">
        <f>Q59+Q60</f>
        <v>0</v>
      </c>
      <c r="R58" s="72"/>
      <c r="S58" s="72"/>
      <c r="T58" s="72"/>
      <c r="U58" s="72">
        <f>U59</f>
        <v>0</v>
      </c>
      <c r="V58" s="72">
        <f t="shared" ref="V58:W58" si="40">V59</f>
        <v>0</v>
      </c>
      <c r="W58" s="72">
        <f t="shared" si="40"/>
        <v>0</v>
      </c>
      <c r="X58" s="72">
        <f>X59+X60</f>
        <v>0</v>
      </c>
      <c r="Y58" s="680">
        <f t="shared" ref="Y58:Z58" si="41">Y59+Y60</f>
        <v>0</v>
      </c>
      <c r="Z58" s="680">
        <f t="shared" si="41"/>
        <v>0</v>
      </c>
      <c r="AA58" s="680">
        <f t="shared" ref="AA58" si="42">AA59+AA60</f>
        <v>0</v>
      </c>
      <c r="AB58" s="680">
        <f t="shared" ref="AB58" si="43">AB59+AB60</f>
        <v>0</v>
      </c>
      <c r="AC58" s="680">
        <f t="shared" ref="AC58" si="44">AC59+AC60</f>
        <v>0</v>
      </c>
      <c r="AD58" s="680">
        <f t="shared" ref="AD58" si="45">AD59+AD60</f>
        <v>0</v>
      </c>
      <c r="AE58" s="72">
        <v>0</v>
      </c>
      <c r="AF58" s="72"/>
      <c r="AG58" s="72"/>
      <c r="AH58" s="72"/>
      <c r="AI58" s="72">
        <v>0</v>
      </c>
      <c r="AJ58" s="288">
        <v>0</v>
      </c>
      <c r="AK58" s="288">
        <v>0</v>
      </c>
      <c r="AL58" s="72">
        <v>0</v>
      </c>
      <c r="AM58" s="72">
        <v>0</v>
      </c>
      <c r="AN58" s="72">
        <v>0</v>
      </c>
      <c r="AO58" s="578"/>
    </row>
    <row r="59" spans="1:41" s="266" customFormat="1" ht="15.75" hidden="1" customHeight="1" x14ac:dyDescent="0.25">
      <c r="A59" s="1370"/>
      <c r="B59" s="92" t="s">
        <v>314</v>
      </c>
      <c r="C59" s="104"/>
      <c r="D59" s="579"/>
      <c r="E59" s="104"/>
      <c r="F59" s="576"/>
      <c r="G59" s="262"/>
      <c r="H59" s="262"/>
      <c r="I59" s="1448"/>
      <c r="J59" s="1408"/>
      <c r="K59" s="1408"/>
      <c r="L59" s="848"/>
      <c r="M59" s="258"/>
      <c r="N59" s="258"/>
      <c r="O59" s="580"/>
      <c r="P59" s="848"/>
      <c r="Q59" s="258">
        <f>S59+U59</f>
        <v>0</v>
      </c>
      <c r="R59" s="258"/>
      <c r="S59" s="258"/>
      <c r="T59" s="258"/>
      <c r="U59" s="258">
        <v>0</v>
      </c>
      <c r="V59" s="258"/>
      <c r="W59" s="258"/>
      <c r="X59" s="258"/>
      <c r="Y59" s="258"/>
      <c r="Z59" s="258">
        <f>AB59</f>
        <v>0</v>
      </c>
      <c r="AA59" s="258"/>
      <c r="AB59" s="258"/>
      <c r="AC59" s="258"/>
      <c r="AD59" s="258"/>
      <c r="AE59" s="258"/>
      <c r="AF59" s="258"/>
      <c r="AG59" s="258"/>
      <c r="AH59" s="258"/>
      <c r="AI59" s="258"/>
      <c r="AJ59" s="581"/>
      <c r="AK59" s="581"/>
      <c r="AL59" s="258"/>
      <c r="AM59" s="258"/>
      <c r="AN59" s="258"/>
      <c r="AO59" s="582"/>
    </row>
    <row r="60" spans="1:41" s="266" customFormat="1" ht="15.75" hidden="1" customHeight="1" x14ac:dyDescent="0.25">
      <c r="A60" s="1370"/>
      <c r="B60" s="92" t="s">
        <v>346</v>
      </c>
      <c r="C60" s="104"/>
      <c r="D60" s="579"/>
      <c r="E60" s="104"/>
      <c r="F60" s="576"/>
      <c r="G60" s="262"/>
      <c r="H60" s="262"/>
      <c r="I60" s="1448"/>
      <c r="J60" s="1408"/>
      <c r="K60" s="1408"/>
      <c r="L60" s="848"/>
      <c r="M60" s="258"/>
      <c r="N60" s="258"/>
      <c r="O60" s="580"/>
      <c r="P60" s="848"/>
      <c r="Q60" s="258">
        <f>S60+U60+Y60</f>
        <v>0</v>
      </c>
      <c r="R60" s="258"/>
      <c r="S60" s="258"/>
      <c r="T60" s="258"/>
      <c r="U60" s="258"/>
      <c r="V60" s="258"/>
      <c r="W60" s="258"/>
      <c r="X60" s="258">
        <f>Y60</f>
        <v>0</v>
      </c>
      <c r="Y60" s="258">
        <v>0</v>
      </c>
      <c r="Z60" s="258">
        <f>AD60</f>
        <v>0</v>
      </c>
      <c r="AA60" s="258"/>
      <c r="AB60" s="258"/>
      <c r="AC60" s="258"/>
      <c r="AD60" s="258">
        <v>0</v>
      </c>
      <c r="AE60" s="258"/>
      <c r="AF60" s="258"/>
      <c r="AG60" s="258"/>
      <c r="AH60" s="258"/>
      <c r="AI60" s="258"/>
      <c r="AJ60" s="581"/>
      <c r="AK60" s="581"/>
      <c r="AL60" s="258"/>
      <c r="AM60" s="258"/>
      <c r="AN60" s="258"/>
      <c r="AO60" s="582"/>
    </row>
    <row r="61" spans="1:41" ht="14.25" customHeight="1" x14ac:dyDescent="0.25">
      <c r="A61" s="1371"/>
      <c r="B61" s="468" t="s">
        <v>16</v>
      </c>
      <c r="C61" s="34"/>
      <c r="D61" s="34"/>
      <c r="E61" s="34"/>
      <c r="F61" s="36"/>
      <c r="G61" s="11">
        <v>2020</v>
      </c>
      <c r="H61" s="11">
        <v>2020</v>
      </c>
      <c r="I61" s="1449"/>
      <c r="J61" s="1387"/>
      <c r="K61" s="1387"/>
      <c r="L61" s="480">
        <v>6808.54</v>
      </c>
      <c r="M61" s="72">
        <v>0</v>
      </c>
      <c r="N61" s="72">
        <v>0</v>
      </c>
      <c r="O61" s="72">
        <v>0</v>
      </c>
      <c r="P61" s="848">
        <v>0</v>
      </c>
      <c r="Q61" s="72">
        <v>0</v>
      </c>
      <c r="R61" s="72">
        <v>0</v>
      </c>
      <c r="S61" s="72">
        <v>0</v>
      </c>
      <c r="T61" s="72">
        <v>0</v>
      </c>
      <c r="U61" s="72">
        <v>0</v>
      </c>
      <c r="V61" s="72">
        <v>0</v>
      </c>
      <c r="W61" s="72">
        <v>0</v>
      </c>
      <c r="X61" s="72">
        <v>0</v>
      </c>
      <c r="Y61" s="72">
        <v>0</v>
      </c>
      <c r="Z61" s="72">
        <v>0</v>
      </c>
      <c r="AA61" s="72">
        <v>0</v>
      </c>
      <c r="AB61" s="72">
        <v>0</v>
      </c>
      <c r="AC61" s="72">
        <v>0</v>
      </c>
      <c r="AD61" s="72">
        <v>0</v>
      </c>
      <c r="AE61" s="72">
        <v>0</v>
      </c>
      <c r="AF61" s="72">
        <f t="shared" ref="AF61:AI61" si="46">AF64+AF67</f>
        <v>0</v>
      </c>
      <c r="AG61" s="72">
        <f t="shared" si="46"/>
        <v>0</v>
      </c>
      <c r="AH61" s="72">
        <f t="shared" si="46"/>
        <v>0</v>
      </c>
      <c r="AI61" s="72">
        <f t="shared" si="46"/>
        <v>0</v>
      </c>
      <c r="AJ61" s="72">
        <v>0</v>
      </c>
      <c r="AK61" s="72">
        <v>0</v>
      </c>
      <c r="AL61" s="72">
        <v>0</v>
      </c>
      <c r="AM61" s="72">
        <v>0</v>
      </c>
      <c r="AN61" s="72">
        <v>0</v>
      </c>
      <c r="AO61" s="401"/>
    </row>
    <row r="62" spans="1:41" ht="49.5" customHeight="1" x14ac:dyDescent="0.25">
      <c r="A62" s="1332" t="s">
        <v>29</v>
      </c>
      <c r="B62" s="1335" t="s">
        <v>62</v>
      </c>
      <c r="C62" s="1336"/>
      <c r="D62" s="1336"/>
      <c r="E62" s="1336"/>
      <c r="F62" s="1336"/>
      <c r="G62" s="1336"/>
      <c r="H62" s="1337"/>
      <c r="I62" s="37" t="s">
        <v>20</v>
      </c>
      <c r="J62" s="38">
        <f>L62</f>
        <v>975.37</v>
      </c>
      <c r="K62" s="38">
        <v>0</v>
      </c>
      <c r="L62" s="845">
        <f>L68</f>
        <v>975.37</v>
      </c>
      <c r="M62" s="72">
        <f t="shared" ref="M62:P62" si="47">M65+M68</f>
        <v>0</v>
      </c>
      <c r="N62" s="72">
        <f t="shared" si="47"/>
        <v>0</v>
      </c>
      <c r="O62" s="72">
        <f t="shared" si="47"/>
        <v>0</v>
      </c>
      <c r="P62" s="848">
        <f t="shared" si="47"/>
        <v>725.37</v>
      </c>
      <c r="Q62" s="72">
        <f>Q68+Q74</f>
        <v>0</v>
      </c>
      <c r="R62" s="705">
        <f t="shared" ref="R62:AM62" si="48">R68+R74</f>
        <v>0</v>
      </c>
      <c r="S62" s="705">
        <f t="shared" si="48"/>
        <v>0</v>
      </c>
      <c r="T62" s="705">
        <f t="shared" si="48"/>
        <v>0</v>
      </c>
      <c r="U62" s="705">
        <f t="shared" si="48"/>
        <v>0</v>
      </c>
      <c r="V62" s="705">
        <f t="shared" si="48"/>
        <v>0</v>
      </c>
      <c r="W62" s="705">
        <f t="shared" si="48"/>
        <v>0</v>
      </c>
      <c r="X62" s="705">
        <f t="shared" si="48"/>
        <v>0</v>
      </c>
      <c r="Y62" s="705">
        <f t="shared" si="48"/>
        <v>0</v>
      </c>
      <c r="Z62" s="705">
        <f t="shared" si="48"/>
        <v>0</v>
      </c>
      <c r="AA62" s="705">
        <f t="shared" si="48"/>
        <v>0</v>
      </c>
      <c r="AB62" s="705">
        <f t="shared" si="48"/>
        <v>0</v>
      </c>
      <c r="AC62" s="705">
        <f t="shared" si="48"/>
        <v>0</v>
      </c>
      <c r="AD62" s="705">
        <f t="shared" si="48"/>
        <v>0</v>
      </c>
      <c r="AE62" s="705">
        <f t="shared" si="48"/>
        <v>0</v>
      </c>
      <c r="AF62" s="705">
        <f t="shared" si="48"/>
        <v>0</v>
      </c>
      <c r="AG62" s="705">
        <f t="shared" si="48"/>
        <v>0</v>
      </c>
      <c r="AH62" s="705">
        <f t="shared" si="48"/>
        <v>0</v>
      </c>
      <c r="AI62" s="705">
        <f t="shared" si="48"/>
        <v>0</v>
      </c>
      <c r="AJ62" s="705">
        <f t="shared" si="48"/>
        <v>0</v>
      </c>
      <c r="AK62" s="705">
        <f t="shared" si="48"/>
        <v>0</v>
      </c>
      <c r="AL62" s="705">
        <f t="shared" si="48"/>
        <v>0</v>
      </c>
      <c r="AM62" s="705">
        <f t="shared" si="48"/>
        <v>0</v>
      </c>
      <c r="AN62" s="72">
        <f t="shared" ref="AN62" si="49">AN65+AN68</f>
        <v>0</v>
      </c>
      <c r="AO62" s="401"/>
    </row>
    <row r="63" spans="1:41" ht="31.5" customHeight="1" x14ac:dyDescent="0.25">
      <c r="A63" s="1333"/>
      <c r="B63" s="1338"/>
      <c r="C63" s="1339"/>
      <c r="D63" s="1339"/>
      <c r="E63" s="1339"/>
      <c r="F63" s="1339"/>
      <c r="G63" s="1339"/>
      <c r="H63" s="1340"/>
      <c r="I63" s="37" t="s">
        <v>10</v>
      </c>
      <c r="J63" s="38">
        <f>L63</f>
        <v>31792.33</v>
      </c>
      <c r="K63" s="38">
        <v>0</v>
      </c>
      <c r="L63" s="845">
        <f>L73</f>
        <v>31792.33</v>
      </c>
      <c r="M63" s="687">
        <f t="shared" ref="M63:O63" si="50">M73</f>
        <v>0</v>
      </c>
      <c r="N63" s="687">
        <f t="shared" si="50"/>
        <v>0</v>
      </c>
      <c r="O63" s="687">
        <f t="shared" si="50"/>
        <v>0</v>
      </c>
      <c r="P63" s="480">
        <f>P76+P77</f>
        <v>2234.2800000000002</v>
      </c>
      <c r="Q63" s="480">
        <f>Q76+Q77</f>
        <v>0</v>
      </c>
      <c r="R63" s="480">
        <f t="shared" ref="R63:AN63" si="51">R76+R77</f>
        <v>0</v>
      </c>
      <c r="S63" s="480">
        <f t="shared" si="51"/>
        <v>0</v>
      </c>
      <c r="T63" s="480">
        <f t="shared" si="51"/>
        <v>0</v>
      </c>
      <c r="U63" s="480">
        <f t="shared" si="51"/>
        <v>0</v>
      </c>
      <c r="V63" s="480">
        <f t="shared" si="51"/>
        <v>0</v>
      </c>
      <c r="W63" s="480">
        <f t="shared" si="51"/>
        <v>0</v>
      </c>
      <c r="X63" s="480">
        <f t="shared" si="51"/>
        <v>0</v>
      </c>
      <c r="Y63" s="480">
        <f t="shared" si="51"/>
        <v>0</v>
      </c>
      <c r="Z63" s="480">
        <f t="shared" si="51"/>
        <v>0</v>
      </c>
      <c r="AA63" s="480">
        <f t="shared" si="51"/>
        <v>0</v>
      </c>
      <c r="AB63" s="480">
        <f t="shared" si="51"/>
        <v>0</v>
      </c>
      <c r="AC63" s="480">
        <f t="shared" si="51"/>
        <v>0</v>
      </c>
      <c r="AD63" s="480">
        <f t="shared" si="51"/>
        <v>0</v>
      </c>
      <c r="AE63" s="480">
        <f t="shared" si="51"/>
        <v>0</v>
      </c>
      <c r="AF63" s="480">
        <f t="shared" si="51"/>
        <v>0</v>
      </c>
      <c r="AG63" s="480">
        <f t="shared" si="51"/>
        <v>0</v>
      </c>
      <c r="AH63" s="480">
        <f t="shared" si="51"/>
        <v>0</v>
      </c>
      <c r="AI63" s="480">
        <f t="shared" si="51"/>
        <v>0</v>
      </c>
      <c r="AJ63" s="480">
        <f t="shared" si="51"/>
        <v>0</v>
      </c>
      <c r="AK63" s="480">
        <f t="shared" si="51"/>
        <v>0</v>
      </c>
      <c r="AL63" s="480">
        <f t="shared" si="51"/>
        <v>0</v>
      </c>
      <c r="AM63" s="480">
        <f t="shared" si="51"/>
        <v>0</v>
      </c>
      <c r="AN63" s="480">
        <f t="shared" si="51"/>
        <v>0</v>
      </c>
      <c r="AO63" s="401"/>
    </row>
    <row r="64" spans="1:41" ht="28.5" customHeight="1" x14ac:dyDescent="0.25">
      <c r="A64" s="1334"/>
      <c r="B64" s="1341"/>
      <c r="C64" s="1342"/>
      <c r="D64" s="1342"/>
      <c r="E64" s="1342"/>
      <c r="F64" s="1342"/>
      <c r="G64" s="1342"/>
      <c r="H64" s="1343"/>
      <c r="I64" s="37" t="s">
        <v>9</v>
      </c>
      <c r="J64" s="38">
        <f>L64</f>
        <v>0</v>
      </c>
      <c r="K64" s="38">
        <v>0</v>
      </c>
      <c r="L64" s="845">
        <v>0</v>
      </c>
      <c r="M64" s="72">
        <v>0</v>
      </c>
      <c r="N64" s="72">
        <v>0</v>
      </c>
      <c r="O64" s="73">
        <v>0</v>
      </c>
      <c r="P64" s="848">
        <v>0</v>
      </c>
      <c r="Q64" s="72">
        <v>0</v>
      </c>
      <c r="R64" s="72">
        <v>0</v>
      </c>
      <c r="S64" s="72">
        <v>0</v>
      </c>
      <c r="T64" s="72">
        <v>0</v>
      </c>
      <c r="U64" s="72">
        <v>0</v>
      </c>
      <c r="V64" s="72">
        <v>0</v>
      </c>
      <c r="W64" s="72">
        <v>0</v>
      </c>
      <c r="X64" s="72">
        <v>0</v>
      </c>
      <c r="Y64" s="72">
        <v>0</v>
      </c>
      <c r="Z64" s="72">
        <v>0</v>
      </c>
      <c r="AA64" s="72">
        <v>0</v>
      </c>
      <c r="AB64" s="72">
        <v>0</v>
      </c>
      <c r="AC64" s="72">
        <v>0</v>
      </c>
      <c r="AD64" s="72">
        <v>0</v>
      </c>
      <c r="AE64" s="72">
        <v>0</v>
      </c>
      <c r="AF64" s="72">
        <v>0</v>
      </c>
      <c r="AG64" s="72">
        <v>0</v>
      </c>
      <c r="AH64" s="72">
        <v>0</v>
      </c>
      <c r="AI64" s="72">
        <v>0</v>
      </c>
      <c r="AJ64" s="72">
        <v>0</v>
      </c>
      <c r="AK64" s="72">
        <v>0</v>
      </c>
      <c r="AL64" s="72">
        <v>0</v>
      </c>
      <c r="AM64" s="72">
        <v>0</v>
      </c>
      <c r="AN64" s="72">
        <v>0</v>
      </c>
      <c r="AO64" s="401"/>
    </row>
    <row r="65" spans="1:41" ht="55.5" customHeight="1" x14ac:dyDescent="0.25">
      <c r="A65" s="1369" t="s">
        <v>46</v>
      </c>
      <c r="B65" s="77" t="s">
        <v>53</v>
      </c>
      <c r="C65" s="1350">
        <v>300</v>
      </c>
      <c r="D65" s="1350">
        <v>17</v>
      </c>
      <c r="E65" s="1350"/>
      <c r="F65" s="1390"/>
      <c r="G65" s="55"/>
      <c r="H65" s="55"/>
      <c r="I65" s="1374" t="s">
        <v>20</v>
      </c>
      <c r="J65" s="56">
        <f>L65</f>
        <v>0</v>
      </c>
      <c r="K65" s="56"/>
      <c r="L65" s="284">
        <f>M65+N65+O65</f>
        <v>0</v>
      </c>
      <c r="M65" s="78">
        <f>M66+M67</f>
        <v>0</v>
      </c>
      <c r="N65" s="78">
        <f>N66+N67</f>
        <v>0</v>
      </c>
      <c r="O65" s="78">
        <f>O66+O67</f>
        <v>0</v>
      </c>
      <c r="P65" s="78">
        <f>P66+P67</f>
        <v>0</v>
      </c>
      <c r="Q65" s="78">
        <f>Q66+Q67</f>
        <v>0</v>
      </c>
      <c r="R65" s="78">
        <f t="shared" ref="R65:AN65" si="52">R66+R67</f>
        <v>0</v>
      </c>
      <c r="S65" s="78">
        <f t="shared" si="52"/>
        <v>0</v>
      </c>
      <c r="T65" s="78">
        <f t="shared" si="52"/>
        <v>0</v>
      </c>
      <c r="U65" s="78">
        <f t="shared" si="52"/>
        <v>0</v>
      </c>
      <c r="V65" s="78">
        <f t="shared" si="52"/>
        <v>0</v>
      </c>
      <c r="W65" s="78">
        <f t="shared" si="52"/>
        <v>0</v>
      </c>
      <c r="X65" s="78">
        <f t="shared" si="52"/>
        <v>0</v>
      </c>
      <c r="Y65" s="78">
        <f t="shared" si="52"/>
        <v>0</v>
      </c>
      <c r="Z65" s="78">
        <f t="shared" si="52"/>
        <v>0</v>
      </c>
      <c r="AA65" s="78">
        <f t="shared" si="52"/>
        <v>0</v>
      </c>
      <c r="AB65" s="78">
        <f>AB66+AB67</f>
        <v>0</v>
      </c>
      <c r="AC65" s="78">
        <f>AC66+AC67</f>
        <v>0</v>
      </c>
      <c r="AD65" s="78">
        <f>AD66+AD67</f>
        <v>0</v>
      </c>
      <c r="AE65" s="78">
        <f t="shared" si="52"/>
        <v>0</v>
      </c>
      <c r="AF65" s="78">
        <f t="shared" si="52"/>
        <v>0</v>
      </c>
      <c r="AG65" s="78">
        <f t="shared" si="52"/>
        <v>0</v>
      </c>
      <c r="AH65" s="78">
        <f t="shared" si="52"/>
        <v>0</v>
      </c>
      <c r="AI65" s="78"/>
      <c r="AJ65" s="79">
        <f>P65-Q65</f>
        <v>0</v>
      </c>
      <c r="AK65" s="79">
        <f>AJ65</f>
        <v>0</v>
      </c>
      <c r="AL65" s="76">
        <v>0</v>
      </c>
      <c r="AM65" s="78">
        <f t="shared" si="52"/>
        <v>0</v>
      </c>
      <c r="AN65" s="78">
        <f t="shared" si="52"/>
        <v>0</v>
      </c>
      <c r="AO65" s="840" t="s">
        <v>158</v>
      </c>
    </row>
    <row r="66" spans="1:41" ht="14.25" customHeight="1" x14ac:dyDescent="0.25">
      <c r="A66" s="1370"/>
      <c r="B66" s="40" t="s">
        <v>15</v>
      </c>
      <c r="C66" s="1351"/>
      <c r="D66" s="1351"/>
      <c r="E66" s="1351"/>
      <c r="F66" s="1356"/>
      <c r="G66" s="55">
        <v>2019</v>
      </c>
      <c r="H66" s="55">
        <v>2019</v>
      </c>
      <c r="I66" s="1391"/>
      <c r="J66" s="56">
        <f t="shared" ref="J66:J71" si="53">L66</f>
        <v>0</v>
      </c>
      <c r="K66" s="56"/>
      <c r="L66" s="842">
        <f>M66+N66+O66</f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1">
        <v>0</v>
      </c>
      <c r="X66" s="71">
        <v>0</v>
      </c>
      <c r="Y66" s="71">
        <v>0</v>
      </c>
      <c r="Z66" s="71">
        <v>0</v>
      </c>
      <c r="AA66" s="71">
        <v>0</v>
      </c>
      <c r="AB66" s="71">
        <v>0</v>
      </c>
      <c r="AC66" s="71">
        <v>0</v>
      </c>
      <c r="AD66" s="71">
        <v>0</v>
      </c>
      <c r="AE66" s="71">
        <v>0</v>
      </c>
      <c r="AF66" s="71">
        <v>0</v>
      </c>
      <c r="AG66" s="71">
        <v>0</v>
      </c>
      <c r="AH66" s="71">
        <v>0</v>
      </c>
      <c r="AI66" s="71"/>
      <c r="AJ66" s="71">
        <v>0</v>
      </c>
      <c r="AK66" s="71">
        <v>0</v>
      </c>
      <c r="AL66" s="71">
        <v>0</v>
      </c>
      <c r="AM66" s="71">
        <v>0</v>
      </c>
      <c r="AN66" s="71">
        <v>0</v>
      </c>
      <c r="AO66" s="402"/>
    </row>
    <row r="67" spans="1:41" ht="14.25" customHeight="1" x14ac:dyDescent="0.25">
      <c r="A67" s="1371"/>
      <c r="B67" s="40" t="s">
        <v>16</v>
      </c>
      <c r="C67" s="1352"/>
      <c r="D67" s="1352"/>
      <c r="E67" s="1352"/>
      <c r="F67" s="1349"/>
      <c r="G67" s="57">
        <v>2019</v>
      </c>
      <c r="H67" s="57">
        <v>2019</v>
      </c>
      <c r="I67" s="1375"/>
      <c r="J67" s="56">
        <f t="shared" si="53"/>
        <v>0</v>
      </c>
      <c r="K67" s="54"/>
      <c r="L67" s="842">
        <f>M67+N67+O67</f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71">
        <v>0</v>
      </c>
      <c r="AA67" s="71">
        <v>0</v>
      </c>
      <c r="AB67" s="71">
        <v>0</v>
      </c>
      <c r="AC67" s="71">
        <v>0</v>
      </c>
      <c r="AD67" s="71">
        <v>0</v>
      </c>
      <c r="AE67" s="71">
        <v>0</v>
      </c>
      <c r="AF67" s="71">
        <v>0</v>
      </c>
      <c r="AG67" s="71">
        <v>0</v>
      </c>
      <c r="AH67" s="71">
        <v>0</v>
      </c>
      <c r="AI67" s="71"/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403"/>
    </row>
    <row r="68" spans="1:41" ht="55.5" customHeight="1" x14ac:dyDescent="0.25">
      <c r="A68" s="1376" t="s">
        <v>46</v>
      </c>
      <c r="B68" s="80" t="s">
        <v>54</v>
      </c>
      <c r="C68" s="1350">
        <v>200</v>
      </c>
      <c r="D68" s="1350">
        <v>10</v>
      </c>
      <c r="E68" s="1392"/>
      <c r="F68" s="1395"/>
      <c r="G68" s="57"/>
      <c r="H68" s="57"/>
      <c r="I68" s="1374" t="s">
        <v>20</v>
      </c>
      <c r="J68" s="56">
        <f t="shared" si="53"/>
        <v>975.37</v>
      </c>
      <c r="K68" s="54"/>
      <c r="L68" s="284">
        <f>SUM(L69:L71)</f>
        <v>975.37</v>
      </c>
      <c r="M68" s="76">
        <f>M69+M71</f>
        <v>0</v>
      </c>
      <c r="N68" s="76">
        <f>N69+N71</f>
        <v>0</v>
      </c>
      <c r="O68" s="76">
        <f>O69+O71</f>
        <v>0</v>
      </c>
      <c r="P68" s="76">
        <f>P69+P71</f>
        <v>725.37</v>
      </c>
      <c r="Q68" s="76">
        <f>Q69+Q71</f>
        <v>0</v>
      </c>
      <c r="R68" s="76">
        <f t="shared" ref="R68:AN68" si="54">R69+R71</f>
        <v>0</v>
      </c>
      <c r="S68" s="76">
        <f t="shared" si="54"/>
        <v>0</v>
      </c>
      <c r="T68" s="76">
        <f t="shared" si="54"/>
        <v>0</v>
      </c>
      <c r="U68" s="76">
        <f t="shared" si="54"/>
        <v>0</v>
      </c>
      <c r="V68" s="76">
        <f t="shared" si="54"/>
        <v>0</v>
      </c>
      <c r="W68" s="76">
        <f t="shared" si="54"/>
        <v>0</v>
      </c>
      <c r="X68" s="76">
        <f t="shared" si="54"/>
        <v>0</v>
      </c>
      <c r="Y68" s="76">
        <f t="shared" si="54"/>
        <v>0</v>
      </c>
      <c r="Z68" s="76">
        <f>Z69+Z71</f>
        <v>0</v>
      </c>
      <c r="AA68" s="76">
        <f t="shared" si="54"/>
        <v>0</v>
      </c>
      <c r="AB68" s="76">
        <f>AB69+AB71</f>
        <v>0</v>
      </c>
      <c r="AC68" s="76">
        <f>AC69+AC71</f>
        <v>0</v>
      </c>
      <c r="AD68" s="76">
        <f>AD69+AD71</f>
        <v>0</v>
      </c>
      <c r="AE68" s="76">
        <f t="shared" si="54"/>
        <v>0</v>
      </c>
      <c r="AF68" s="76">
        <f t="shared" si="54"/>
        <v>0</v>
      </c>
      <c r="AG68" s="76">
        <f t="shared" si="54"/>
        <v>0</v>
      </c>
      <c r="AH68" s="76">
        <f>AH69+AH71</f>
        <v>0</v>
      </c>
      <c r="AI68" s="76">
        <f>AI69+AI71</f>
        <v>0</v>
      </c>
      <c r="AJ68" s="79">
        <v>0</v>
      </c>
      <c r="AK68" s="79">
        <f>AJ68</f>
        <v>0</v>
      </c>
      <c r="AL68" s="76">
        <v>0</v>
      </c>
      <c r="AM68" s="76">
        <f t="shared" si="54"/>
        <v>0</v>
      </c>
      <c r="AN68" s="76">
        <f t="shared" si="54"/>
        <v>0</v>
      </c>
      <c r="AO68" s="840" t="s">
        <v>418</v>
      </c>
    </row>
    <row r="69" spans="1:41" ht="14.25" customHeight="1" x14ac:dyDescent="0.25">
      <c r="A69" s="1377"/>
      <c r="B69" s="42" t="s">
        <v>15</v>
      </c>
      <c r="C69" s="1351"/>
      <c r="D69" s="1351"/>
      <c r="E69" s="1393"/>
      <c r="F69" s="1396"/>
      <c r="G69" s="57">
        <v>2019</v>
      </c>
      <c r="H69" s="57">
        <v>2019</v>
      </c>
      <c r="I69" s="1391"/>
      <c r="J69" s="56">
        <f t="shared" si="53"/>
        <v>250</v>
      </c>
      <c r="K69" s="54"/>
      <c r="L69" s="848">
        <v>250</v>
      </c>
      <c r="M69" s="4">
        <v>0</v>
      </c>
      <c r="N69" s="4">
        <v>0</v>
      </c>
      <c r="O69" s="4">
        <v>0</v>
      </c>
      <c r="P69" s="848">
        <v>0</v>
      </c>
      <c r="Q69" s="4">
        <f>Q70</f>
        <v>0</v>
      </c>
      <c r="R69" s="4">
        <f t="shared" ref="R69:AC69" si="55">R70</f>
        <v>0</v>
      </c>
      <c r="S69" s="4">
        <f t="shared" si="55"/>
        <v>0</v>
      </c>
      <c r="T69" s="4">
        <f t="shared" si="55"/>
        <v>0</v>
      </c>
      <c r="U69" s="4">
        <f t="shared" si="55"/>
        <v>0</v>
      </c>
      <c r="V69" s="4">
        <f t="shared" si="55"/>
        <v>0</v>
      </c>
      <c r="W69" s="4">
        <f t="shared" si="55"/>
        <v>0</v>
      </c>
      <c r="X69" s="4">
        <f t="shared" si="55"/>
        <v>0</v>
      </c>
      <c r="Y69" s="4">
        <f t="shared" si="55"/>
        <v>0</v>
      </c>
      <c r="Z69" s="4">
        <f>Z70</f>
        <v>0</v>
      </c>
      <c r="AA69" s="4">
        <f t="shared" si="55"/>
        <v>0</v>
      </c>
      <c r="AB69" s="4">
        <f t="shared" si="55"/>
        <v>0</v>
      </c>
      <c r="AC69" s="4">
        <f t="shared" si="55"/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837"/>
    </row>
    <row r="70" spans="1:41" s="97" customFormat="1" ht="14.25" hidden="1" customHeight="1" x14ac:dyDescent="0.25">
      <c r="A70" s="1377"/>
      <c r="B70" s="252" t="s">
        <v>319</v>
      </c>
      <c r="C70" s="1351"/>
      <c r="D70" s="1351"/>
      <c r="E70" s="1393"/>
      <c r="F70" s="1396"/>
      <c r="G70" s="487"/>
      <c r="H70" s="487"/>
      <c r="I70" s="1391"/>
      <c r="J70" s="583"/>
      <c r="K70" s="368"/>
      <c r="L70" s="848"/>
      <c r="M70" s="258"/>
      <c r="N70" s="258"/>
      <c r="O70" s="258"/>
      <c r="P70" s="848"/>
      <c r="Q70" s="268">
        <f>W70</f>
        <v>0</v>
      </c>
      <c r="R70" s="268"/>
      <c r="S70" s="268"/>
      <c r="T70" s="268"/>
      <c r="U70" s="268"/>
      <c r="V70" s="268">
        <f>W70</f>
        <v>0</v>
      </c>
      <c r="W70" s="268">
        <v>0</v>
      </c>
      <c r="X70" s="268"/>
      <c r="Y70" s="268"/>
      <c r="Z70" s="268">
        <f>AC70</f>
        <v>0</v>
      </c>
      <c r="AA70" s="268"/>
      <c r="AB70" s="268"/>
      <c r="AC70" s="268">
        <v>0</v>
      </c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488"/>
    </row>
    <row r="71" spans="1:41" ht="14.25" customHeight="1" x14ac:dyDescent="0.25">
      <c r="A71" s="1377"/>
      <c r="B71" s="42" t="s">
        <v>16</v>
      </c>
      <c r="C71" s="1352"/>
      <c r="D71" s="1352"/>
      <c r="E71" s="1394"/>
      <c r="F71" s="1397"/>
      <c r="G71" s="57">
        <v>2019</v>
      </c>
      <c r="H71" s="57">
        <v>2019</v>
      </c>
      <c r="I71" s="1375"/>
      <c r="J71" s="56">
        <f t="shared" si="53"/>
        <v>725.37</v>
      </c>
      <c r="K71" s="54"/>
      <c r="L71" s="848">
        <v>725.37</v>
      </c>
      <c r="M71" s="4">
        <v>0</v>
      </c>
      <c r="N71" s="4">
        <v>0</v>
      </c>
      <c r="O71" s="4">
        <v>0</v>
      </c>
      <c r="P71" s="848">
        <v>725.37</v>
      </c>
      <c r="Q71" s="47">
        <f>Q72</f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f>X72</f>
        <v>0</v>
      </c>
      <c r="Y71" s="47">
        <f>Y72</f>
        <v>0</v>
      </c>
      <c r="Z71" s="47">
        <f>Z72</f>
        <v>0</v>
      </c>
      <c r="AA71" s="47">
        <v>0</v>
      </c>
      <c r="AB71" s="47">
        <v>0</v>
      </c>
      <c r="AC71" s="47">
        <v>0</v>
      </c>
      <c r="AD71" s="47">
        <f>AD72</f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397"/>
    </row>
    <row r="72" spans="1:41" s="97" customFormat="1" ht="14.25" hidden="1" customHeight="1" x14ac:dyDescent="0.25">
      <c r="A72" s="1373"/>
      <c r="B72" s="252" t="s">
        <v>398</v>
      </c>
      <c r="C72" s="369"/>
      <c r="D72" s="369"/>
      <c r="E72" s="714"/>
      <c r="F72" s="715"/>
      <c r="G72" s="487"/>
      <c r="H72" s="487"/>
      <c r="I72" s="716"/>
      <c r="J72" s="583"/>
      <c r="K72" s="368"/>
      <c r="L72" s="848"/>
      <c r="M72" s="717"/>
      <c r="N72" s="717"/>
      <c r="O72" s="717"/>
      <c r="P72" s="848"/>
      <c r="Q72" s="581">
        <f>Y72</f>
        <v>0</v>
      </c>
      <c r="R72" s="581"/>
      <c r="S72" s="581"/>
      <c r="T72" s="581"/>
      <c r="U72" s="581"/>
      <c r="V72" s="581"/>
      <c r="W72" s="581"/>
      <c r="X72" s="581">
        <f>Y72</f>
        <v>0</v>
      </c>
      <c r="Y72" s="581">
        <v>0</v>
      </c>
      <c r="Z72" s="581">
        <f>AD72</f>
        <v>0</v>
      </c>
      <c r="AA72" s="581"/>
      <c r="AB72" s="581"/>
      <c r="AC72" s="581"/>
      <c r="AD72" s="581">
        <v>0</v>
      </c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405"/>
    </row>
    <row r="73" spans="1:41" ht="67.5" customHeight="1" x14ac:dyDescent="0.25">
      <c r="A73" s="1376" t="s">
        <v>354</v>
      </c>
      <c r="B73" s="80" t="s">
        <v>377</v>
      </c>
      <c r="C73" s="133"/>
      <c r="D73" s="133"/>
      <c r="E73" s="690"/>
      <c r="F73" s="691"/>
      <c r="G73" s="685"/>
      <c r="H73" s="685"/>
      <c r="I73" s="704"/>
      <c r="J73" s="68"/>
      <c r="K73" s="683"/>
      <c r="L73" s="284">
        <f>L74+L77</f>
        <v>31792.33</v>
      </c>
      <c r="M73" s="284">
        <f t="shared" ref="M73:AN73" si="56">M74+M77</f>
        <v>0</v>
      </c>
      <c r="N73" s="284">
        <f t="shared" si="56"/>
        <v>0</v>
      </c>
      <c r="O73" s="284">
        <f t="shared" si="56"/>
        <v>0</v>
      </c>
      <c r="P73" s="284">
        <f>P74+P77+P76</f>
        <v>2234.2800000000002</v>
      </c>
      <c r="Q73" s="284">
        <f>Q74+Q77</f>
        <v>0</v>
      </c>
      <c r="R73" s="284">
        <f t="shared" si="56"/>
        <v>0</v>
      </c>
      <c r="S73" s="284">
        <f t="shared" si="56"/>
        <v>0</v>
      </c>
      <c r="T73" s="284">
        <f t="shared" si="56"/>
        <v>0</v>
      </c>
      <c r="U73" s="284">
        <f t="shared" si="56"/>
        <v>0</v>
      </c>
      <c r="V73" s="284">
        <f t="shared" si="56"/>
        <v>0</v>
      </c>
      <c r="W73" s="284">
        <f t="shared" si="56"/>
        <v>0</v>
      </c>
      <c r="X73" s="284">
        <f t="shared" si="56"/>
        <v>0</v>
      </c>
      <c r="Y73" s="284">
        <f t="shared" si="56"/>
        <v>0</v>
      </c>
      <c r="Z73" s="284">
        <f t="shared" si="56"/>
        <v>0</v>
      </c>
      <c r="AA73" s="284">
        <f t="shared" si="56"/>
        <v>0</v>
      </c>
      <c r="AB73" s="284">
        <f t="shared" si="56"/>
        <v>0</v>
      </c>
      <c r="AC73" s="284">
        <f t="shared" si="56"/>
        <v>0</v>
      </c>
      <c r="AD73" s="284">
        <f t="shared" si="56"/>
        <v>0</v>
      </c>
      <c r="AE73" s="284">
        <f t="shared" si="56"/>
        <v>0</v>
      </c>
      <c r="AF73" s="284">
        <f t="shared" si="56"/>
        <v>0</v>
      </c>
      <c r="AG73" s="284">
        <f t="shared" si="56"/>
        <v>0</v>
      </c>
      <c r="AH73" s="284">
        <f t="shared" si="56"/>
        <v>0</v>
      </c>
      <c r="AI73" s="284">
        <f t="shared" si="56"/>
        <v>0</v>
      </c>
      <c r="AJ73" s="284">
        <f>P73-Q73</f>
        <v>2234.2800000000002</v>
      </c>
      <c r="AK73" s="284">
        <f>AJ73</f>
        <v>2234.2800000000002</v>
      </c>
      <c r="AL73" s="284">
        <f t="shared" si="56"/>
        <v>0</v>
      </c>
      <c r="AM73" s="284">
        <f t="shared" si="56"/>
        <v>0</v>
      </c>
      <c r="AN73" s="284">
        <f t="shared" si="56"/>
        <v>0</v>
      </c>
      <c r="AO73" s="840" t="s">
        <v>244</v>
      </c>
    </row>
    <row r="74" spans="1:41" ht="50.25" customHeight="1" x14ac:dyDescent="0.25">
      <c r="A74" s="1377"/>
      <c r="B74" s="42" t="s">
        <v>15</v>
      </c>
      <c r="C74" s="133"/>
      <c r="D74" s="133"/>
      <c r="E74" s="690"/>
      <c r="F74" s="691"/>
      <c r="G74" s="685"/>
      <c r="H74" s="685"/>
      <c r="I74" s="704" t="s">
        <v>20</v>
      </c>
      <c r="J74" s="68"/>
      <c r="K74" s="683"/>
      <c r="L74" s="848">
        <v>4959</v>
      </c>
      <c r="M74" s="4"/>
      <c r="N74" s="4"/>
      <c r="O74" s="4"/>
      <c r="P74" s="4">
        <v>0</v>
      </c>
      <c r="Q74" s="4">
        <f>Q75</f>
        <v>0</v>
      </c>
      <c r="R74" s="4">
        <v>0</v>
      </c>
      <c r="S74" s="4">
        <v>0</v>
      </c>
      <c r="T74" s="4"/>
      <c r="U74" s="4"/>
      <c r="V74" s="4"/>
      <c r="W74" s="4"/>
      <c r="X74" s="4">
        <f>X75</f>
        <v>0</v>
      </c>
      <c r="Y74" s="4">
        <f>Y75</f>
        <v>0</v>
      </c>
      <c r="Z74" s="4">
        <f t="shared" ref="Z74:AN74" si="57">Z75</f>
        <v>0</v>
      </c>
      <c r="AA74" s="4">
        <f t="shared" si="57"/>
        <v>0</v>
      </c>
      <c r="AB74" s="4">
        <f t="shared" si="57"/>
        <v>0</v>
      </c>
      <c r="AC74" s="4">
        <f t="shared" si="57"/>
        <v>0</v>
      </c>
      <c r="AD74" s="4">
        <f t="shared" si="57"/>
        <v>0</v>
      </c>
      <c r="AE74" s="4">
        <f t="shared" si="57"/>
        <v>0</v>
      </c>
      <c r="AF74" s="4">
        <f t="shared" si="57"/>
        <v>0</v>
      </c>
      <c r="AG74" s="4">
        <f t="shared" si="57"/>
        <v>0</v>
      </c>
      <c r="AH74" s="4">
        <f t="shared" si="57"/>
        <v>0</v>
      </c>
      <c r="AI74" s="4">
        <f t="shared" si="57"/>
        <v>0</v>
      </c>
      <c r="AJ74" s="4">
        <f t="shared" si="57"/>
        <v>0</v>
      </c>
      <c r="AK74" s="4">
        <f t="shared" si="57"/>
        <v>0</v>
      </c>
      <c r="AL74" s="4">
        <f t="shared" si="57"/>
        <v>0</v>
      </c>
      <c r="AM74" s="4">
        <f t="shared" si="57"/>
        <v>0</v>
      </c>
      <c r="AN74" s="4">
        <f t="shared" si="57"/>
        <v>0</v>
      </c>
      <c r="AO74" s="837"/>
    </row>
    <row r="75" spans="1:41" s="97" customFormat="1" ht="28.5" hidden="1" customHeight="1" x14ac:dyDescent="0.25">
      <c r="A75" s="1377"/>
      <c r="B75" s="252" t="s">
        <v>417</v>
      </c>
      <c r="C75" s="369"/>
      <c r="D75" s="369"/>
      <c r="E75" s="714"/>
      <c r="F75" s="715"/>
      <c r="G75" s="487"/>
      <c r="H75" s="487"/>
      <c r="I75" s="836"/>
      <c r="J75" s="583"/>
      <c r="K75" s="368"/>
      <c r="L75" s="848"/>
      <c r="M75" s="268"/>
      <c r="N75" s="268"/>
      <c r="O75" s="268"/>
      <c r="P75" s="4"/>
      <c r="Q75" s="268">
        <f>Y75</f>
        <v>0</v>
      </c>
      <c r="R75" s="268"/>
      <c r="S75" s="268"/>
      <c r="T75" s="268"/>
      <c r="U75" s="268"/>
      <c r="V75" s="268"/>
      <c r="W75" s="268"/>
      <c r="X75" s="268">
        <v>0</v>
      </c>
      <c r="Y75" s="268">
        <v>0</v>
      </c>
      <c r="Z75" s="268">
        <f>AD75</f>
        <v>0</v>
      </c>
      <c r="AA75" s="268"/>
      <c r="AB75" s="268"/>
      <c r="AC75" s="268"/>
      <c r="AD75" s="268">
        <v>0</v>
      </c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488"/>
    </row>
    <row r="76" spans="1:41" ht="16.5" customHeight="1" x14ac:dyDescent="0.25">
      <c r="A76" s="1377"/>
      <c r="B76" s="42" t="s">
        <v>15</v>
      </c>
      <c r="C76" s="133"/>
      <c r="D76" s="133"/>
      <c r="E76" s="690"/>
      <c r="F76" s="691"/>
      <c r="G76" s="857"/>
      <c r="H76" s="857"/>
      <c r="I76" s="1374" t="s">
        <v>10</v>
      </c>
      <c r="J76" s="68"/>
      <c r="K76" s="856"/>
      <c r="L76" s="859"/>
      <c r="M76" s="4"/>
      <c r="N76" s="4"/>
      <c r="O76" s="4"/>
      <c r="P76" s="4">
        <v>2234.2800000000002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858"/>
    </row>
    <row r="77" spans="1:41" ht="14.25" customHeight="1" x14ac:dyDescent="0.25">
      <c r="A77" s="1377"/>
      <c r="B77" s="42" t="s">
        <v>16</v>
      </c>
      <c r="C77" s="133"/>
      <c r="D77" s="133"/>
      <c r="E77" s="690"/>
      <c r="F77" s="691"/>
      <c r="G77" s="685"/>
      <c r="H77" s="685"/>
      <c r="I77" s="1375"/>
      <c r="J77" s="68"/>
      <c r="K77" s="683"/>
      <c r="L77" s="848">
        <v>26833.33</v>
      </c>
      <c r="M77" s="4"/>
      <c r="N77" s="4"/>
      <c r="O77" s="4"/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837"/>
    </row>
    <row r="78" spans="1:41" ht="38.25" x14ac:dyDescent="0.25">
      <c r="A78" s="1332" t="s">
        <v>47</v>
      </c>
      <c r="B78" s="1335" t="s">
        <v>17</v>
      </c>
      <c r="C78" s="1336"/>
      <c r="D78" s="1336"/>
      <c r="E78" s="1336"/>
      <c r="F78" s="1336"/>
      <c r="G78" s="1336"/>
      <c r="H78" s="1337"/>
      <c r="I78" s="15" t="s">
        <v>20</v>
      </c>
      <c r="J78" s="16">
        <f t="shared" ref="J78:K78" si="58">J81</f>
        <v>18824.2</v>
      </c>
      <c r="K78" s="16">
        <f t="shared" si="58"/>
        <v>0</v>
      </c>
      <c r="L78" s="16">
        <f>L81+L85+L90</f>
        <v>10754.58</v>
      </c>
      <c r="M78" s="16">
        <f t="shared" ref="M78:AK78" si="59">M81+M85+M90</f>
        <v>893.45</v>
      </c>
      <c r="N78" s="16">
        <f t="shared" si="59"/>
        <v>1051.49</v>
      </c>
      <c r="O78" s="16">
        <f t="shared" si="59"/>
        <v>11206.2</v>
      </c>
      <c r="P78" s="22">
        <f t="shared" si="59"/>
        <v>192.06</v>
      </c>
      <c r="Q78" s="22">
        <f t="shared" si="59"/>
        <v>981.20031000000006</v>
      </c>
      <c r="R78" s="22">
        <f t="shared" si="59"/>
        <v>75</v>
      </c>
      <c r="S78" s="22">
        <f t="shared" si="59"/>
        <v>76.58</v>
      </c>
      <c r="T78" s="22">
        <f t="shared" si="59"/>
        <v>0</v>
      </c>
      <c r="U78" s="22">
        <f t="shared" si="59"/>
        <v>34.091999999999999</v>
      </c>
      <c r="V78" s="22">
        <f t="shared" si="59"/>
        <v>192.06</v>
      </c>
      <c r="W78" s="22">
        <f t="shared" si="59"/>
        <v>1741.0566200000001</v>
      </c>
      <c r="X78" s="22">
        <f t="shared" si="59"/>
        <v>0</v>
      </c>
      <c r="Y78" s="22">
        <f t="shared" si="59"/>
        <v>870.52831000000003</v>
      </c>
      <c r="Z78" s="22">
        <f t="shared" si="59"/>
        <v>981.20031000000006</v>
      </c>
      <c r="AA78" s="22">
        <f t="shared" si="59"/>
        <v>76.58</v>
      </c>
      <c r="AB78" s="22">
        <f t="shared" si="59"/>
        <v>34.091999999999999</v>
      </c>
      <c r="AC78" s="22">
        <f t="shared" si="59"/>
        <v>0</v>
      </c>
      <c r="AD78" s="22">
        <f t="shared" si="59"/>
        <v>870.52831000000003</v>
      </c>
      <c r="AE78" s="22">
        <f t="shared" si="59"/>
        <v>0</v>
      </c>
      <c r="AF78" s="22">
        <f t="shared" si="59"/>
        <v>0</v>
      </c>
      <c r="AG78" s="22">
        <f t="shared" si="59"/>
        <v>0</v>
      </c>
      <c r="AH78" s="22">
        <f t="shared" si="59"/>
        <v>0</v>
      </c>
      <c r="AI78" s="22">
        <f t="shared" si="59"/>
        <v>0</v>
      </c>
      <c r="AJ78" s="22">
        <f t="shared" si="59"/>
        <v>117.06</v>
      </c>
      <c r="AK78" s="22">
        <f t="shared" si="59"/>
        <v>117.06</v>
      </c>
      <c r="AL78" s="22">
        <f t="shared" ref="AL78:AN78" si="60">AL81+AL85</f>
        <v>39.049999999999997</v>
      </c>
      <c r="AM78" s="22">
        <f t="shared" si="60"/>
        <v>0</v>
      </c>
      <c r="AN78" s="22">
        <f t="shared" si="60"/>
        <v>0</v>
      </c>
      <c r="AO78" s="398"/>
    </row>
    <row r="79" spans="1:41" ht="25.5" customHeight="1" x14ac:dyDescent="0.25">
      <c r="A79" s="1333"/>
      <c r="B79" s="1338"/>
      <c r="C79" s="1339"/>
      <c r="D79" s="1339"/>
      <c r="E79" s="1339"/>
      <c r="F79" s="1339"/>
      <c r="G79" s="1339"/>
      <c r="H79" s="1340"/>
      <c r="I79" s="15" t="s">
        <v>10</v>
      </c>
      <c r="J79" s="16">
        <v>0</v>
      </c>
      <c r="K79" s="16">
        <v>0</v>
      </c>
      <c r="L79" s="16">
        <f>M79+N79+O79</f>
        <v>0</v>
      </c>
      <c r="M79" s="16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398"/>
    </row>
    <row r="80" spans="1:41" ht="25.5" customHeight="1" x14ac:dyDescent="0.25">
      <c r="A80" s="1334"/>
      <c r="B80" s="1341"/>
      <c r="C80" s="1342"/>
      <c r="D80" s="1342"/>
      <c r="E80" s="1342"/>
      <c r="F80" s="1342"/>
      <c r="G80" s="1342"/>
      <c r="H80" s="1343"/>
      <c r="I80" s="15" t="s">
        <v>9</v>
      </c>
      <c r="J80" s="16">
        <v>0</v>
      </c>
      <c r="K80" s="16">
        <v>0</v>
      </c>
      <c r="L80" s="16">
        <f>M80+N80+O80</f>
        <v>0</v>
      </c>
      <c r="M80" s="16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398"/>
    </row>
    <row r="81" spans="1:41" ht="78.75" customHeight="1" x14ac:dyDescent="0.25">
      <c r="A81" s="1358" t="s">
        <v>48</v>
      </c>
      <c r="B81" s="75" t="s">
        <v>277</v>
      </c>
      <c r="C81" s="1350">
        <v>200</v>
      </c>
      <c r="D81" s="1350">
        <v>180</v>
      </c>
      <c r="E81" s="1350"/>
      <c r="F81" s="1350"/>
      <c r="G81" s="9"/>
      <c r="H81" s="9"/>
      <c r="I81" s="1326" t="s">
        <v>20</v>
      </c>
      <c r="J81" s="1379">
        <v>18824.2</v>
      </c>
      <c r="K81" s="16">
        <v>0</v>
      </c>
      <c r="L81" s="79">
        <f t="shared" ref="L81:Q81" si="61">L82+L84</f>
        <v>5902.8</v>
      </c>
      <c r="M81" s="79">
        <f t="shared" si="61"/>
        <v>893.45</v>
      </c>
      <c r="N81" s="79">
        <f t="shared" si="61"/>
        <v>1051.49</v>
      </c>
      <c r="O81" s="79">
        <f t="shared" si="61"/>
        <v>11206.2</v>
      </c>
      <c r="P81" s="79">
        <f t="shared" si="61"/>
        <v>192.06</v>
      </c>
      <c r="Q81" s="79">
        <f t="shared" si="61"/>
        <v>75</v>
      </c>
      <c r="R81" s="79">
        <f t="shared" ref="R81:AN81" si="62">R82+R84</f>
        <v>75</v>
      </c>
      <c r="S81" s="79">
        <f t="shared" si="62"/>
        <v>75</v>
      </c>
      <c r="T81" s="79">
        <f t="shared" si="62"/>
        <v>0</v>
      </c>
      <c r="U81" s="79">
        <f t="shared" si="62"/>
        <v>0</v>
      </c>
      <c r="V81" s="79">
        <f t="shared" si="62"/>
        <v>192.06</v>
      </c>
      <c r="W81" s="79">
        <f t="shared" si="62"/>
        <v>0</v>
      </c>
      <c r="X81" s="79">
        <f t="shared" si="62"/>
        <v>0</v>
      </c>
      <c r="Y81" s="79">
        <f t="shared" si="62"/>
        <v>0</v>
      </c>
      <c r="Z81" s="79">
        <f t="shared" si="62"/>
        <v>75</v>
      </c>
      <c r="AA81" s="79">
        <f t="shared" si="62"/>
        <v>75</v>
      </c>
      <c r="AB81" s="79">
        <f>AB82+AB84</f>
        <v>0</v>
      </c>
      <c r="AC81" s="79">
        <f>AC82+AC84</f>
        <v>0</v>
      </c>
      <c r="AD81" s="79">
        <f>AD82+AD84</f>
        <v>0</v>
      </c>
      <c r="AE81" s="79">
        <f t="shared" si="62"/>
        <v>0</v>
      </c>
      <c r="AF81" s="79">
        <f t="shared" si="62"/>
        <v>0</v>
      </c>
      <c r="AG81" s="79">
        <f t="shared" si="62"/>
        <v>0</v>
      </c>
      <c r="AH81" s="79">
        <f t="shared" si="62"/>
        <v>0</v>
      </c>
      <c r="AI81" s="79">
        <f>AI82+AI84</f>
        <v>0</v>
      </c>
      <c r="AJ81" s="79">
        <f>P81-Q81</f>
        <v>117.06</v>
      </c>
      <c r="AK81" s="79">
        <f>AJ81</f>
        <v>117.06</v>
      </c>
      <c r="AL81" s="76">
        <f>ROUND((Q81*100%/P81*100),2)</f>
        <v>39.049999999999997</v>
      </c>
      <c r="AM81" s="79">
        <f t="shared" si="62"/>
        <v>0</v>
      </c>
      <c r="AN81" s="79">
        <f t="shared" si="62"/>
        <v>0</v>
      </c>
      <c r="AO81" s="404" t="s">
        <v>420</v>
      </c>
    </row>
    <row r="82" spans="1:41" ht="15.75" customHeight="1" x14ac:dyDescent="0.25">
      <c r="A82" s="1359"/>
      <c r="B82" s="2" t="s">
        <v>15</v>
      </c>
      <c r="C82" s="1351"/>
      <c r="D82" s="1351"/>
      <c r="E82" s="1351"/>
      <c r="F82" s="1351"/>
      <c r="G82" s="11">
        <v>2019</v>
      </c>
      <c r="H82" s="11">
        <v>2019</v>
      </c>
      <c r="I82" s="1327"/>
      <c r="J82" s="1380"/>
      <c r="K82" s="16"/>
      <c r="L82" s="22">
        <v>1944.94</v>
      </c>
      <c r="M82" s="47">
        <v>893.45</v>
      </c>
      <c r="N82" s="47">
        <v>1051.49</v>
      </c>
      <c r="O82" s="47">
        <v>0</v>
      </c>
      <c r="P82" s="47">
        <v>0</v>
      </c>
      <c r="Q82" s="47">
        <f>SUM(Q83)</f>
        <v>75</v>
      </c>
      <c r="R82" s="47">
        <f t="shared" ref="R82:AF82" si="63">SUM(R83)</f>
        <v>75</v>
      </c>
      <c r="S82" s="47">
        <f t="shared" si="63"/>
        <v>75</v>
      </c>
      <c r="T82" s="47">
        <f t="shared" si="63"/>
        <v>0</v>
      </c>
      <c r="U82" s="47">
        <f t="shared" si="63"/>
        <v>0</v>
      </c>
      <c r="V82" s="47">
        <f t="shared" si="63"/>
        <v>0</v>
      </c>
      <c r="W82" s="47">
        <f t="shared" si="63"/>
        <v>0</v>
      </c>
      <c r="X82" s="47">
        <f t="shared" si="63"/>
        <v>0</v>
      </c>
      <c r="Y82" s="47">
        <f t="shared" si="63"/>
        <v>0</v>
      </c>
      <c r="Z82" s="47">
        <f>SUM(Z83)</f>
        <v>75</v>
      </c>
      <c r="AA82" s="47">
        <f t="shared" ref="AA82:AD82" si="64">SUM(AA83)</f>
        <v>75</v>
      </c>
      <c r="AB82" s="47">
        <f t="shared" si="64"/>
        <v>0</v>
      </c>
      <c r="AC82" s="47">
        <f t="shared" si="64"/>
        <v>0</v>
      </c>
      <c r="AD82" s="47">
        <f t="shared" si="64"/>
        <v>0</v>
      </c>
      <c r="AE82" s="47">
        <f t="shared" si="63"/>
        <v>0</v>
      </c>
      <c r="AF82" s="47">
        <f t="shared" si="63"/>
        <v>0</v>
      </c>
      <c r="AG82" s="47">
        <v>0</v>
      </c>
      <c r="AH82" s="47">
        <v>0</v>
      </c>
      <c r="AI82" s="47">
        <v>0</v>
      </c>
      <c r="AJ82" s="47">
        <v>0</v>
      </c>
      <c r="AK82" s="47">
        <v>0</v>
      </c>
      <c r="AL82" s="47">
        <v>0</v>
      </c>
      <c r="AM82" s="47">
        <v>0</v>
      </c>
      <c r="AN82" s="47">
        <v>0</v>
      </c>
      <c r="AO82" s="397"/>
    </row>
    <row r="83" spans="1:41" s="97" customFormat="1" ht="29.25" customHeight="1" x14ac:dyDescent="0.25">
      <c r="A83" s="1359"/>
      <c r="B83" s="92" t="s">
        <v>397</v>
      </c>
      <c r="C83" s="1351"/>
      <c r="D83" s="1351"/>
      <c r="E83" s="1351"/>
      <c r="F83" s="1351"/>
      <c r="G83" s="262"/>
      <c r="H83" s="262"/>
      <c r="I83" s="1327"/>
      <c r="J83" s="1380"/>
      <c r="K83" s="107"/>
      <c r="L83" s="16"/>
      <c r="M83" s="96"/>
      <c r="N83" s="95"/>
      <c r="O83" s="95"/>
      <c r="P83" s="47"/>
      <c r="Q83" s="96">
        <f>S83+U83+W83+Y83</f>
        <v>75</v>
      </c>
      <c r="R83" s="96">
        <f>S83</f>
        <v>75</v>
      </c>
      <c r="S83" s="96">
        <v>75</v>
      </c>
      <c r="T83" s="96">
        <v>0</v>
      </c>
      <c r="U83" s="96">
        <v>0</v>
      </c>
      <c r="V83" s="96">
        <v>0</v>
      </c>
      <c r="W83" s="96">
        <v>0</v>
      </c>
      <c r="X83" s="96">
        <f>Y83</f>
        <v>0</v>
      </c>
      <c r="Y83" s="96">
        <v>0</v>
      </c>
      <c r="Z83" s="96">
        <f>AA83+AD83</f>
        <v>75</v>
      </c>
      <c r="AA83" s="96">
        <v>75</v>
      </c>
      <c r="AB83" s="96">
        <v>0</v>
      </c>
      <c r="AC83" s="96">
        <v>0</v>
      </c>
      <c r="AD83" s="96">
        <v>0</v>
      </c>
      <c r="AE83" s="96">
        <f>SUM(AF83:AF83)</f>
        <v>0</v>
      </c>
      <c r="AF83" s="96"/>
      <c r="AG83" s="96"/>
      <c r="AH83" s="96"/>
      <c r="AI83" s="96"/>
      <c r="AJ83" s="96"/>
      <c r="AK83" s="96"/>
      <c r="AL83" s="96"/>
      <c r="AM83" s="96"/>
      <c r="AN83" s="96"/>
      <c r="AO83" s="405"/>
    </row>
    <row r="84" spans="1:41" ht="15.75" customHeight="1" x14ac:dyDescent="0.25">
      <c r="A84" s="1361"/>
      <c r="B84" s="2" t="s">
        <v>16</v>
      </c>
      <c r="C84" s="1351"/>
      <c r="D84" s="1351"/>
      <c r="E84" s="1351"/>
      <c r="F84" s="1351"/>
      <c r="G84" s="11">
        <v>2020</v>
      </c>
      <c r="H84" s="11">
        <v>2020</v>
      </c>
      <c r="I84" s="1328"/>
      <c r="J84" s="1381"/>
      <c r="K84" s="22">
        <v>0</v>
      </c>
      <c r="L84" s="22">
        <v>3957.86</v>
      </c>
      <c r="M84" s="47">
        <v>0</v>
      </c>
      <c r="N84" s="47">
        <v>0</v>
      </c>
      <c r="O84" s="47">
        <v>11206.2</v>
      </c>
      <c r="P84" s="47">
        <v>192.06</v>
      </c>
      <c r="Q84" s="47">
        <v>0</v>
      </c>
      <c r="R84" s="47">
        <v>0</v>
      </c>
      <c r="S84" s="47">
        <v>0</v>
      </c>
      <c r="T84" s="47">
        <v>0</v>
      </c>
      <c r="U84" s="47">
        <v>0</v>
      </c>
      <c r="V84" s="47">
        <v>192.06</v>
      </c>
      <c r="W84" s="47">
        <v>0</v>
      </c>
      <c r="X84" s="47">
        <v>0</v>
      </c>
      <c r="Y84" s="47">
        <v>0</v>
      </c>
      <c r="Z84" s="47">
        <v>0</v>
      </c>
      <c r="AA84" s="47">
        <v>0</v>
      </c>
      <c r="AB84" s="47">
        <v>0</v>
      </c>
      <c r="AC84" s="47">
        <v>0</v>
      </c>
      <c r="AD84" s="47">
        <v>0</v>
      </c>
      <c r="AE84" s="47">
        <v>0</v>
      </c>
      <c r="AF84" s="47">
        <v>0</v>
      </c>
      <c r="AG84" s="47">
        <v>0</v>
      </c>
      <c r="AH84" s="47">
        <v>0</v>
      </c>
      <c r="AI84" s="47">
        <v>0</v>
      </c>
      <c r="AJ84" s="47">
        <v>0</v>
      </c>
      <c r="AK84" s="47">
        <v>0</v>
      </c>
      <c r="AL84" s="47">
        <v>0</v>
      </c>
      <c r="AM84" s="47">
        <v>0</v>
      </c>
      <c r="AN84" s="47">
        <v>0</v>
      </c>
      <c r="AO84" s="397"/>
    </row>
    <row r="85" spans="1:41" ht="68.25" customHeight="1" x14ac:dyDescent="0.25">
      <c r="A85" s="1372" t="s">
        <v>355</v>
      </c>
      <c r="B85" s="75" t="s">
        <v>356</v>
      </c>
      <c r="C85" s="133"/>
      <c r="D85" s="133"/>
      <c r="E85" s="133"/>
      <c r="F85" s="133"/>
      <c r="G85" s="684"/>
      <c r="H85" s="684"/>
      <c r="I85" s="1326" t="s">
        <v>20</v>
      </c>
      <c r="J85" s="689"/>
      <c r="K85" s="16"/>
      <c r="L85" s="79">
        <f>L86</f>
        <v>1290.94</v>
      </c>
      <c r="M85" s="79">
        <f t="shared" ref="M85:AN85" si="65">M86</f>
        <v>0</v>
      </c>
      <c r="N85" s="79">
        <f t="shared" si="65"/>
        <v>0</v>
      </c>
      <c r="O85" s="79">
        <f t="shared" si="65"/>
        <v>0</v>
      </c>
      <c r="P85" s="79">
        <f t="shared" si="65"/>
        <v>0</v>
      </c>
      <c r="Q85" s="79">
        <f t="shared" si="65"/>
        <v>906.20031000000006</v>
      </c>
      <c r="R85" s="79">
        <f t="shared" si="65"/>
        <v>0</v>
      </c>
      <c r="S85" s="79">
        <f t="shared" si="65"/>
        <v>1.58</v>
      </c>
      <c r="T85" s="79">
        <f t="shared" si="65"/>
        <v>0</v>
      </c>
      <c r="U85" s="79">
        <f t="shared" si="65"/>
        <v>34.091999999999999</v>
      </c>
      <c r="V85" s="79">
        <f t="shared" si="65"/>
        <v>0</v>
      </c>
      <c r="W85" s="79">
        <f t="shared" si="65"/>
        <v>870.52831000000003</v>
      </c>
      <c r="X85" s="79">
        <f t="shared" si="65"/>
        <v>0</v>
      </c>
      <c r="Y85" s="79">
        <f t="shared" si="65"/>
        <v>870.52831000000003</v>
      </c>
      <c r="Z85" s="79">
        <f t="shared" si="65"/>
        <v>906.20031000000006</v>
      </c>
      <c r="AA85" s="79">
        <f t="shared" si="65"/>
        <v>1.58</v>
      </c>
      <c r="AB85" s="79">
        <f t="shared" si="65"/>
        <v>34.091999999999999</v>
      </c>
      <c r="AC85" s="79">
        <f t="shared" si="65"/>
        <v>0</v>
      </c>
      <c r="AD85" s="79">
        <f t="shared" si="65"/>
        <v>870.52831000000003</v>
      </c>
      <c r="AE85" s="79">
        <f t="shared" si="65"/>
        <v>0</v>
      </c>
      <c r="AF85" s="79">
        <f t="shared" si="65"/>
        <v>0</v>
      </c>
      <c r="AG85" s="79">
        <f t="shared" si="65"/>
        <v>0</v>
      </c>
      <c r="AH85" s="79">
        <f t="shared" si="65"/>
        <v>0</v>
      </c>
      <c r="AI85" s="79">
        <f t="shared" si="65"/>
        <v>0</v>
      </c>
      <c r="AJ85" s="79">
        <f t="shared" si="65"/>
        <v>0</v>
      </c>
      <c r="AK85" s="79">
        <f t="shared" si="65"/>
        <v>0</v>
      </c>
      <c r="AL85" s="79">
        <f t="shared" si="65"/>
        <v>0</v>
      </c>
      <c r="AM85" s="79">
        <f t="shared" si="65"/>
        <v>0</v>
      </c>
      <c r="AN85" s="79">
        <f t="shared" si="65"/>
        <v>0</v>
      </c>
      <c r="AO85" s="404" t="s">
        <v>421</v>
      </c>
    </row>
    <row r="86" spans="1:41" ht="15.75" customHeight="1" x14ac:dyDescent="0.25">
      <c r="A86" s="1382"/>
      <c r="B86" s="688" t="s">
        <v>16</v>
      </c>
      <c r="C86" s="133"/>
      <c r="D86" s="133"/>
      <c r="E86" s="133"/>
      <c r="F86" s="133"/>
      <c r="G86" s="682"/>
      <c r="H86" s="682"/>
      <c r="I86" s="1328"/>
      <c r="J86" s="689"/>
      <c r="K86" s="16"/>
      <c r="L86" s="22">
        <v>1290.94</v>
      </c>
      <c r="M86" s="47"/>
      <c r="N86" s="47"/>
      <c r="O86" s="47"/>
      <c r="P86" s="47">
        <v>0</v>
      </c>
      <c r="Q86" s="47">
        <f>SUM(Q87:Q89)</f>
        <v>906.20031000000006</v>
      </c>
      <c r="R86" s="47">
        <f t="shared" ref="R86:AN86" si="66">SUM(R87:R89)</f>
        <v>0</v>
      </c>
      <c r="S86" s="47">
        <f t="shared" si="66"/>
        <v>1.58</v>
      </c>
      <c r="T86" s="47">
        <f t="shared" si="66"/>
        <v>0</v>
      </c>
      <c r="U86" s="47">
        <f t="shared" si="66"/>
        <v>34.091999999999999</v>
      </c>
      <c r="V86" s="47">
        <f t="shared" si="66"/>
        <v>0</v>
      </c>
      <c r="W86" s="47">
        <f t="shared" si="66"/>
        <v>870.52831000000003</v>
      </c>
      <c r="X86" s="47">
        <f t="shared" si="66"/>
        <v>0</v>
      </c>
      <c r="Y86" s="47">
        <f t="shared" si="66"/>
        <v>870.52831000000003</v>
      </c>
      <c r="Z86" s="47">
        <f t="shared" si="66"/>
        <v>906.20031000000006</v>
      </c>
      <c r="AA86" s="47">
        <f t="shared" si="66"/>
        <v>1.58</v>
      </c>
      <c r="AB86" s="47">
        <f t="shared" si="66"/>
        <v>34.091999999999999</v>
      </c>
      <c r="AC86" s="47">
        <f t="shared" si="66"/>
        <v>0</v>
      </c>
      <c r="AD86" s="47">
        <f t="shared" si="66"/>
        <v>870.52831000000003</v>
      </c>
      <c r="AE86" s="47">
        <f t="shared" si="66"/>
        <v>0</v>
      </c>
      <c r="AF86" s="47">
        <f t="shared" si="66"/>
        <v>0</v>
      </c>
      <c r="AG86" s="47">
        <f t="shared" si="66"/>
        <v>0</v>
      </c>
      <c r="AH86" s="47">
        <f t="shared" si="66"/>
        <v>0</v>
      </c>
      <c r="AI86" s="47">
        <f t="shared" si="66"/>
        <v>0</v>
      </c>
      <c r="AJ86" s="47">
        <f t="shared" si="66"/>
        <v>0</v>
      </c>
      <c r="AK86" s="47">
        <f t="shared" si="66"/>
        <v>0</v>
      </c>
      <c r="AL86" s="47">
        <f t="shared" si="66"/>
        <v>0</v>
      </c>
      <c r="AM86" s="47">
        <f t="shared" si="66"/>
        <v>0</v>
      </c>
      <c r="AN86" s="47">
        <f t="shared" si="66"/>
        <v>0</v>
      </c>
      <c r="AO86" s="397"/>
    </row>
    <row r="87" spans="1:41" s="97" customFormat="1" ht="15.75" customHeight="1" x14ac:dyDescent="0.25">
      <c r="A87" s="362"/>
      <c r="B87" s="92" t="s">
        <v>448</v>
      </c>
      <c r="C87" s="369"/>
      <c r="D87" s="369"/>
      <c r="E87" s="369"/>
      <c r="F87" s="369"/>
      <c r="G87" s="262"/>
      <c r="H87" s="262"/>
      <c r="I87" s="367"/>
      <c r="J87" s="854"/>
      <c r="K87" s="107"/>
      <c r="L87" s="165"/>
      <c r="M87" s="96"/>
      <c r="N87" s="96"/>
      <c r="O87" s="96"/>
      <c r="P87" s="96"/>
      <c r="Q87" s="96">
        <f>S87+U87</f>
        <v>34.091999999999999</v>
      </c>
      <c r="R87" s="96"/>
      <c r="S87" s="96"/>
      <c r="T87" s="96"/>
      <c r="U87" s="96">
        <v>34.091999999999999</v>
      </c>
      <c r="V87" s="96"/>
      <c r="W87" s="96"/>
      <c r="X87" s="96"/>
      <c r="Y87" s="96"/>
      <c r="Z87" s="96">
        <f>SUM(AA87:AB87)</f>
        <v>34.091999999999999</v>
      </c>
      <c r="AA87" s="96"/>
      <c r="AB87" s="96">
        <v>34.091999999999999</v>
      </c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405"/>
    </row>
    <row r="88" spans="1:41" s="97" customFormat="1" ht="15.75" customHeight="1" x14ac:dyDescent="0.25">
      <c r="A88" s="362"/>
      <c r="B88" s="252" t="s">
        <v>398</v>
      </c>
      <c r="C88" s="369"/>
      <c r="D88" s="369"/>
      <c r="E88" s="369"/>
      <c r="F88" s="369"/>
      <c r="G88" s="363"/>
      <c r="H88" s="364"/>
      <c r="I88" s="368"/>
      <c r="J88" s="854"/>
      <c r="K88" s="708"/>
      <c r="L88" s="165"/>
      <c r="M88" s="96"/>
      <c r="N88" s="96"/>
      <c r="O88" s="96"/>
      <c r="P88" s="96"/>
      <c r="Q88" s="96">
        <f>Y88</f>
        <v>870.52831000000003</v>
      </c>
      <c r="R88" s="96"/>
      <c r="S88" s="96"/>
      <c r="T88" s="96"/>
      <c r="U88" s="96"/>
      <c r="V88" s="96"/>
      <c r="W88" s="96">
        <v>870.52831000000003</v>
      </c>
      <c r="X88" s="96"/>
      <c r="Y88" s="96">
        <v>870.52831000000003</v>
      </c>
      <c r="Z88" s="96">
        <f>AD88</f>
        <v>870.52831000000003</v>
      </c>
      <c r="AA88" s="96"/>
      <c r="AB88" s="96"/>
      <c r="AC88" s="96"/>
      <c r="AD88" s="96">
        <v>870.52831000000003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405"/>
    </row>
    <row r="89" spans="1:41" s="97" customFormat="1" ht="29.25" customHeight="1" x14ac:dyDescent="0.25">
      <c r="A89" s="362"/>
      <c r="B89" s="92" t="s">
        <v>430</v>
      </c>
      <c r="C89" s="369"/>
      <c r="D89" s="369"/>
      <c r="E89" s="369"/>
      <c r="F89" s="369"/>
      <c r="G89" s="262"/>
      <c r="H89" s="262"/>
      <c r="I89" s="367"/>
      <c r="J89" s="854"/>
      <c r="K89" s="107"/>
      <c r="L89" s="165"/>
      <c r="M89" s="96"/>
      <c r="N89" s="96"/>
      <c r="O89" s="96"/>
      <c r="P89" s="96"/>
      <c r="Q89" s="96">
        <f>S89</f>
        <v>1.58</v>
      </c>
      <c r="R89" s="96">
        <v>0</v>
      </c>
      <c r="S89" s="96">
        <v>1.58</v>
      </c>
      <c r="T89" s="96"/>
      <c r="U89" s="96"/>
      <c r="V89" s="96"/>
      <c r="W89" s="96"/>
      <c r="X89" s="96"/>
      <c r="Y89" s="96"/>
      <c r="Z89" s="96">
        <f>AA89</f>
        <v>1.58</v>
      </c>
      <c r="AA89" s="96">
        <v>1.58</v>
      </c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405"/>
    </row>
    <row r="90" spans="1:41" ht="68.25" customHeight="1" x14ac:dyDescent="0.25">
      <c r="A90" s="1372" t="s">
        <v>355</v>
      </c>
      <c r="B90" s="75" t="s">
        <v>357</v>
      </c>
      <c r="C90" s="133"/>
      <c r="D90" s="133"/>
      <c r="E90" s="133"/>
      <c r="F90" s="133"/>
      <c r="G90" s="684"/>
      <c r="H90" s="684"/>
      <c r="I90" s="1326" t="s">
        <v>20</v>
      </c>
      <c r="J90" s="689"/>
      <c r="K90" s="16"/>
      <c r="L90" s="79">
        <f>L91</f>
        <v>3560.84</v>
      </c>
      <c r="M90" s="79">
        <f t="shared" ref="M90" si="67">M91</f>
        <v>0</v>
      </c>
      <c r="N90" s="79">
        <f t="shared" ref="N90" si="68">N91</f>
        <v>0</v>
      </c>
      <c r="O90" s="79">
        <f t="shared" ref="O90" si="69">O91</f>
        <v>0</v>
      </c>
      <c r="P90" s="79">
        <f t="shared" ref="P90" si="70">P91</f>
        <v>0</v>
      </c>
      <c r="Q90" s="79">
        <f t="shared" ref="Q90:Q91" si="71">Q91</f>
        <v>0</v>
      </c>
      <c r="R90" s="79">
        <f t="shared" ref="R90:R91" si="72">R91</f>
        <v>0</v>
      </c>
      <c r="S90" s="79">
        <f t="shared" ref="S90:S91" si="73">S91</f>
        <v>0</v>
      </c>
      <c r="T90" s="79">
        <f t="shared" ref="T90:T91" si="74">T91</f>
        <v>0</v>
      </c>
      <c r="U90" s="79">
        <f t="shared" ref="U90:U91" si="75">U91</f>
        <v>0</v>
      </c>
      <c r="V90" s="79">
        <f t="shared" ref="V90:V91" si="76">V91</f>
        <v>0</v>
      </c>
      <c r="W90" s="79">
        <f t="shared" ref="W90:W91" si="77">W91</f>
        <v>870.52831000000003</v>
      </c>
      <c r="X90" s="79">
        <f t="shared" ref="X90:X91" si="78">X91</f>
        <v>0</v>
      </c>
      <c r="Y90" s="79">
        <f t="shared" ref="Y90" si="79">Y91</f>
        <v>0</v>
      </c>
      <c r="Z90" s="79">
        <f t="shared" ref="Z90:Z91" si="80">Z91</f>
        <v>0</v>
      </c>
      <c r="AA90" s="79">
        <f t="shared" ref="AA90:AA91" si="81">AA91</f>
        <v>0</v>
      </c>
      <c r="AB90" s="79">
        <f t="shared" ref="AB90:AB91" si="82">AB91</f>
        <v>0</v>
      </c>
      <c r="AC90" s="79">
        <f t="shared" ref="AC90:AC91" si="83">AC91</f>
        <v>0</v>
      </c>
      <c r="AD90" s="79">
        <f t="shared" ref="AD90:AD91" si="84">AD91</f>
        <v>0</v>
      </c>
      <c r="AE90" s="79">
        <f t="shared" ref="AE90" si="85">AE91</f>
        <v>0</v>
      </c>
      <c r="AF90" s="79">
        <f t="shared" ref="AF90" si="86">AF91</f>
        <v>0</v>
      </c>
      <c r="AG90" s="79">
        <f t="shared" ref="AG90" si="87">AG91</f>
        <v>0</v>
      </c>
      <c r="AH90" s="79">
        <f t="shared" ref="AH90" si="88">AH91</f>
        <v>0</v>
      </c>
      <c r="AI90" s="79">
        <f t="shared" ref="AI90" si="89">AI91</f>
        <v>0</v>
      </c>
      <c r="AJ90" s="79">
        <f t="shared" ref="AJ90" si="90">AJ91</f>
        <v>0</v>
      </c>
      <c r="AK90" s="79">
        <f t="shared" ref="AK90" si="91">AK91</f>
        <v>0</v>
      </c>
      <c r="AL90" s="79">
        <f t="shared" ref="AL90" si="92">AL91</f>
        <v>0</v>
      </c>
      <c r="AM90" s="79">
        <f t="shared" ref="AM90" si="93">AM91</f>
        <v>0</v>
      </c>
      <c r="AN90" s="79">
        <f t="shared" ref="AN90" si="94">AN91</f>
        <v>0</v>
      </c>
      <c r="AO90" s="404"/>
    </row>
    <row r="91" spans="1:41" ht="15.75" customHeight="1" x14ac:dyDescent="0.25">
      <c r="A91" s="1382"/>
      <c r="B91" s="688" t="s">
        <v>16</v>
      </c>
      <c r="C91" s="133"/>
      <c r="D91" s="133"/>
      <c r="E91" s="133"/>
      <c r="F91" s="133"/>
      <c r="G91" s="682"/>
      <c r="H91" s="682"/>
      <c r="I91" s="1328"/>
      <c r="J91" s="689"/>
      <c r="K91" s="16"/>
      <c r="L91" s="22">
        <v>3560.84</v>
      </c>
      <c r="M91" s="47"/>
      <c r="N91" s="47"/>
      <c r="O91" s="47"/>
      <c r="P91" s="47">
        <v>0</v>
      </c>
      <c r="Q91" s="47">
        <f t="shared" si="71"/>
        <v>0</v>
      </c>
      <c r="R91" s="47">
        <f t="shared" si="72"/>
        <v>0</v>
      </c>
      <c r="S91" s="47">
        <f t="shared" si="73"/>
        <v>0</v>
      </c>
      <c r="T91" s="47">
        <f t="shared" si="74"/>
        <v>0</v>
      </c>
      <c r="U91" s="47">
        <f t="shared" si="75"/>
        <v>0</v>
      </c>
      <c r="V91" s="47">
        <f t="shared" si="76"/>
        <v>0</v>
      </c>
      <c r="W91" s="47">
        <f t="shared" si="77"/>
        <v>870.52831000000003</v>
      </c>
      <c r="X91" s="47">
        <f t="shared" si="78"/>
        <v>0</v>
      </c>
      <c r="Y91" s="47">
        <f>Y92</f>
        <v>0</v>
      </c>
      <c r="Z91" s="47">
        <f t="shared" si="80"/>
        <v>0</v>
      </c>
      <c r="AA91" s="47">
        <f t="shared" si="81"/>
        <v>0</v>
      </c>
      <c r="AB91" s="47">
        <f t="shared" si="82"/>
        <v>0</v>
      </c>
      <c r="AC91" s="47">
        <f t="shared" si="83"/>
        <v>0</v>
      </c>
      <c r="AD91" s="47">
        <f t="shared" si="84"/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397"/>
    </row>
    <row r="92" spans="1:41" s="97" customFormat="1" ht="15.75" hidden="1" customHeight="1" x14ac:dyDescent="0.25">
      <c r="A92" s="362"/>
      <c r="B92" s="252" t="s">
        <v>398</v>
      </c>
      <c r="C92" s="369"/>
      <c r="D92" s="369"/>
      <c r="E92" s="369"/>
      <c r="F92" s="369"/>
      <c r="G92" s="363"/>
      <c r="H92" s="364"/>
      <c r="I92" s="368"/>
      <c r="J92" s="854"/>
      <c r="K92" s="708"/>
      <c r="L92" s="165"/>
      <c r="M92" s="96"/>
      <c r="N92" s="96"/>
      <c r="O92" s="96"/>
      <c r="P92" s="96"/>
      <c r="Q92" s="96">
        <f>Y92</f>
        <v>0</v>
      </c>
      <c r="R92" s="96"/>
      <c r="S92" s="96"/>
      <c r="T92" s="96"/>
      <c r="U92" s="96"/>
      <c r="V92" s="96"/>
      <c r="W92" s="96">
        <v>870.52831000000003</v>
      </c>
      <c r="X92" s="96"/>
      <c r="Y92" s="96">
        <v>0</v>
      </c>
      <c r="Z92" s="96">
        <f>AD92</f>
        <v>0</v>
      </c>
      <c r="AA92" s="96"/>
      <c r="AB92" s="96"/>
      <c r="AC92" s="96"/>
      <c r="AD92" s="96">
        <v>0</v>
      </c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405"/>
    </row>
    <row r="93" spans="1:41" ht="52.5" customHeight="1" x14ac:dyDescent="0.25">
      <c r="A93" s="1332" t="s">
        <v>56</v>
      </c>
      <c r="B93" s="1335" t="s">
        <v>41</v>
      </c>
      <c r="C93" s="1336"/>
      <c r="D93" s="1336"/>
      <c r="E93" s="1336"/>
      <c r="F93" s="1336"/>
      <c r="G93" s="1336"/>
      <c r="H93" s="1337"/>
      <c r="I93" s="15" t="s">
        <v>19</v>
      </c>
      <c r="J93" s="43">
        <v>0</v>
      </c>
      <c r="K93" s="43">
        <v>0</v>
      </c>
      <c r="L93" s="16">
        <f>M93+N93+O93</f>
        <v>0</v>
      </c>
      <c r="M93" s="16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398"/>
    </row>
    <row r="94" spans="1:41" ht="48" customHeight="1" x14ac:dyDescent="0.25">
      <c r="A94" s="1333"/>
      <c r="B94" s="1338"/>
      <c r="C94" s="1339"/>
      <c r="D94" s="1339"/>
      <c r="E94" s="1339"/>
      <c r="F94" s="1339"/>
      <c r="G94" s="1339"/>
      <c r="H94" s="1340"/>
      <c r="I94" s="15" t="s">
        <v>20</v>
      </c>
      <c r="J94" s="43">
        <f>L94</f>
        <v>170139.5</v>
      </c>
      <c r="K94" s="43">
        <f>K97+K158+K159+K160</f>
        <v>0</v>
      </c>
      <c r="L94" s="16">
        <f>L97+L101+L107+L108+L111+L114+L117+L123+L128+L131+L135+L140+L143+L150</f>
        <v>170139.5</v>
      </c>
      <c r="M94" s="16">
        <f t="shared" ref="M94:AI94" si="95">M97+M101+M107+M108+M111+M114+M117+M123+M128+M131+M135+M140+M143+M150</f>
        <v>23675.279999999999</v>
      </c>
      <c r="N94" s="16">
        <f t="shared" si="95"/>
        <v>64861.120000000003</v>
      </c>
      <c r="O94" s="16">
        <f t="shared" si="95"/>
        <v>26487.67</v>
      </c>
      <c r="P94" s="22">
        <f t="shared" si="95"/>
        <v>48394.06</v>
      </c>
      <c r="Q94" s="22">
        <f t="shared" si="95"/>
        <v>8116.4573600000003</v>
      </c>
      <c r="R94" s="22">
        <f t="shared" si="95"/>
        <v>0</v>
      </c>
      <c r="S94" s="22">
        <f t="shared" si="95"/>
        <v>0</v>
      </c>
      <c r="T94" s="22">
        <f t="shared" si="95"/>
        <v>0</v>
      </c>
      <c r="U94" s="22">
        <f t="shared" si="95"/>
        <v>0</v>
      </c>
      <c r="V94" s="22">
        <f t="shared" si="95"/>
        <v>36485</v>
      </c>
      <c r="W94" s="22">
        <f t="shared" si="95"/>
        <v>461.88432999999998</v>
      </c>
      <c r="X94" s="22">
        <f t="shared" si="95"/>
        <v>15309.146059999999</v>
      </c>
      <c r="Y94" s="22">
        <f t="shared" si="95"/>
        <v>7654.5730299999996</v>
      </c>
      <c r="Z94" s="22">
        <f t="shared" si="95"/>
        <v>8116.4563600000001</v>
      </c>
      <c r="AA94" s="22">
        <f t="shared" si="95"/>
        <v>0</v>
      </c>
      <c r="AB94" s="22">
        <f t="shared" si="95"/>
        <v>0</v>
      </c>
      <c r="AC94" s="22">
        <f t="shared" si="95"/>
        <v>1613.9100800000001</v>
      </c>
      <c r="AD94" s="22">
        <f t="shared" si="95"/>
        <v>6502.5462800000005</v>
      </c>
      <c r="AE94" s="22">
        <f t="shared" si="95"/>
        <v>0</v>
      </c>
      <c r="AF94" s="22">
        <f t="shared" si="95"/>
        <v>0</v>
      </c>
      <c r="AG94" s="22">
        <f t="shared" si="95"/>
        <v>0</v>
      </c>
      <c r="AH94" s="22">
        <f t="shared" si="95"/>
        <v>0</v>
      </c>
      <c r="AI94" s="22">
        <f t="shared" si="95"/>
        <v>0</v>
      </c>
      <c r="AJ94" s="22">
        <f t="shared" ref="AJ94:AN94" si="96">AJ97+AJ101+AJ107</f>
        <v>4789.3900000000003</v>
      </c>
      <c r="AK94" s="22">
        <f t="shared" si="96"/>
        <v>4789.3900000000003</v>
      </c>
      <c r="AL94" s="22">
        <f>AL97+AL101+AL107</f>
        <v>0.42</v>
      </c>
      <c r="AM94" s="22">
        <f t="shared" si="96"/>
        <v>0</v>
      </c>
      <c r="AN94" s="22">
        <f t="shared" si="96"/>
        <v>0</v>
      </c>
      <c r="AO94" s="398"/>
    </row>
    <row r="95" spans="1:41" ht="27" customHeight="1" x14ac:dyDescent="0.25">
      <c r="A95" s="1333"/>
      <c r="B95" s="1338"/>
      <c r="C95" s="1339"/>
      <c r="D95" s="1339"/>
      <c r="E95" s="1339"/>
      <c r="F95" s="1339"/>
      <c r="G95" s="1339"/>
      <c r="H95" s="1340"/>
      <c r="I95" s="15" t="s">
        <v>10</v>
      </c>
      <c r="J95" s="43">
        <f>L95</f>
        <v>0</v>
      </c>
      <c r="K95" s="43">
        <v>0</v>
      </c>
      <c r="L95" s="16">
        <f>M95+N95+O95</f>
        <v>0</v>
      </c>
      <c r="M95" s="16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f t="shared" ref="AJ95:AK95" si="97">AJ98+AJ102+AJ108</f>
        <v>0</v>
      </c>
      <c r="AK95" s="22">
        <f t="shared" si="97"/>
        <v>0</v>
      </c>
      <c r="AL95" s="22">
        <v>0</v>
      </c>
      <c r="AM95" s="22">
        <v>0</v>
      </c>
      <c r="AN95" s="22">
        <v>0</v>
      </c>
      <c r="AO95" s="398"/>
    </row>
    <row r="96" spans="1:41" ht="27" customHeight="1" x14ac:dyDescent="0.25">
      <c r="A96" s="1334"/>
      <c r="B96" s="1341"/>
      <c r="C96" s="1342"/>
      <c r="D96" s="1342"/>
      <c r="E96" s="1342"/>
      <c r="F96" s="1342"/>
      <c r="G96" s="1342"/>
      <c r="H96" s="1343"/>
      <c r="I96" s="15" t="s">
        <v>9</v>
      </c>
      <c r="J96" s="43">
        <f>L96</f>
        <v>0</v>
      </c>
      <c r="K96" s="43">
        <v>0</v>
      </c>
      <c r="L96" s="16">
        <f>M96+N96+O96</f>
        <v>0</v>
      </c>
      <c r="M96" s="16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f t="shared" ref="AJ96:AK96" si="98">AJ99+AJ103+AJ109</f>
        <v>0</v>
      </c>
      <c r="AK96" s="22">
        <f t="shared" si="98"/>
        <v>0</v>
      </c>
      <c r="AL96" s="22">
        <v>0</v>
      </c>
      <c r="AM96" s="22">
        <v>0</v>
      </c>
      <c r="AN96" s="22">
        <v>0</v>
      </c>
      <c r="AO96" s="398"/>
    </row>
    <row r="97" spans="1:41" ht="79.5" customHeight="1" x14ac:dyDescent="0.25">
      <c r="A97" s="1372" t="s">
        <v>57</v>
      </c>
      <c r="B97" s="77" t="s">
        <v>200</v>
      </c>
      <c r="C97" s="34"/>
      <c r="D97" s="34"/>
      <c r="E97" s="34"/>
      <c r="F97" s="34"/>
      <c r="G97" s="39">
        <v>2019</v>
      </c>
      <c r="H97" s="39">
        <v>2019</v>
      </c>
      <c r="I97" s="1326" t="s">
        <v>20</v>
      </c>
      <c r="J97" s="16">
        <f>L97</f>
        <v>30833.33</v>
      </c>
      <c r="K97" s="22"/>
      <c r="L97" s="79">
        <f t="shared" ref="L97:S97" si="99">L98</f>
        <v>30833.33</v>
      </c>
      <c r="M97" s="79">
        <f t="shared" si="99"/>
        <v>20000</v>
      </c>
      <c r="N97" s="79">
        <f t="shared" si="99"/>
        <v>9151.41</v>
      </c>
      <c r="O97" s="79">
        <f t="shared" si="99"/>
        <v>0</v>
      </c>
      <c r="P97" s="79">
        <f t="shared" si="99"/>
        <v>0</v>
      </c>
      <c r="Q97" s="79">
        <f t="shared" si="99"/>
        <v>0</v>
      </c>
      <c r="R97" s="79">
        <f t="shared" si="99"/>
        <v>0</v>
      </c>
      <c r="S97" s="79">
        <f t="shared" si="99"/>
        <v>0</v>
      </c>
      <c r="T97" s="79">
        <f t="shared" ref="T97:AB97" si="100">T98</f>
        <v>0</v>
      </c>
      <c r="U97" s="79">
        <f t="shared" si="100"/>
        <v>0</v>
      </c>
      <c r="V97" s="79">
        <f t="shared" si="100"/>
        <v>0</v>
      </c>
      <c r="W97" s="79">
        <f t="shared" si="100"/>
        <v>0</v>
      </c>
      <c r="X97" s="79">
        <f t="shared" si="100"/>
        <v>0</v>
      </c>
      <c r="Y97" s="79">
        <f t="shared" si="100"/>
        <v>0</v>
      </c>
      <c r="Z97" s="79">
        <f t="shared" si="100"/>
        <v>0</v>
      </c>
      <c r="AA97" s="79">
        <f t="shared" si="100"/>
        <v>0</v>
      </c>
      <c r="AB97" s="79">
        <f t="shared" si="100"/>
        <v>0</v>
      </c>
      <c r="AC97" s="79">
        <f>AC98</f>
        <v>0</v>
      </c>
      <c r="AD97" s="79">
        <f t="shared" ref="AD97:AI97" si="101">AD98</f>
        <v>0</v>
      </c>
      <c r="AE97" s="79">
        <f t="shared" si="101"/>
        <v>0</v>
      </c>
      <c r="AF97" s="79">
        <f t="shared" si="101"/>
        <v>0</v>
      </c>
      <c r="AG97" s="79">
        <f t="shared" si="101"/>
        <v>0</v>
      </c>
      <c r="AH97" s="79">
        <f t="shared" si="101"/>
        <v>0</v>
      </c>
      <c r="AI97" s="79">
        <f t="shared" si="101"/>
        <v>0</v>
      </c>
      <c r="AJ97" s="79">
        <v>0</v>
      </c>
      <c r="AK97" s="79">
        <f>AJ97</f>
        <v>0</v>
      </c>
      <c r="AL97" s="76">
        <v>0</v>
      </c>
      <c r="AM97" s="79">
        <v>0</v>
      </c>
      <c r="AN97" s="79">
        <v>0</v>
      </c>
      <c r="AO97" s="404" t="s">
        <v>418</v>
      </c>
    </row>
    <row r="98" spans="1:41" s="285" customFormat="1" ht="14.25" customHeight="1" x14ac:dyDescent="0.25">
      <c r="A98" s="1383"/>
      <c r="B98" s="1" t="s">
        <v>201</v>
      </c>
      <c r="C98" s="279"/>
      <c r="D98" s="279"/>
      <c r="E98" s="279"/>
      <c r="F98" s="279"/>
      <c r="G98" s="282"/>
      <c r="H98" s="282"/>
      <c r="I98" s="1373"/>
      <c r="J98" s="47"/>
      <c r="K98" s="47"/>
      <c r="L98" s="47">
        <v>30833.33</v>
      </c>
      <c r="M98" s="47">
        <v>20000</v>
      </c>
      <c r="N98" s="47">
        <v>9151.41</v>
      </c>
      <c r="O98" s="47">
        <v>0</v>
      </c>
      <c r="P98" s="47">
        <v>0</v>
      </c>
      <c r="Q98" s="47">
        <f>SUM(Q99:Q100)</f>
        <v>0</v>
      </c>
      <c r="R98" s="47">
        <f>SUM(R99:R100)</f>
        <v>0</v>
      </c>
      <c r="S98" s="47">
        <f>SUM(S99:S100)</f>
        <v>0</v>
      </c>
      <c r="T98" s="47">
        <f t="shared" ref="T98:AB98" si="102">SUM(T99:T100)</f>
        <v>0</v>
      </c>
      <c r="U98" s="47">
        <f t="shared" si="102"/>
        <v>0</v>
      </c>
      <c r="V98" s="47">
        <f t="shared" si="102"/>
        <v>0</v>
      </c>
      <c r="W98" s="47">
        <f t="shared" si="102"/>
        <v>0</v>
      </c>
      <c r="X98" s="47">
        <f t="shared" si="102"/>
        <v>0</v>
      </c>
      <c r="Y98" s="47">
        <f t="shared" si="102"/>
        <v>0</v>
      </c>
      <c r="Z98" s="47">
        <f t="shared" si="102"/>
        <v>0</v>
      </c>
      <c r="AA98" s="47">
        <f t="shared" si="102"/>
        <v>0</v>
      </c>
      <c r="AB98" s="47">
        <f t="shared" si="102"/>
        <v>0</v>
      </c>
      <c r="AC98" s="47">
        <f t="shared" ref="AC98:AI98" si="103">SUM(AC99:AC100)</f>
        <v>0</v>
      </c>
      <c r="AD98" s="47">
        <f t="shared" si="103"/>
        <v>0</v>
      </c>
      <c r="AE98" s="47">
        <f t="shared" si="103"/>
        <v>0</v>
      </c>
      <c r="AF98" s="47">
        <f t="shared" si="103"/>
        <v>0</v>
      </c>
      <c r="AG98" s="47">
        <f t="shared" si="103"/>
        <v>0</v>
      </c>
      <c r="AH98" s="47">
        <f t="shared" si="103"/>
        <v>0</v>
      </c>
      <c r="AI98" s="47">
        <f t="shared" si="103"/>
        <v>0</v>
      </c>
      <c r="AJ98" s="47">
        <v>0</v>
      </c>
      <c r="AK98" s="47">
        <v>0</v>
      </c>
      <c r="AL98" s="4">
        <v>0</v>
      </c>
      <c r="AM98" s="47">
        <v>0</v>
      </c>
      <c r="AN98" s="47">
        <v>0</v>
      </c>
      <c r="AO98" s="397"/>
    </row>
    <row r="99" spans="1:41" s="266" customFormat="1" ht="15.75" hidden="1" x14ac:dyDescent="0.25">
      <c r="A99" s="430"/>
      <c r="B99" s="102"/>
      <c r="C99" s="262"/>
      <c r="D99" s="262"/>
      <c r="E99" s="262"/>
      <c r="F99" s="262"/>
      <c r="G99" s="104"/>
      <c r="H99" s="104"/>
      <c r="I99" s="433"/>
      <c r="J99" s="96"/>
      <c r="K99" s="96"/>
      <c r="L99" s="47"/>
      <c r="M99" s="96"/>
      <c r="N99" s="96"/>
      <c r="O99" s="96"/>
      <c r="P99" s="47">
        <f>Q99</f>
        <v>0</v>
      </c>
      <c r="Q99" s="96">
        <f>S99+U99+W99+Y99</f>
        <v>0</v>
      </c>
      <c r="R99" s="96">
        <f>S99</f>
        <v>0</v>
      </c>
      <c r="S99" s="96">
        <v>0</v>
      </c>
      <c r="T99" s="96">
        <v>0</v>
      </c>
      <c r="U99" s="96">
        <v>0</v>
      </c>
      <c r="V99" s="96">
        <f>W99</f>
        <v>0</v>
      </c>
      <c r="W99" s="96">
        <v>0</v>
      </c>
      <c r="X99" s="96">
        <f>Y99</f>
        <v>0</v>
      </c>
      <c r="Y99" s="96">
        <v>0</v>
      </c>
      <c r="Z99" s="96">
        <f>AA99+AC99</f>
        <v>0</v>
      </c>
      <c r="AA99" s="96">
        <v>0</v>
      </c>
      <c r="AB99" s="96">
        <v>0</v>
      </c>
      <c r="AC99" s="96">
        <v>0</v>
      </c>
      <c r="AD99" s="96">
        <v>0</v>
      </c>
      <c r="AE99" s="96">
        <f>AF99+AG99+AH99</f>
        <v>0</v>
      </c>
      <c r="AF99" s="96"/>
      <c r="AG99" s="96"/>
      <c r="AH99" s="96">
        <v>0</v>
      </c>
      <c r="AI99" s="96"/>
      <c r="AJ99" s="96"/>
      <c r="AK99" s="96"/>
      <c r="AL99" s="268"/>
      <c r="AM99" s="96"/>
      <c r="AN99" s="96"/>
      <c r="AO99" s="405"/>
    </row>
    <row r="100" spans="1:41" s="285" customFormat="1" ht="14.25" hidden="1" customHeight="1" x14ac:dyDescent="0.25">
      <c r="A100" s="430"/>
      <c r="B100" s="1"/>
      <c r="C100" s="431"/>
      <c r="D100" s="431"/>
      <c r="E100" s="431"/>
      <c r="F100" s="431"/>
      <c r="G100" s="432"/>
      <c r="H100" s="432"/>
      <c r="I100" s="433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"/>
      <c r="AM100" s="47"/>
      <c r="AN100" s="47"/>
      <c r="AO100" s="397"/>
    </row>
    <row r="101" spans="1:41" ht="65.25" customHeight="1" x14ac:dyDescent="0.25">
      <c r="A101" s="44" t="s">
        <v>58</v>
      </c>
      <c r="B101" s="77" t="s">
        <v>87</v>
      </c>
      <c r="C101" s="1350"/>
      <c r="D101" s="1350"/>
      <c r="E101" s="1350"/>
      <c r="F101" s="1350"/>
      <c r="G101" s="39"/>
      <c r="H101" s="39"/>
      <c r="I101" s="1326" t="s">
        <v>20</v>
      </c>
      <c r="J101" s="16">
        <f t="shared" ref="J101:J106" si="104">L101</f>
        <v>22483.279999999999</v>
      </c>
      <c r="K101" s="22"/>
      <c r="L101" s="79">
        <f>L102+L106</f>
        <v>22483.279999999999</v>
      </c>
      <c r="M101" s="79">
        <f>M102+M106</f>
        <v>616.66</v>
      </c>
      <c r="N101" s="79">
        <f>N102+N106</f>
        <v>6665.55</v>
      </c>
      <c r="O101" s="79">
        <f>O102+O106</f>
        <v>4018.39</v>
      </c>
      <c r="P101" s="79">
        <f>P102+P106</f>
        <v>4809.3900000000003</v>
      </c>
      <c r="Q101" s="79">
        <f t="shared" ref="Q101:AN101" si="105">Q102+Q106</f>
        <v>20</v>
      </c>
      <c r="R101" s="79">
        <f t="shared" si="105"/>
        <v>0</v>
      </c>
      <c r="S101" s="79">
        <f t="shared" si="105"/>
        <v>0</v>
      </c>
      <c r="T101" s="79">
        <f t="shared" si="105"/>
        <v>0</v>
      </c>
      <c r="U101" s="79">
        <f t="shared" si="105"/>
        <v>0</v>
      </c>
      <c r="V101" s="79">
        <f t="shared" si="105"/>
        <v>4809.3900000000003</v>
      </c>
      <c r="W101" s="79">
        <f t="shared" si="105"/>
        <v>20</v>
      </c>
      <c r="X101" s="79">
        <f t="shared" si="105"/>
        <v>0</v>
      </c>
      <c r="Y101" s="79">
        <f t="shared" si="105"/>
        <v>0</v>
      </c>
      <c r="Z101" s="79">
        <f t="shared" si="105"/>
        <v>20</v>
      </c>
      <c r="AA101" s="79">
        <f t="shared" si="105"/>
        <v>0</v>
      </c>
      <c r="AB101" s="79">
        <f t="shared" si="105"/>
        <v>0</v>
      </c>
      <c r="AC101" s="79">
        <f t="shared" si="105"/>
        <v>20</v>
      </c>
      <c r="AD101" s="79">
        <f t="shared" si="105"/>
        <v>0</v>
      </c>
      <c r="AE101" s="79">
        <f t="shared" si="105"/>
        <v>0</v>
      </c>
      <c r="AF101" s="79">
        <f>AF102+AF106</f>
        <v>0</v>
      </c>
      <c r="AG101" s="79">
        <f>AG102+AG106</f>
        <v>0</v>
      </c>
      <c r="AH101" s="79">
        <f>AH102+AH106</f>
        <v>0</v>
      </c>
      <c r="AI101" s="79">
        <f>AI102+AI106</f>
        <v>0</v>
      </c>
      <c r="AJ101" s="79">
        <f>P101-Q101</f>
        <v>4789.3900000000003</v>
      </c>
      <c r="AK101" s="79">
        <f>AJ101</f>
        <v>4789.3900000000003</v>
      </c>
      <c r="AL101" s="76">
        <f>ROUND((Q101*100%/P101*100),2)</f>
        <v>0.42</v>
      </c>
      <c r="AM101" s="79">
        <f t="shared" si="105"/>
        <v>0</v>
      </c>
      <c r="AN101" s="79">
        <f t="shared" si="105"/>
        <v>0</v>
      </c>
      <c r="AO101" s="404" t="s">
        <v>243</v>
      </c>
    </row>
    <row r="102" spans="1:41" ht="19.5" customHeight="1" x14ac:dyDescent="0.25">
      <c r="A102" s="44"/>
      <c r="B102" s="1" t="s">
        <v>15</v>
      </c>
      <c r="C102" s="1351"/>
      <c r="D102" s="1351"/>
      <c r="E102" s="1351"/>
      <c r="F102" s="1351"/>
      <c r="G102" s="39">
        <v>2020</v>
      </c>
      <c r="H102" s="39">
        <v>2020</v>
      </c>
      <c r="I102" s="1327"/>
      <c r="J102" s="16">
        <f t="shared" si="104"/>
        <v>8961.92</v>
      </c>
      <c r="K102" s="22"/>
      <c r="L102" s="16">
        <v>8961.92</v>
      </c>
      <c r="M102" s="47">
        <v>616.66</v>
      </c>
      <c r="N102" s="47">
        <v>6665.55</v>
      </c>
      <c r="O102" s="47">
        <v>0</v>
      </c>
      <c r="P102" s="47">
        <v>791.01</v>
      </c>
      <c r="Q102" s="47">
        <f>Q105+Q103+Q104</f>
        <v>20</v>
      </c>
      <c r="R102" s="47">
        <f>R105+R103+R104</f>
        <v>0</v>
      </c>
      <c r="S102" s="47">
        <f>S105+S103+S104</f>
        <v>0</v>
      </c>
      <c r="T102" s="47">
        <f>T105+T103+T104</f>
        <v>0</v>
      </c>
      <c r="U102" s="47">
        <f>SUM(U103:U105)</f>
        <v>0</v>
      </c>
      <c r="V102" s="47">
        <v>791.01</v>
      </c>
      <c r="W102" s="47">
        <f>W105+W103+W104</f>
        <v>20</v>
      </c>
      <c r="X102" s="47">
        <f t="shared" ref="X102:AJ102" si="106">X105+X103</f>
        <v>0</v>
      </c>
      <c r="Y102" s="47">
        <f t="shared" si="106"/>
        <v>0</v>
      </c>
      <c r="Z102" s="47">
        <f t="shared" si="106"/>
        <v>20</v>
      </c>
      <c r="AA102" s="47">
        <f t="shared" si="106"/>
        <v>0</v>
      </c>
      <c r="AB102" s="47">
        <f t="shared" si="106"/>
        <v>0</v>
      </c>
      <c r="AC102" s="47">
        <f t="shared" si="106"/>
        <v>20</v>
      </c>
      <c r="AD102" s="47">
        <f t="shared" si="106"/>
        <v>0</v>
      </c>
      <c r="AE102" s="47">
        <f t="shared" si="106"/>
        <v>0</v>
      </c>
      <c r="AF102" s="47">
        <f t="shared" si="106"/>
        <v>0</v>
      </c>
      <c r="AG102" s="47">
        <f t="shared" si="106"/>
        <v>0</v>
      </c>
      <c r="AH102" s="47">
        <f t="shared" si="106"/>
        <v>0</v>
      </c>
      <c r="AI102" s="47">
        <f t="shared" si="106"/>
        <v>0</v>
      </c>
      <c r="AJ102" s="47">
        <f t="shared" si="106"/>
        <v>0</v>
      </c>
      <c r="AK102" s="47">
        <v>0</v>
      </c>
      <c r="AL102" s="47">
        <v>0</v>
      </c>
      <c r="AM102" s="47">
        <v>0</v>
      </c>
      <c r="AN102" s="47">
        <v>0</v>
      </c>
      <c r="AO102" s="397"/>
    </row>
    <row r="103" spans="1:41" s="97" customFormat="1" ht="39.75" customHeight="1" x14ac:dyDescent="0.25">
      <c r="A103" s="251"/>
      <c r="B103" s="102" t="s">
        <v>472</v>
      </c>
      <c r="C103" s="1351"/>
      <c r="D103" s="1351"/>
      <c r="E103" s="1351"/>
      <c r="F103" s="1351"/>
      <c r="G103" s="104"/>
      <c r="H103" s="104"/>
      <c r="I103" s="1327"/>
      <c r="J103" s="107"/>
      <c r="K103" s="165"/>
      <c r="L103" s="16"/>
      <c r="M103" s="96"/>
      <c r="N103" s="96"/>
      <c r="O103" s="96"/>
      <c r="P103" s="47"/>
      <c r="Q103" s="96">
        <f>S103+U103+Y103+W103</f>
        <v>20</v>
      </c>
      <c r="R103" s="96"/>
      <c r="S103" s="96">
        <v>0</v>
      </c>
      <c r="T103" s="96">
        <f>U103</f>
        <v>0</v>
      </c>
      <c r="U103" s="96">
        <v>0</v>
      </c>
      <c r="V103" s="96">
        <v>20</v>
      </c>
      <c r="W103" s="96">
        <v>20</v>
      </c>
      <c r="X103" s="96"/>
      <c r="Y103" s="96"/>
      <c r="Z103" s="96">
        <f>AB103+AC103</f>
        <v>20</v>
      </c>
      <c r="AA103" s="96"/>
      <c r="AB103" s="96">
        <v>0</v>
      </c>
      <c r="AC103" s="96">
        <v>20</v>
      </c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405"/>
    </row>
    <row r="104" spans="1:41" s="97" customFormat="1" ht="19.5" customHeight="1" x14ac:dyDescent="0.25">
      <c r="A104" s="251"/>
      <c r="B104" s="102" t="s">
        <v>315</v>
      </c>
      <c r="C104" s="1351"/>
      <c r="D104" s="1351"/>
      <c r="E104" s="1351"/>
      <c r="F104" s="1351"/>
      <c r="G104" s="104"/>
      <c r="H104" s="104"/>
      <c r="I104" s="1327"/>
      <c r="J104" s="107"/>
      <c r="K104" s="165"/>
      <c r="L104" s="16"/>
      <c r="M104" s="96"/>
      <c r="N104" s="96"/>
      <c r="O104" s="96"/>
      <c r="P104" s="47"/>
      <c r="Q104" s="96">
        <f>U104+W104</f>
        <v>0</v>
      </c>
      <c r="R104" s="96"/>
      <c r="S104" s="96">
        <v>0</v>
      </c>
      <c r="T104" s="96">
        <f>U104</f>
        <v>0</v>
      </c>
      <c r="U104" s="96">
        <v>0</v>
      </c>
      <c r="V104" s="96"/>
      <c r="W104" s="96">
        <v>0</v>
      </c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405"/>
    </row>
    <row r="105" spans="1:41" s="97" customFormat="1" ht="16.5" customHeight="1" x14ac:dyDescent="0.25">
      <c r="A105" s="251"/>
      <c r="B105" s="102" t="s">
        <v>255</v>
      </c>
      <c r="C105" s="1351"/>
      <c r="D105" s="1351"/>
      <c r="E105" s="1351"/>
      <c r="F105" s="1351"/>
      <c r="G105" s="104"/>
      <c r="H105" s="104"/>
      <c r="I105" s="1327"/>
      <c r="J105" s="107"/>
      <c r="K105" s="165"/>
      <c r="L105" s="16"/>
      <c r="M105" s="96"/>
      <c r="N105" s="95"/>
      <c r="O105" s="95"/>
      <c r="P105" s="47">
        <v>0</v>
      </c>
      <c r="Q105" s="96">
        <f>S105+U105+Y105</f>
        <v>0</v>
      </c>
      <c r="R105" s="96">
        <f>S105</f>
        <v>0</v>
      </c>
      <c r="S105" s="96"/>
      <c r="T105" s="96"/>
      <c r="U105" s="96"/>
      <c r="V105" s="96"/>
      <c r="W105" s="96"/>
      <c r="X105" s="96"/>
      <c r="Y105" s="96">
        <v>0</v>
      </c>
      <c r="Z105" s="96">
        <f>AA105</f>
        <v>0</v>
      </c>
      <c r="AA105" s="96"/>
      <c r="AB105" s="96">
        <v>0</v>
      </c>
      <c r="AC105" s="96"/>
      <c r="AD105" s="96"/>
      <c r="AE105" s="96">
        <f>SUM(AF105:AF105)</f>
        <v>0</v>
      </c>
      <c r="AF105" s="96"/>
      <c r="AG105" s="96"/>
      <c r="AH105" s="96"/>
      <c r="AI105" s="96"/>
      <c r="AJ105" s="96">
        <v>0</v>
      </c>
      <c r="AK105" s="96">
        <v>0</v>
      </c>
      <c r="AL105" s="96">
        <v>0</v>
      </c>
      <c r="AM105" s="96">
        <v>0</v>
      </c>
      <c r="AN105" s="96">
        <v>0</v>
      </c>
      <c r="AO105" s="405"/>
    </row>
    <row r="106" spans="1:41" ht="18.75" customHeight="1" x14ac:dyDescent="0.25">
      <c r="A106" s="44"/>
      <c r="B106" s="1" t="s">
        <v>16</v>
      </c>
      <c r="C106" s="1352"/>
      <c r="D106" s="1352"/>
      <c r="E106" s="1352"/>
      <c r="F106" s="1352"/>
      <c r="G106" s="39">
        <v>2020</v>
      </c>
      <c r="H106" s="39">
        <v>2020</v>
      </c>
      <c r="I106" s="1328"/>
      <c r="J106" s="16">
        <f t="shared" si="104"/>
        <v>13521.36</v>
      </c>
      <c r="K106" s="22"/>
      <c r="L106" s="16">
        <v>13521.36</v>
      </c>
      <c r="M106" s="47">
        <v>0</v>
      </c>
      <c r="N106" s="47">
        <v>0</v>
      </c>
      <c r="O106" s="3">
        <v>4018.39</v>
      </c>
      <c r="P106" s="47">
        <v>4018.38</v>
      </c>
      <c r="Q106" s="47">
        <v>0</v>
      </c>
      <c r="R106" s="47">
        <v>0</v>
      </c>
      <c r="S106" s="47">
        <v>0</v>
      </c>
      <c r="T106" s="47">
        <v>0</v>
      </c>
      <c r="U106" s="47">
        <v>0</v>
      </c>
      <c r="V106" s="47">
        <v>4018.38</v>
      </c>
      <c r="W106" s="47">
        <v>0</v>
      </c>
      <c r="X106" s="47">
        <v>0</v>
      </c>
      <c r="Y106" s="47">
        <v>0</v>
      </c>
      <c r="Z106" s="47">
        <v>0</v>
      </c>
      <c r="AA106" s="47">
        <v>0</v>
      </c>
      <c r="AB106" s="47">
        <v>0</v>
      </c>
      <c r="AC106" s="47">
        <v>0</v>
      </c>
      <c r="AD106" s="47">
        <v>0</v>
      </c>
      <c r="AE106" s="47">
        <v>0</v>
      </c>
      <c r="AF106" s="47">
        <v>0</v>
      </c>
      <c r="AG106" s="47">
        <v>0</v>
      </c>
      <c r="AH106" s="47">
        <v>0</v>
      </c>
      <c r="AI106" s="47">
        <v>0</v>
      </c>
      <c r="AJ106" s="47">
        <v>0</v>
      </c>
      <c r="AK106" s="47">
        <v>0</v>
      </c>
      <c r="AL106" s="47">
        <v>0</v>
      </c>
      <c r="AM106" s="47">
        <v>0</v>
      </c>
      <c r="AN106" s="47">
        <v>0</v>
      </c>
      <c r="AO106" s="397"/>
    </row>
    <row r="107" spans="1:41" ht="44.25" customHeight="1" x14ac:dyDescent="0.25">
      <c r="A107" s="44" t="s">
        <v>59</v>
      </c>
      <c r="B107" s="345" t="s">
        <v>55</v>
      </c>
      <c r="C107" s="34"/>
      <c r="D107" s="34"/>
      <c r="E107" s="34"/>
      <c r="F107" s="34"/>
      <c r="G107" s="39">
        <v>2021</v>
      </c>
      <c r="H107" s="39"/>
      <c r="I107" s="41" t="s">
        <v>20</v>
      </c>
      <c r="J107" s="45">
        <v>313558.92</v>
      </c>
      <c r="K107" s="22"/>
      <c r="L107" s="349">
        <f>M107+N107+O107</f>
        <v>0</v>
      </c>
      <c r="M107" s="349">
        <v>0</v>
      </c>
      <c r="N107" s="349">
        <v>0</v>
      </c>
      <c r="O107" s="349">
        <v>0</v>
      </c>
      <c r="P107" s="349">
        <v>0</v>
      </c>
      <c r="Q107" s="349">
        <v>0</v>
      </c>
      <c r="R107" s="349">
        <v>0</v>
      </c>
      <c r="S107" s="349">
        <v>0</v>
      </c>
      <c r="T107" s="349">
        <v>0</v>
      </c>
      <c r="U107" s="349">
        <v>0</v>
      </c>
      <c r="V107" s="349">
        <v>0</v>
      </c>
      <c r="W107" s="349">
        <v>0</v>
      </c>
      <c r="X107" s="349">
        <v>0</v>
      </c>
      <c r="Y107" s="349">
        <v>0</v>
      </c>
      <c r="Z107" s="349">
        <v>0</v>
      </c>
      <c r="AA107" s="349">
        <v>0</v>
      </c>
      <c r="AB107" s="349"/>
      <c r="AC107" s="349"/>
      <c r="AD107" s="349"/>
      <c r="AE107" s="349">
        <v>0</v>
      </c>
      <c r="AF107" s="349"/>
      <c r="AG107" s="349"/>
      <c r="AH107" s="349"/>
      <c r="AI107" s="349"/>
      <c r="AJ107" s="349">
        <f>P107-Q107</f>
        <v>0</v>
      </c>
      <c r="AK107" s="349">
        <f>AJ107</f>
        <v>0</v>
      </c>
      <c r="AL107" s="356">
        <v>0</v>
      </c>
      <c r="AM107" s="349">
        <v>0</v>
      </c>
      <c r="AN107" s="349">
        <v>0</v>
      </c>
      <c r="AO107" s="406" t="s">
        <v>158</v>
      </c>
    </row>
    <row r="108" spans="1:41" s="285" customFormat="1" ht="120" customHeight="1" x14ac:dyDescent="0.25">
      <c r="A108" s="1372" t="s">
        <v>278</v>
      </c>
      <c r="B108" s="80" t="s">
        <v>202</v>
      </c>
      <c r="C108" s="315"/>
      <c r="D108" s="315"/>
      <c r="E108" s="315"/>
      <c r="F108" s="315"/>
      <c r="G108" s="316"/>
      <c r="H108" s="317"/>
      <c r="I108" s="1326" t="s">
        <v>20</v>
      </c>
      <c r="J108" s="284"/>
      <c r="K108" s="162"/>
      <c r="L108" s="79">
        <f>L109</f>
        <v>4115.83</v>
      </c>
      <c r="M108" s="79">
        <f>M109</f>
        <v>0</v>
      </c>
      <c r="N108" s="79">
        <f>N109</f>
        <v>3995.07</v>
      </c>
      <c r="O108" s="79">
        <f>O109</f>
        <v>0</v>
      </c>
      <c r="P108" s="79">
        <f>P109</f>
        <v>0</v>
      </c>
      <c r="Q108" s="79">
        <f t="shared" ref="Q108:AN109" si="107">Q109</f>
        <v>0</v>
      </c>
      <c r="R108" s="79">
        <f t="shared" si="107"/>
        <v>0</v>
      </c>
      <c r="S108" s="79">
        <f t="shared" si="107"/>
        <v>0</v>
      </c>
      <c r="T108" s="79">
        <f t="shared" si="107"/>
        <v>0</v>
      </c>
      <c r="U108" s="79">
        <f t="shared" si="107"/>
        <v>0</v>
      </c>
      <c r="V108" s="79">
        <f t="shared" si="107"/>
        <v>0</v>
      </c>
      <c r="W108" s="79">
        <f t="shared" si="107"/>
        <v>0</v>
      </c>
      <c r="X108" s="79">
        <f t="shared" si="107"/>
        <v>0</v>
      </c>
      <c r="Y108" s="79">
        <f t="shared" si="107"/>
        <v>0</v>
      </c>
      <c r="Z108" s="79">
        <f t="shared" si="107"/>
        <v>0</v>
      </c>
      <c r="AA108" s="79">
        <f t="shared" si="107"/>
        <v>0</v>
      </c>
      <c r="AB108" s="79">
        <f t="shared" si="107"/>
        <v>0</v>
      </c>
      <c r="AC108" s="79">
        <f t="shared" si="107"/>
        <v>0</v>
      </c>
      <c r="AD108" s="79">
        <f t="shared" si="107"/>
        <v>0</v>
      </c>
      <c r="AE108" s="79">
        <f t="shared" si="107"/>
        <v>0</v>
      </c>
      <c r="AF108" s="79">
        <f t="shared" si="107"/>
        <v>0</v>
      </c>
      <c r="AG108" s="79">
        <f t="shared" si="107"/>
        <v>0</v>
      </c>
      <c r="AH108" s="79">
        <f t="shared" si="107"/>
        <v>0</v>
      </c>
      <c r="AI108" s="79">
        <f t="shared" si="107"/>
        <v>0</v>
      </c>
      <c r="AJ108" s="79">
        <f>P108-Q108</f>
        <v>0</v>
      </c>
      <c r="AK108" s="79">
        <f t="shared" si="107"/>
        <v>0</v>
      </c>
      <c r="AL108" s="79">
        <f t="shared" si="107"/>
        <v>0</v>
      </c>
      <c r="AM108" s="79">
        <f t="shared" si="107"/>
        <v>0</v>
      </c>
      <c r="AN108" s="79">
        <f t="shared" si="107"/>
        <v>0</v>
      </c>
      <c r="AO108" s="404" t="s">
        <v>419</v>
      </c>
    </row>
    <row r="109" spans="1:41" s="285" customFormat="1" ht="17.25" customHeight="1" x14ac:dyDescent="0.25">
      <c r="A109" s="1378"/>
      <c r="B109" s="42" t="s">
        <v>203</v>
      </c>
      <c r="C109" s="313"/>
      <c r="D109" s="313"/>
      <c r="E109" s="313"/>
      <c r="F109" s="313"/>
      <c r="G109" s="313"/>
      <c r="H109" s="314"/>
      <c r="I109" s="1373"/>
      <c r="J109" s="72"/>
      <c r="K109" s="47"/>
      <c r="L109" s="47">
        <v>4115.83</v>
      </c>
      <c r="M109" s="47">
        <v>0</v>
      </c>
      <c r="N109" s="47">
        <v>3995.07</v>
      </c>
      <c r="O109" s="47">
        <v>0</v>
      </c>
      <c r="P109" s="47">
        <v>0</v>
      </c>
      <c r="Q109" s="47">
        <f>Q110</f>
        <v>0</v>
      </c>
      <c r="R109" s="47">
        <f t="shared" si="107"/>
        <v>0</v>
      </c>
      <c r="S109" s="47">
        <f t="shared" si="107"/>
        <v>0</v>
      </c>
      <c r="T109" s="47">
        <f t="shared" si="107"/>
        <v>0</v>
      </c>
      <c r="U109" s="47">
        <f t="shared" si="107"/>
        <v>0</v>
      </c>
      <c r="V109" s="47">
        <f t="shared" si="107"/>
        <v>0</v>
      </c>
      <c r="W109" s="47">
        <f t="shared" si="107"/>
        <v>0</v>
      </c>
      <c r="X109" s="47">
        <f t="shared" si="107"/>
        <v>0</v>
      </c>
      <c r="Y109" s="47">
        <f t="shared" si="107"/>
        <v>0</v>
      </c>
      <c r="Z109" s="47">
        <f t="shared" si="107"/>
        <v>0</v>
      </c>
      <c r="AA109" s="47">
        <f t="shared" si="107"/>
        <v>0</v>
      </c>
      <c r="AB109" s="47">
        <f t="shared" si="107"/>
        <v>0</v>
      </c>
      <c r="AC109" s="47">
        <f t="shared" si="107"/>
        <v>0</v>
      </c>
      <c r="AD109" s="47">
        <f t="shared" si="107"/>
        <v>0</v>
      </c>
      <c r="AE109" s="47">
        <v>0</v>
      </c>
      <c r="AF109" s="47">
        <v>0</v>
      </c>
      <c r="AG109" s="47">
        <v>0</v>
      </c>
      <c r="AH109" s="47">
        <v>0</v>
      </c>
      <c r="AI109" s="47">
        <v>0</v>
      </c>
      <c r="AJ109" s="47">
        <v>0</v>
      </c>
      <c r="AK109" s="47">
        <v>0</v>
      </c>
      <c r="AL109" s="47">
        <v>0</v>
      </c>
      <c r="AM109" s="47">
        <v>0</v>
      </c>
      <c r="AN109" s="47">
        <v>0</v>
      </c>
      <c r="AO109" s="397"/>
    </row>
    <row r="110" spans="1:41" s="266" customFormat="1" ht="28.5" hidden="1" customHeight="1" x14ac:dyDescent="0.25">
      <c r="A110" s="1373"/>
      <c r="B110" s="252" t="s">
        <v>267</v>
      </c>
      <c r="C110" s="363"/>
      <c r="D110" s="363"/>
      <c r="E110" s="363"/>
      <c r="F110" s="363"/>
      <c r="G110" s="363"/>
      <c r="H110" s="364"/>
      <c r="I110" s="365"/>
      <c r="J110" s="258"/>
      <c r="K110" s="96"/>
      <c r="L110" s="47"/>
      <c r="M110" s="96"/>
      <c r="N110" s="96"/>
      <c r="O110" s="96"/>
      <c r="P110" s="47"/>
      <c r="Q110" s="96">
        <f>S110+U110</f>
        <v>0</v>
      </c>
      <c r="R110" s="96"/>
      <c r="S110" s="96"/>
      <c r="T110" s="96">
        <v>0</v>
      </c>
      <c r="U110" s="96">
        <v>0</v>
      </c>
      <c r="V110" s="96"/>
      <c r="W110" s="96"/>
      <c r="X110" s="96"/>
      <c r="Y110" s="96"/>
      <c r="Z110" s="96">
        <f>AC110</f>
        <v>0</v>
      </c>
      <c r="AA110" s="96"/>
      <c r="AB110" s="96"/>
      <c r="AC110" s="96">
        <v>0</v>
      </c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405"/>
    </row>
    <row r="111" spans="1:41" s="285" customFormat="1" ht="79.5" customHeight="1" x14ac:dyDescent="0.25">
      <c r="A111" s="1372" t="s">
        <v>279</v>
      </c>
      <c r="B111" s="80" t="s">
        <v>204</v>
      </c>
      <c r="C111" s="315"/>
      <c r="D111" s="315"/>
      <c r="E111" s="315"/>
      <c r="F111" s="315"/>
      <c r="G111" s="316"/>
      <c r="H111" s="317"/>
      <c r="I111" s="1326" t="s">
        <v>20</v>
      </c>
      <c r="J111" s="284"/>
      <c r="K111" s="162"/>
      <c r="L111" s="79">
        <f>L112</f>
        <v>3052.6</v>
      </c>
      <c r="M111" s="79">
        <f>M112</f>
        <v>0</v>
      </c>
      <c r="N111" s="79">
        <f>N112</f>
        <v>2956.68</v>
      </c>
      <c r="O111" s="79">
        <f>O112</f>
        <v>0</v>
      </c>
      <c r="P111" s="79">
        <f>P112</f>
        <v>0</v>
      </c>
      <c r="Q111" s="79">
        <f t="shared" ref="Q111:AN112" si="108">Q112</f>
        <v>0</v>
      </c>
      <c r="R111" s="79">
        <f t="shared" si="108"/>
        <v>0</v>
      </c>
      <c r="S111" s="79">
        <f t="shared" si="108"/>
        <v>0</v>
      </c>
      <c r="T111" s="79">
        <f t="shared" si="108"/>
        <v>0</v>
      </c>
      <c r="U111" s="79">
        <f t="shared" si="108"/>
        <v>0</v>
      </c>
      <c r="V111" s="79">
        <f t="shared" si="108"/>
        <v>0</v>
      </c>
      <c r="W111" s="79">
        <f t="shared" si="108"/>
        <v>0</v>
      </c>
      <c r="X111" s="79">
        <f t="shared" si="108"/>
        <v>0</v>
      </c>
      <c r="Y111" s="79">
        <f t="shared" si="108"/>
        <v>0</v>
      </c>
      <c r="Z111" s="79">
        <f t="shared" si="108"/>
        <v>0</v>
      </c>
      <c r="AA111" s="79">
        <f t="shared" si="108"/>
        <v>0</v>
      </c>
      <c r="AB111" s="79">
        <f t="shared" si="108"/>
        <v>0</v>
      </c>
      <c r="AC111" s="79">
        <f t="shared" si="108"/>
        <v>0</v>
      </c>
      <c r="AD111" s="79">
        <f t="shared" si="108"/>
        <v>0</v>
      </c>
      <c r="AE111" s="79">
        <f>AE112</f>
        <v>0</v>
      </c>
      <c r="AF111" s="79">
        <f t="shared" si="108"/>
        <v>0</v>
      </c>
      <c r="AG111" s="79">
        <f t="shared" si="108"/>
        <v>0</v>
      </c>
      <c r="AH111" s="79">
        <f t="shared" si="108"/>
        <v>0</v>
      </c>
      <c r="AI111" s="79">
        <f t="shared" si="108"/>
        <v>0</v>
      </c>
      <c r="AJ111" s="79">
        <f>P111-Q111</f>
        <v>0</v>
      </c>
      <c r="AK111" s="79">
        <f t="shared" si="108"/>
        <v>0</v>
      </c>
      <c r="AL111" s="79">
        <f t="shared" si="108"/>
        <v>0</v>
      </c>
      <c r="AM111" s="79">
        <f t="shared" si="108"/>
        <v>0</v>
      </c>
      <c r="AN111" s="79">
        <f t="shared" si="108"/>
        <v>0</v>
      </c>
      <c r="AO111" s="404" t="s">
        <v>419</v>
      </c>
    </row>
    <row r="112" spans="1:41" s="285" customFormat="1" ht="17.25" customHeight="1" x14ac:dyDescent="0.25">
      <c r="A112" s="1382"/>
      <c r="B112" s="42" t="s">
        <v>203</v>
      </c>
      <c r="C112" s="313"/>
      <c r="D112" s="313"/>
      <c r="E112" s="313"/>
      <c r="F112" s="313"/>
      <c r="G112" s="313"/>
      <c r="H112" s="314"/>
      <c r="I112" s="1373"/>
      <c r="J112" s="72"/>
      <c r="K112" s="47"/>
      <c r="L112" s="47">
        <v>3052.6</v>
      </c>
      <c r="M112" s="47">
        <v>0</v>
      </c>
      <c r="N112" s="47">
        <v>2956.68</v>
      </c>
      <c r="O112" s="47">
        <v>0</v>
      </c>
      <c r="P112" s="47">
        <v>0</v>
      </c>
      <c r="Q112" s="47">
        <f>Q113</f>
        <v>0</v>
      </c>
      <c r="R112" s="47">
        <f t="shared" si="108"/>
        <v>0</v>
      </c>
      <c r="S112" s="47">
        <f t="shared" si="108"/>
        <v>0</v>
      </c>
      <c r="T112" s="47">
        <f t="shared" si="108"/>
        <v>0</v>
      </c>
      <c r="U112" s="47">
        <f t="shared" si="108"/>
        <v>0</v>
      </c>
      <c r="V112" s="47">
        <f t="shared" si="108"/>
        <v>0</v>
      </c>
      <c r="W112" s="47">
        <f t="shared" si="108"/>
        <v>0</v>
      </c>
      <c r="X112" s="47">
        <f t="shared" si="108"/>
        <v>0</v>
      </c>
      <c r="Y112" s="47">
        <f t="shared" si="108"/>
        <v>0</v>
      </c>
      <c r="Z112" s="47">
        <f t="shared" si="108"/>
        <v>0</v>
      </c>
      <c r="AA112" s="47">
        <f t="shared" si="108"/>
        <v>0</v>
      </c>
      <c r="AB112" s="47">
        <f t="shared" si="108"/>
        <v>0</v>
      </c>
      <c r="AC112" s="47">
        <f t="shared" si="108"/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397"/>
    </row>
    <row r="113" spans="1:41" s="266" customFormat="1" ht="27.75" hidden="1" customHeight="1" x14ac:dyDescent="0.25">
      <c r="A113" s="1373"/>
      <c r="B113" s="252" t="s">
        <v>267</v>
      </c>
      <c r="C113" s="363"/>
      <c r="D113" s="363"/>
      <c r="E113" s="363"/>
      <c r="F113" s="363"/>
      <c r="G113" s="363"/>
      <c r="H113" s="364"/>
      <c r="I113" s="365"/>
      <c r="J113" s="258"/>
      <c r="K113" s="96"/>
      <c r="L113" s="47"/>
      <c r="M113" s="96"/>
      <c r="N113" s="96"/>
      <c r="O113" s="96"/>
      <c r="P113" s="47"/>
      <c r="Q113" s="96">
        <f>S113+U113</f>
        <v>0</v>
      </c>
      <c r="R113" s="96"/>
      <c r="S113" s="96"/>
      <c r="T113" s="96"/>
      <c r="U113" s="96">
        <v>0</v>
      </c>
      <c r="V113" s="96"/>
      <c r="W113" s="96"/>
      <c r="X113" s="96"/>
      <c r="Y113" s="96"/>
      <c r="Z113" s="96">
        <f>AC113</f>
        <v>0</v>
      </c>
      <c r="AA113" s="96"/>
      <c r="AB113" s="96"/>
      <c r="AC113" s="96">
        <v>0</v>
      </c>
      <c r="AD113" s="96"/>
      <c r="AE113" s="96"/>
      <c r="AF113" s="96"/>
      <c r="AG113" s="96"/>
      <c r="AH113" s="96"/>
      <c r="AI113" s="96"/>
      <c r="AJ113" s="96"/>
      <c r="AK113" s="96"/>
      <c r="AL113" s="268"/>
      <c r="AM113" s="96"/>
      <c r="AN113" s="96"/>
      <c r="AO113" s="405"/>
    </row>
    <row r="114" spans="1:41" s="285" customFormat="1" ht="78.75" customHeight="1" x14ac:dyDescent="0.25">
      <c r="A114" s="1372" t="s">
        <v>159</v>
      </c>
      <c r="B114" s="80" t="s">
        <v>161</v>
      </c>
      <c r="C114" s="315"/>
      <c r="D114" s="315"/>
      <c r="E114" s="315"/>
      <c r="F114" s="315"/>
      <c r="G114" s="316"/>
      <c r="H114" s="317"/>
      <c r="I114" s="1326" t="s">
        <v>20</v>
      </c>
      <c r="J114" s="284"/>
      <c r="K114" s="162"/>
      <c r="L114" s="79">
        <f>L115</f>
        <v>372.9</v>
      </c>
      <c r="M114" s="79">
        <f>M115</f>
        <v>0</v>
      </c>
      <c r="N114" s="79">
        <f t="shared" ref="N114:AN115" si="109">N115</f>
        <v>372.9</v>
      </c>
      <c r="O114" s="79">
        <f t="shared" si="109"/>
        <v>0</v>
      </c>
      <c r="P114" s="79">
        <f t="shared" si="109"/>
        <v>0</v>
      </c>
      <c r="Q114" s="79">
        <f t="shared" si="109"/>
        <v>0</v>
      </c>
      <c r="R114" s="79">
        <f t="shared" si="109"/>
        <v>0</v>
      </c>
      <c r="S114" s="79">
        <f t="shared" si="109"/>
        <v>0</v>
      </c>
      <c r="T114" s="79">
        <f t="shared" si="109"/>
        <v>0</v>
      </c>
      <c r="U114" s="79">
        <f t="shared" si="109"/>
        <v>0</v>
      </c>
      <c r="V114" s="79">
        <f t="shared" si="109"/>
        <v>0</v>
      </c>
      <c r="W114" s="79">
        <f t="shared" si="109"/>
        <v>0</v>
      </c>
      <c r="X114" s="79">
        <f t="shared" si="109"/>
        <v>0</v>
      </c>
      <c r="Y114" s="79">
        <f t="shared" si="109"/>
        <v>0</v>
      </c>
      <c r="Z114" s="79">
        <f t="shared" si="109"/>
        <v>0</v>
      </c>
      <c r="AA114" s="79">
        <f t="shared" si="109"/>
        <v>0</v>
      </c>
      <c r="AB114" s="79">
        <f t="shared" si="109"/>
        <v>0</v>
      </c>
      <c r="AC114" s="79">
        <f t="shared" si="109"/>
        <v>0</v>
      </c>
      <c r="AD114" s="79">
        <f t="shared" si="109"/>
        <v>0</v>
      </c>
      <c r="AE114" s="79">
        <f t="shared" si="109"/>
        <v>0</v>
      </c>
      <c r="AF114" s="79">
        <f t="shared" si="109"/>
        <v>0</v>
      </c>
      <c r="AG114" s="79">
        <f t="shared" si="109"/>
        <v>0</v>
      </c>
      <c r="AH114" s="79">
        <f t="shared" si="109"/>
        <v>0</v>
      </c>
      <c r="AI114" s="79">
        <f t="shared" si="109"/>
        <v>0</v>
      </c>
      <c r="AJ114" s="79">
        <f>P114-Q114</f>
        <v>0</v>
      </c>
      <c r="AK114" s="79">
        <f t="shared" si="109"/>
        <v>0</v>
      </c>
      <c r="AL114" s="76">
        <v>0</v>
      </c>
      <c r="AM114" s="79">
        <f t="shared" si="109"/>
        <v>0</v>
      </c>
      <c r="AN114" s="79">
        <f t="shared" si="109"/>
        <v>0</v>
      </c>
      <c r="AO114" s="404" t="s">
        <v>274</v>
      </c>
    </row>
    <row r="115" spans="1:41" s="285" customFormat="1" ht="17.25" customHeight="1" x14ac:dyDescent="0.25">
      <c r="A115" s="1383"/>
      <c r="B115" s="42" t="s">
        <v>203</v>
      </c>
      <c r="C115" s="313"/>
      <c r="D115" s="313"/>
      <c r="E115" s="313"/>
      <c r="F115" s="313"/>
      <c r="G115" s="313"/>
      <c r="H115" s="314"/>
      <c r="I115" s="1373"/>
      <c r="J115" s="72"/>
      <c r="K115" s="47"/>
      <c r="L115" s="47">
        <v>372.9</v>
      </c>
      <c r="M115" s="47">
        <v>0</v>
      </c>
      <c r="N115" s="47">
        <v>372.9</v>
      </c>
      <c r="O115" s="47">
        <v>0</v>
      </c>
      <c r="P115" s="47">
        <v>0</v>
      </c>
      <c r="Q115" s="47">
        <f>Q116</f>
        <v>0</v>
      </c>
      <c r="R115" s="47">
        <f t="shared" si="109"/>
        <v>0</v>
      </c>
      <c r="S115" s="47">
        <f t="shared" si="109"/>
        <v>0</v>
      </c>
      <c r="T115" s="47">
        <f t="shared" si="109"/>
        <v>0</v>
      </c>
      <c r="U115" s="47">
        <f t="shared" si="109"/>
        <v>0</v>
      </c>
      <c r="V115" s="47">
        <f t="shared" si="109"/>
        <v>0</v>
      </c>
      <c r="W115" s="47">
        <f t="shared" si="109"/>
        <v>0</v>
      </c>
      <c r="X115" s="47">
        <f t="shared" si="109"/>
        <v>0</v>
      </c>
      <c r="Y115" s="47">
        <f t="shared" si="109"/>
        <v>0</v>
      </c>
      <c r="Z115" s="47">
        <f t="shared" si="109"/>
        <v>0</v>
      </c>
      <c r="AA115" s="47">
        <f t="shared" si="109"/>
        <v>0</v>
      </c>
      <c r="AB115" s="47">
        <f t="shared" si="109"/>
        <v>0</v>
      </c>
      <c r="AC115" s="47">
        <f t="shared" si="109"/>
        <v>0</v>
      </c>
      <c r="AD115" s="47">
        <f t="shared" si="109"/>
        <v>0</v>
      </c>
      <c r="AE115" s="47">
        <f>AE116</f>
        <v>0</v>
      </c>
      <c r="AF115" s="47">
        <f t="shared" si="109"/>
        <v>0</v>
      </c>
      <c r="AG115" s="47">
        <f t="shared" si="109"/>
        <v>0</v>
      </c>
      <c r="AH115" s="47">
        <f t="shared" si="109"/>
        <v>0</v>
      </c>
      <c r="AI115" s="47">
        <f t="shared" si="109"/>
        <v>0</v>
      </c>
      <c r="AJ115" s="47">
        <v>0</v>
      </c>
      <c r="AK115" s="47">
        <v>0</v>
      </c>
      <c r="AL115" s="47">
        <v>0</v>
      </c>
      <c r="AM115" s="47">
        <v>0</v>
      </c>
      <c r="AN115" s="47">
        <v>0</v>
      </c>
      <c r="AO115" s="397"/>
    </row>
    <row r="116" spans="1:41" s="266" customFormat="1" ht="17.25" hidden="1" customHeight="1" x14ac:dyDescent="0.25">
      <c r="A116" s="362"/>
      <c r="B116" s="252" t="s">
        <v>224</v>
      </c>
      <c r="C116" s="363"/>
      <c r="D116" s="363"/>
      <c r="E116" s="363"/>
      <c r="F116" s="363"/>
      <c r="G116" s="363"/>
      <c r="H116" s="364"/>
      <c r="I116" s="365"/>
      <c r="J116" s="258"/>
      <c r="K116" s="96"/>
      <c r="L116" s="47"/>
      <c r="M116" s="96"/>
      <c r="N116" s="96"/>
      <c r="O116" s="96"/>
      <c r="P116" s="47"/>
      <c r="Q116" s="96">
        <f>Y116</f>
        <v>0</v>
      </c>
      <c r="R116" s="96"/>
      <c r="S116" s="96"/>
      <c r="T116" s="96"/>
      <c r="U116" s="96"/>
      <c r="V116" s="96"/>
      <c r="W116" s="96"/>
      <c r="X116" s="96">
        <v>0</v>
      </c>
      <c r="Y116" s="96">
        <v>0</v>
      </c>
      <c r="Z116" s="96">
        <v>0</v>
      </c>
      <c r="AA116" s="96">
        <v>0</v>
      </c>
      <c r="AB116" s="96"/>
      <c r="AC116" s="96"/>
      <c r="AD116" s="96"/>
      <c r="AE116" s="96">
        <f>SUM(AF116:AF116)</f>
        <v>0</v>
      </c>
      <c r="AF116" s="96"/>
      <c r="AG116" s="96"/>
      <c r="AH116" s="96"/>
      <c r="AI116" s="96"/>
      <c r="AJ116" s="96"/>
      <c r="AK116" s="96"/>
      <c r="AL116" s="96"/>
      <c r="AM116" s="96"/>
      <c r="AN116" s="96"/>
      <c r="AO116" s="405"/>
    </row>
    <row r="117" spans="1:41" s="285" customFormat="1" ht="92.25" customHeight="1" x14ac:dyDescent="0.25">
      <c r="A117" s="1372" t="s">
        <v>160</v>
      </c>
      <c r="B117" s="80" t="s">
        <v>163</v>
      </c>
      <c r="C117" s="315"/>
      <c r="D117" s="315"/>
      <c r="E117" s="315"/>
      <c r="F117" s="315"/>
      <c r="G117" s="316"/>
      <c r="H117" s="317"/>
      <c r="I117" s="1326" t="s">
        <v>20</v>
      </c>
      <c r="J117" s="284"/>
      <c r="K117" s="162"/>
      <c r="L117" s="79">
        <f>L118+L122</f>
        <v>1937.02</v>
      </c>
      <c r="M117" s="79">
        <f>M118+M122</f>
        <v>297.18</v>
      </c>
      <c r="N117" s="79">
        <f>N118+N122</f>
        <v>1639.84</v>
      </c>
      <c r="O117" s="79">
        <f>O118+O122</f>
        <v>0</v>
      </c>
      <c r="P117" s="79">
        <f>P118+P122</f>
        <v>0</v>
      </c>
      <c r="Q117" s="79">
        <f t="shared" ref="Q117:AN117" si="110">Q118+Q122</f>
        <v>0</v>
      </c>
      <c r="R117" s="79">
        <f t="shared" si="110"/>
        <v>0</v>
      </c>
      <c r="S117" s="79">
        <f t="shared" si="110"/>
        <v>0</v>
      </c>
      <c r="T117" s="79">
        <f t="shared" si="110"/>
        <v>0</v>
      </c>
      <c r="U117" s="79">
        <f t="shared" si="110"/>
        <v>0</v>
      </c>
      <c r="V117" s="79">
        <f t="shared" si="110"/>
        <v>0</v>
      </c>
      <c r="W117" s="79">
        <f t="shared" si="110"/>
        <v>0</v>
      </c>
      <c r="X117" s="79">
        <f t="shared" si="110"/>
        <v>0</v>
      </c>
      <c r="Y117" s="79">
        <f t="shared" si="110"/>
        <v>0</v>
      </c>
      <c r="Z117" s="79">
        <f t="shared" si="110"/>
        <v>0</v>
      </c>
      <c r="AA117" s="79">
        <f t="shared" si="110"/>
        <v>0</v>
      </c>
      <c r="AB117" s="79">
        <f t="shared" si="110"/>
        <v>0</v>
      </c>
      <c r="AC117" s="79">
        <f t="shared" si="110"/>
        <v>0</v>
      </c>
      <c r="AD117" s="79">
        <f t="shared" si="110"/>
        <v>0</v>
      </c>
      <c r="AE117" s="79">
        <f t="shared" si="110"/>
        <v>0</v>
      </c>
      <c r="AF117" s="79">
        <f t="shared" si="110"/>
        <v>0</v>
      </c>
      <c r="AG117" s="79">
        <f>AG118+AG122</f>
        <v>0</v>
      </c>
      <c r="AH117" s="79">
        <f>AH118+AH122</f>
        <v>0</v>
      </c>
      <c r="AI117" s="79">
        <f>AI118+AI122</f>
        <v>0</v>
      </c>
      <c r="AJ117" s="79">
        <f>P117-Q117</f>
        <v>0</v>
      </c>
      <c r="AK117" s="79">
        <f t="shared" si="110"/>
        <v>0</v>
      </c>
      <c r="AL117" s="76">
        <v>0</v>
      </c>
      <c r="AM117" s="79">
        <f t="shared" si="110"/>
        <v>0</v>
      </c>
      <c r="AN117" s="79">
        <f t="shared" si="110"/>
        <v>0</v>
      </c>
      <c r="AO117" s="404" t="s">
        <v>420</v>
      </c>
    </row>
    <row r="118" spans="1:41" s="285" customFormat="1" ht="17.25" customHeight="1" x14ac:dyDescent="0.25">
      <c r="A118" s="1382"/>
      <c r="B118" s="42" t="s">
        <v>15</v>
      </c>
      <c r="C118" s="313"/>
      <c r="D118" s="313"/>
      <c r="E118" s="313"/>
      <c r="F118" s="313"/>
      <c r="G118" s="313"/>
      <c r="H118" s="314"/>
      <c r="I118" s="1378"/>
      <c r="J118" s="72"/>
      <c r="K118" s="47"/>
      <c r="L118" s="47">
        <v>297.18</v>
      </c>
      <c r="M118" s="47">
        <v>297.18</v>
      </c>
      <c r="N118" s="47">
        <v>0</v>
      </c>
      <c r="O118" s="47">
        <v>0</v>
      </c>
      <c r="P118" s="47">
        <f>N118</f>
        <v>0</v>
      </c>
      <c r="Q118" s="47">
        <f>SUM(Q119:Q121)</f>
        <v>0</v>
      </c>
      <c r="R118" s="47">
        <f t="shared" ref="R118:AF118" si="111">SUM(R119:R121)</f>
        <v>0</v>
      </c>
      <c r="S118" s="47">
        <f>SUM(S119:S121)</f>
        <v>0</v>
      </c>
      <c r="T118" s="47">
        <f t="shared" si="111"/>
        <v>0</v>
      </c>
      <c r="U118" s="47">
        <f t="shared" si="111"/>
        <v>0</v>
      </c>
      <c r="V118" s="47">
        <f t="shared" si="111"/>
        <v>0</v>
      </c>
      <c r="W118" s="47">
        <f t="shared" si="111"/>
        <v>0</v>
      </c>
      <c r="X118" s="47">
        <v>0</v>
      </c>
      <c r="Y118" s="47">
        <f t="shared" si="111"/>
        <v>0</v>
      </c>
      <c r="Z118" s="47">
        <f t="shared" si="111"/>
        <v>0</v>
      </c>
      <c r="AA118" s="47">
        <f t="shared" si="111"/>
        <v>0</v>
      </c>
      <c r="AB118" s="47">
        <f t="shared" si="111"/>
        <v>0</v>
      </c>
      <c r="AC118" s="47">
        <f t="shared" si="111"/>
        <v>0</v>
      </c>
      <c r="AD118" s="47">
        <f t="shared" si="111"/>
        <v>0</v>
      </c>
      <c r="AE118" s="47">
        <f>SUM(AE119:AE121)</f>
        <v>0</v>
      </c>
      <c r="AF118" s="47">
        <f t="shared" si="111"/>
        <v>0</v>
      </c>
      <c r="AG118" s="47">
        <f>SUM(AG119:AG121)</f>
        <v>0</v>
      </c>
      <c r="AH118" s="47">
        <f>SUM(AH119:AH121)</f>
        <v>0</v>
      </c>
      <c r="AI118" s="47">
        <f>SUM(AI119:AI121)</f>
        <v>0</v>
      </c>
      <c r="AJ118" s="47">
        <v>0</v>
      </c>
      <c r="AK118" s="47">
        <v>0</v>
      </c>
      <c r="AL118" s="47">
        <v>0</v>
      </c>
      <c r="AM118" s="47">
        <v>0</v>
      </c>
      <c r="AN118" s="47">
        <v>0</v>
      </c>
      <c r="AO118" s="397"/>
    </row>
    <row r="119" spans="1:41" s="266" customFormat="1" ht="17.25" hidden="1" customHeight="1" x14ac:dyDescent="0.25">
      <c r="A119" s="1382"/>
      <c r="B119" s="252" t="s">
        <v>225</v>
      </c>
      <c r="C119" s="363"/>
      <c r="D119" s="363"/>
      <c r="E119" s="363"/>
      <c r="F119" s="363"/>
      <c r="G119" s="363"/>
      <c r="H119" s="364"/>
      <c r="I119" s="1378"/>
      <c r="J119" s="258"/>
      <c r="K119" s="96"/>
      <c r="L119" s="47"/>
      <c r="M119" s="96"/>
      <c r="N119" s="96"/>
      <c r="O119" s="96"/>
      <c r="P119" s="47"/>
      <c r="Q119" s="96">
        <f>Y119</f>
        <v>0</v>
      </c>
      <c r="R119" s="96"/>
      <c r="S119" s="96"/>
      <c r="T119" s="96"/>
      <c r="U119" s="96"/>
      <c r="V119" s="96"/>
      <c r="W119" s="96"/>
      <c r="X119" s="96">
        <v>0</v>
      </c>
      <c r="Y119" s="96">
        <v>0</v>
      </c>
      <c r="Z119" s="96">
        <v>0</v>
      </c>
      <c r="AA119" s="96">
        <v>0</v>
      </c>
      <c r="AB119" s="96"/>
      <c r="AC119" s="96"/>
      <c r="AD119" s="96"/>
      <c r="AE119" s="96">
        <f>SUM(AF119:AF119)</f>
        <v>0</v>
      </c>
      <c r="AF119" s="96"/>
      <c r="AG119" s="96"/>
      <c r="AH119" s="96"/>
      <c r="AI119" s="96"/>
      <c r="AJ119" s="96"/>
      <c r="AK119" s="96"/>
      <c r="AL119" s="96"/>
      <c r="AM119" s="96"/>
      <c r="AN119" s="96"/>
      <c r="AO119" s="405"/>
    </row>
    <row r="120" spans="1:41" s="266" customFormat="1" ht="17.25" hidden="1" customHeight="1" x14ac:dyDescent="0.25">
      <c r="A120" s="1382"/>
      <c r="B120" s="252" t="s">
        <v>226</v>
      </c>
      <c r="C120" s="363"/>
      <c r="D120" s="363"/>
      <c r="E120" s="363"/>
      <c r="F120" s="363"/>
      <c r="G120" s="363"/>
      <c r="H120" s="364"/>
      <c r="I120" s="1378"/>
      <c r="J120" s="258"/>
      <c r="K120" s="96"/>
      <c r="L120" s="47"/>
      <c r="M120" s="96"/>
      <c r="N120" s="96"/>
      <c r="O120" s="96"/>
      <c r="P120" s="47"/>
      <c r="Q120" s="96">
        <f>S120</f>
        <v>0</v>
      </c>
      <c r="R120" s="96">
        <f>S120</f>
        <v>0</v>
      </c>
      <c r="S120" s="96">
        <v>0</v>
      </c>
      <c r="T120" s="96"/>
      <c r="U120" s="96"/>
      <c r="V120" s="96"/>
      <c r="W120" s="96"/>
      <c r="X120" s="96">
        <v>0</v>
      </c>
      <c r="Y120" s="96">
        <v>0</v>
      </c>
      <c r="Z120" s="96">
        <f>AA120</f>
        <v>0</v>
      </c>
      <c r="AA120" s="96">
        <v>0</v>
      </c>
      <c r="AB120" s="96"/>
      <c r="AC120" s="96"/>
      <c r="AD120" s="96"/>
      <c r="AE120" s="96">
        <f>SUM(AF120:AF120)</f>
        <v>0</v>
      </c>
      <c r="AF120" s="96"/>
      <c r="AG120" s="96"/>
      <c r="AH120" s="96"/>
      <c r="AI120" s="96"/>
      <c r="AJ120" s="96"/>
      <c r="AK120" s="96"/>
      <c r="AL120" s="96"/>
      <c r="AM120" s="96"/>
      <c r="AN120" s="96"/>
      <c r="AO120" s="405"/>
    </row>
    <row r="121" spans="1:41" s="266" customFormat="1" ht="17.25" hidden="1" customHeight="1" x14ac:dyDescent="0.25">
      <c r="A121" s="1382"/>
      <c r="B121" s="252" t="s">
        <v>227</v>
      </c>
      <c r="C121" s="363"/>
      <c r="D121" s="363"/>
      <c r="E121" s="363"/>
      <c r="F121" s="363"/>
      <c r="G121" s="363"/>
      <c r="H121" s="364"/>
      <c r="I121" s="1378"/>
      <c r="J121" s="258"/>
      <c r="K121" s="96"/>
      <c r="L121" s="47"/>
      <c r="M121" s="96"/>
      <c r="N121" s="96"/>
      <c r="O121" s="96"/>
      <c r="P121" s="47"/>
      <c r="Q121" s="96">
        <f>Y121</f>
        <v>0</v>
      </c>
      <c r="R121" s="96"/>
      <c r="S121" s="96"/>
      <c r="T121" s="96"/>
      <c r="U121" s="96"/>
      <c r="V121" s="96"/>
      <c r="W121" s="96"/>
      <c r="X121" s="96">
        <v>0</v>
      </c>
      <c r="Y121" s="96">
        <v>0</v>
      </c>
      <c r="Z121" s="96">
        <v>0</v>
      </c>
      <c r="AA121" s="96">
        <v>0</v>
      </c>
      <c r="AB121" s="96"/>
      <c r="AC121" s="96"/>
      <c r="AD121" s="96"/>
      <c r="AE121" s="96">
        <f>SUM(AF121:AF121)</f>
        <v>0</v>
      </c>
      <c r="AF121" s="96"/>
      <c r="AG121" s="96"/>
      <c r="AH121" s="96"/>
      <c r="AI121" s="96"/>
      <c r="AJ121" s="96"/>
      <c r="AK121" s="96"/>
      <c r="AL121" s="96"/>
      <c r="AM121" s="96"/>
      <c r="AN121" s="96"/>
      <c r="AO121" s="405"/>
    </row>
    <row r="122" spans="1:41" s="285" customFormat="1" ht="16.5" customHeight="1" x14ac:dyDescent="0.25">
      <c r="A122" s="1383"/>
      <c r="B122" s="42" t="s">
        <v>32</v>
      </c>
      <c r="C122" s="313"/>
      <c r="D122" s="313"/>
      <c r="E122" s="313"/>
      <c r="F122" s="313"/>
      <c r="G122" s="313"/>
      <c r="H122" s="314"/>
      <c r="I122" s="1373"/>
      <c r="J122" s="72"/>
      <c r="K122" s="47"/>
      <c r="L122" s="47">
        <v>1639.84</v>
      </c>
      <c r="M122" s="47">
        <v>0</v>
      </c>
      <c r="N122" s="47">
        <v>1639.84</v>
      </c>
      <c r="O122" s="47">
        <v>0</v>
      </c>
      <c r="P122" s="47">
        <v>0</v>
      </c>
      <c r="Q122" s="47">
        <v>0</v>
      </c>
      <c r="R122" s="47">
        <v>0</v>
      </c>
      <c r="S122" s="47">
        <v>0</v>
      </c>
      <c r="T122" s="47">
        <v>0</v>
      </c>
      <c r="U122" s="47">
        <v>0</v>
      </c>
      <c r="V122" s="47">
        <v>0</v>
      </c>
      <c r="W122" s="47">
        <v>0</v>
      </c>
      <c r="X122" s="47">
        <v>0</v>
      </c>
      <c r="Y122" s="47">
        <v>0</v>
      </c>
      <c r="Z122" s="47">
        <v>0</v>
      </c>
      <c r="AA122" s="47">
        <v>0</v>
      </c>
      <c r="AB122" s="47">
        <v>0</v>
      </c>
      <c r="AC122" s="47">
        <v>0</v>
      </c>
      <c r="AD122" s="47">
        <v>0</v>
      </c>
      <c r="AE122" s="47">
        <v>0</v>
      </c>
      <c r="AF122" s="47">
        <v>0</v>
      </c>
      <c r="AG122" s="47">
        <v>0</v>
      </c>
      <c r="AH122" s="47">
        <v>0</v>
      </c>
      <c r="AI122" s="47">
        <v>0</v>
      </c>
      <c r="AJ122" s="47">
        <v>0</v>
      </c>
      <c r="AK122" s="47">
        <v>0</v>
      </c>
      <c r="AL122" s="47">
        <v>0</v>
      </c>
      <c r="AM122" s="47">
        <v>0</v>
      </c>
      <c r="AN122" s="47">
        <v>0</v>
      </c>
      <c r="AO122" s="397"/>
    </row>
    <row r="123" spans="1:41" s="327" customFormat="1" ht="94.5" customHeight="1" x14ac:dyDescent="0.25">
      <c r="A123" s="1372" t="s">
        <v>162</v>
      </c>
      <c r="B123" s="80" t="s">
        <v>166</v>
      </c>
      <c r="C123" s="315"/>
      <c r="D123" s="315"/>
      <c r="E123" s="315"/>
      <c r="F123" s="315"/>
      <c r="G123" s="315"/>
      <c r="H123" s="326"/>
      <c r="I123" s="1326" t="s">
        <v>20</v>
      </c>
      <c r="J123" s="284"/>
      <c r="K123" s="79"/>
      <c r="L123" s="79">
        <f>L124+L127</f>
        <v>47437.760000000002</v>
      </c>
      <c r="M123" s="79">
        <f>M124+M127</f>
        <v>2761.44</v>
      </c>
      <c r="N123" s="79">
        <f>N124+N127</f>
        <v>9629.67</v>
      </c>
      <c r="O123" s="79">
        <f>O124+O127</f>
        <v>22469.279999999999</v>
      </c>
      <c r="P123" s="79">
        <f>P124+P127</f>
        <v>18622.57</v>
      </c>
      <c r="Q123" s="79">
        <f t="shared" ref="Q123:AN123" si="112">Q124+Q127</f>
        <v>0</v>
      </c>
      <c r="R123" s="79">
        <f t="shared" si="112"/>
        <v>0</v>
      </c>
      <c r="S123" s="79">
        <f t="shared" si="112"/>
        <v>0</v>
      </c>
      <c r="T123" s="79">
        <f t="shared" si="112"/>
        <v>0</v>
      </c>
      <c r="U123" s="79">
        <f t="shared" si="112"/>
        <v>0</v>
      </c>
      <c r="V123" s="79">
        <f t="shared" si="112"/>
        <v>18622.57</v>
      </c>
      <c r="W123" s="79">
        <f t="shared" si="112"/>
        <v>0</v>
      </c>
      <c r="X123" s="79">
        <f t="shared" si="112"/>
        <v>0</v>
      </c>
      <c r="Y123" s="79">
        <f t="shared" si="112"/>
        <v>0</v>
      </c>
      <c r="Z123" s="79">
        <f t="shared" si="112"/>
        <v>0</v>
      </c>
      <c r="AA123" s="79">
        <f t="shared" si="112"/>
        <v>0</v>
      </c>
      <c r="AB123" s="79">
        <f t="shared" si="112"/>
        <v>0</v>
      </c>
      <c r="AC123" s="79">
        <f>AC124+AC127</f>
        <v>0</v>
      </c>
      <c r="AD123" s="79">
        <f>AD124+AD127</f>
        <v>0</v>
      </c>
      <c r="AE123" s="79">
        <f t="shared" si="112"/>
        <v>0</v>
      </c>
      <c r="AF123" s="79">
        <f t="shared" si="112"/>
        <v>0</v>
      </c>
      <c r="AG123" s="79">
        <f t="shared" si="112"/>
        <v>0</v>
      </c>
      <c r="AH123" s="79">
        <f>AH124+AH127</f>
        <v>0</v>
      </c>
      <c r="AI123" s="79">
        <f>AI124+AI127</f>
        <v>0</v>
      </c>
      <c r="AJ123" s="79">
        <f>P123-Q123</f>
        <v>18622.57</v>
      </c>
      <c r="AK123" s="79">
        <f>AJ123</f>
        <v>18622.57</v>
      </c>
      <c r="AL123" s="76">
        <f>ROUND((Q123*100%/P123*100),2)</f>
        <v>0</v>
      </c>
      <c r="AM123" s="79">
        <f t="shared" si="112"/>
        <v>0</v>
      </c>
      <c r="AN123" s="79">
        <f t="shared" si="112"/>
        <v>0</v>
      </c>
      <c r="AO123" s="404" t="s">
        <v>420</v>
      </c>
    </row>
    <row r="124" spans="1:41" s="285" customFormat="1" ht="16.5" customHeight="1" x14ac:dyDescent="0.25">
      <c r="A124" s="1382"/>
      <c r="B124" s="42" t="s">
        <v>15</v>
      </c>
      <c r="C124" s="313"/>
      <c r="D124" s="313"/>
      <c r="E124" s="313"/>
      <c r="F124" s="313"/>
      <c r="G124" s="313"/>
      <c r="H124" s="314"/>
      <c r="I124" s="1378"/>
      <c r="J124" s="72"/>
      <c r="K124" s="47"/>
      <c r="L124" s="47">
        <v>2867.43</v>
      </c>
      <c r="M124" s="47">
        <v>2761.44</v>
      </c>
      <c r="N124" s="47">
        <v>105.99</v>
      </c>
      <c r="O124" s="47">
        <v>0</v>
      </c>
      <c r="P124" s="47">
        <v>0</v>
      </c>
      <c r="Q124" s="47">
        <f>SUM(Q125:Q126)</f>
        <v>0</v>
      </c>
      <c r="R124" s="47">
        <v>0</v>
      </c>
      <c r="S124" s="47">
        <f t="shared" ref="S124:AF124" si="113">SUM(S125:S126)</f>
        <v>0</v>
      </c>
      <c r="T124" s="47">
        <f t="shared" si="113"/>
        <v>0</v>
      </c>
      <c r="U124" s="47">
        <f t="shared" si="113"/>
        <v>0</v>
      </c>
      <c r="V124" s="47">
        <f t="shared" si="113"/>
        <v>0</v>
      </c>
      <c r="W124" s="47">
        <f t="shared" si="113"/>
        <v>0</v>
      </c>
      <c r="X124" s="47">
        <v>0</v>
      </c>
      <c r="Y124" s="47">
        <f t="shared" si="113"/>
        <v>0</v>
      </c>
      <c r="Z124" s="47">
        <f t="shared" si="113"/>
        <v>0</v>
      </c>
      <c r="AA124" s="47">
        <f t="shared" si="113"/>
        <v>0</v>
      </c>
      <c r="AB124" s="47">
        <f t="shared" si="113"/>
        <v>0</v>
      </c>
      <c r="AC124" s="47">
        <f>SUM(AC125:AC126)</f>
        <v>0</v>
      </c>
      <c r="AD124" s="47">
        <f>SUM(AD125:AD126)</f>
        <v>0</v>
      </c>
      <c r="AE124" s="47">
        <f t="shared" si="113"/>
        <v>0</v>
      </c>
      <c r="AF124" s="47">
        <f t="shared" si="113"/>
        <v>0</v>
      </c>
      <c r="AG124" s="47">
        <f>SUM(AG125:AG126)</f>
        <v>0</v>
      </c>
      <c r="AH124" s="47">
        <f>SUM(AH125:AH126)</f>
        <v>0</v>
      </c>
      <c r="AI124" s="47">
        <f>SUM(AI125:AI126)</f>
        <v>0</v>
      </c>
      <c r="AJ124" s="47">
        <v>0</v>
      </c>
      <c r="AK124" s="47">
        <v>0</v>
      </c>
      <c r="AL124" s="47">
        <v>0</v>
      </c>
      <c r="AM124" s="47">
        <v>0</v>
      </c>
      <c r="AN124" s="47">
        <v>0</v>
      </c>
      <c r="AO124" s="397"/>
    </row>
    <row r="125" spans="1:41" s="266" customFormat="1" ht="16.5" hidden="1" customHeight="1" x14ac:dyDescent="0.25">
      <c r="A125" s="1382"/>
      <c r="B125" s="252" t="s">
        <v>268</v>
      </c>
      <c r="C125" s="363"/>
      <c r="D125" s="363"/>
      <c r="E125" s="363"/>
      <c r="F125" s="363"/>
      <c r="G125" s="363"/>
      <c r="H125" s="364"/>
      <c r="I125" s="1378"/>
      <c r="J125" s="258"/>
      <c r="K125" s="96"/>
      <c r="L125" s="47">
        <f>SUM(M125:O125)</f>
        <v>0</v>
      </c>
      <c r="M125" s="96"/>
      <c r="N125" s="96"/>
      <c r="O125" s="96"/>
      <c r="P125" s="47"/>
      <c r="Q125" s="96">
        <f>S125+U125</f>
        <v>0</v>
      </c>
      <c r="R125" s="96">
        <v>0</v>
      </c>
      <c r="S125" s="96">
        <v>0</v>
      </c>
      <c r="T125" s="96">
        <f>U125</f>
        <v>0</v>
      </c>
      <c r="U125" s="96">
        <v>0</v>
      </c>
      <c r="V125" s="96"/>
      <c r="W125" s="96"/>
      <c r="X125" s="96">
        <v>0</v>
      </c>
      <c r="Y125" s="96">
        <v>0</v>
      </c>
      <c r="Z125" s="96">
        <v>0</v>
      </c>
      <c r="AA125" s="96">
        <v>0</v>
      </c>
      <c r="AB125" s="96"/>
      <c r="AC125" s="96"/>
      <c r="AD125" s="96">
        <v>0</v>
      </c>
      <c r="AE125" s="96">
        <f>SUM(AF125:AF125)</f>
        <v>0</v>
      </c>
      <c r="AF125" s="96"/>
      <c r="AG125" s="96"/>
      <c r="AH125" s="96"/>
      <c r="AI125" s="96"/>
      <c r="AJ125" s="96">
        <v>0</v>
      </c>
      <c r="AK125" s="96">
        <v>0</v>
      </c>
      <c r="AL125" s="96">
        <v>0</v>
      </c>
      <c r="AM125" s="96">
        <v>0</v>
      </c>
      <c r="AN125" s="96">
        <v>0</v>
      </c>
      <c r="AO125" s="405"/>
    </row>
    <row r="126" spans="1:41" s="266" customFormat="1" ht="16.5" hidden="1" customHeight="1" x14ac:dyDescent="0.25">
      <c r="A126" s="1382"/>
      <c r="B126" s="252" t="s">
        <v>267</v>
      </c>
      <c r="C126" s="363"/>
      <c r="D126" s="363"/>
      <c r="E126" s="363"/>
      <c r="F126" s="363"/>
      <c r="G126" s="363"/>
      <c r="H126" s="364"/>
      <c r="I126" s="1378"/>
      <c r="J126" s="258"/>
      <c r="K126" s="96"/>
      <c r="L126" s="47">
        <f>SUM(M126:O126)</f>
        <v>0</v>
      </c>
      <c r="M126" s="96"/>
      <c r="N126" s="96"/>
      <c r="O126" s="96"/>
      <c r="P126" s="47">
        <f>R126+T126</f>
        <v>0</v>
      </c>
      <c r="Q126" s="96">
        <v>0</v>
      </c>
      <c r="R126" s="96"/>
      <c r="S126" s="96"/>
      <c r="T126" s="96">
        <f>U126</f>
        <v>0</v>
      </c>
      <c r="U126" s="96">
        <v>0</v>
      </c>
      <c r="V126" s="96"/>
      <c r="W126" s="96"/>
      <c r="X126" s="96"/>
      <c r="Y126" s="96"/>
      <c r="Z126" s="96">
        <f>SUM(AA126:AC126)</f>
        <v>0</v>
      </c>
      <c r="AA126" s="96"/>
      <c r="AB126" s="96">
        <v>0</v>
      </c>
      <c r="AC126" s="96">
        <v>0</v>
      </c>
      <c r="AD126" s="96"/>
      <c r="AE126" s="96">
        <f>SUM(AF126:AF126)</f>
        <v>0</v>
      </c>
      <c r="AF126" s="96"/>
      <c r="AG126" s="96"/>
      <c r="AH126" s="96"/>
      <c r="AI126" s="96"/>
      <c r="AJ126" s="96"/>
      <c r="AK126" s="96"/>
      <c r="AL126" s="96"/>
      <c r="AM126" s="96"/>
      <c r="AN126" s="96"/>
      <c r="AO126" s="405"/>
    </row>
    <row r="127" spans="1:41" s="285" customFormat="1" ht="16.5" customHeight="1" x14ac:dyDescent="0.25">
      <c r="A127" s="1383"/>
      <c r="B127" s="42" t="s">
        <v>32</v>
      </c>
      <c r="C127" s="313"/>
      <c r="D127" s="313"/>
      <c r="E127" s="313"/>
      <c r="F127" s="313"/>
      <c r="G127" s="313"/>
      <c r="H127" s="314"/>
      <c r="I127" s="1373"/>
      <c r="J127" s="72"/>
      <c r="K127" s="47"/>
      <c r="L127" s="47">
        <v>44570.33</v>
      </c>
      <c r="M127" s="47">
        <v>0</v>
      </c>
      <c r="N127" s="47">
        <v>9523.68</v>
      </c>
      <c r="O127" s="47">
        <v>22469.279999999999</v>
      </c>
      <c r="P127" s="47">
        <v>18622.57</v>
      </c>
      <c r="Q127" s="47">
        <v>0</v>
      </c>
      <c r="R127" s="47">
        <v>0</v>
      </c>
      <c r="S127" s="47">
        <v>0</v>
      </c>
      <c r="T127" s="47">
        <v>0</v>
      </c>
      <c r="U127" s="47">
        <v>0</v>
      </c>
      <c r="V127" s="47">
        <v>18622.57</v>
      </c>
      <c r="W127" s="47">
        <v>0</v>
      </c>
      <c r="X127" s="47">
        <v>0</v>
      </c>
      <c r="Y127" s="47">
        <v>0</v>
      </c>
      <c r="Z127" s="47">
        <v>0</v>
      </c>
      <c r="AA127" s="47">
        <v>0</v>
      </c>
      <c r="AB127" s="47">
        <v>0</v>
      </c>
      <c r="AC127" s="47">
        <v>0</v>
      </c>
      <c r="AD127" s="47">
        <v>0</v>
      </c>
      <c r="AE127" s="47">
        <v>0</v>
      </c>
      <c r="AF127" s="47">
        <v>0</v>
      </c>
      <c r="AG127" s="47">
        <v>0</v>
      </c>
      <c r="AH127" s="47">
        <v>0</v>
      </c>
      <c r="AI127" s="47">
        <v>0</v>
      </c>
      <c r="AJ127" s="47">
        <v>0</v>
      </c>
      <c r="AK127" s="47">
        <v>0</v>
      </c>
      <c r="AL127" s="47">
        <v>0</v>
      </c>
      <c r="AM127" s="47">
        <v>0</v>
      </c>
      <c r="AN127" s="47">
        <v>0</v>
      </c>
      <c r="AO127" s="397"/>
    </row>
    <row r="128" spans="1:41" s="285" customFormat="1" ht="117.75" customHeight="1" x14ac:dyDescent="0.25">
      <c r="A128" s="1372" t="s">
        <v>165</v>
      </c>
      <c r="B128" s="77" t="s">
        <v>280</v>
      </c>
      <c r="C128" s="315"/>
      <c r="D128" s="315"/>
      <c r="E128" s="315"/>
      <c r="F128" s="315"/>
      <c r="G128" s="316"/>
      <c r="H128" s="317"/>
      <c r="I128" s="1326" t="s">
        <v>20</v>
      </c>
      <c r="J128" s="284"/>
      <c r="K128" s="162"/>
      <c r="L128" s="79">
        <f>L129</f>
        <v>9909.1</v>
      </c>
      <c r="M128" s="79">
        <f>M129</f>
        <v>0</v>
      </c>
      <c r="N128" s="79">
        <f t="shared" ref="N128:AN132" si="114">N129</f>
        <v>0</v>
      </c>
      <c r="O128" s="79">
        <f t="shared" si="114"/>
        <v>0</v>
      </c>
      <c r="P128" s="79">
        <f t="shared" si="114"/>
        <v>7317.14</v>
      </c>
      <c r="Q128" s="79">
        <f t="shared" si="114"/>
        <v>0</v>
      </c>
      <c r="R128" s="79">
        <f t="shared" si="114"/>
        <v>0</v>
      </c>
      <c r="S128" s="79">
        <f t="shared" si="114"/>
        <v>0</v>
      </c>
      <c r="T128" s="79">
        <f t="shared" si="114"/>
        <v>0</v>
      </c>
      <c r="U128" s="79">
        <f t="shared" si="114"/>
        <v>0</v>
      </c>
      <c r="V128" s="79">
        <f t="shared" si="114"/>
        <v>7317.14</v>
      </c>
      <c r="W128" s="79">
        <f t="shared" si="114"/>
        <v>0</v>
      </c>
      <c r="X128" s="79">
        <f t="shared" si="114"/>
        <v>0</v>
      </c>
      <c r="Y128" s="79">
        <f t="shared" si="114"/>
        <v>0</v>
      </c>
      <c r="Z128" s="79">
        <f t="shared" si="114"/>
        <v>0</v>
      </c>
      <c r="AA128" s="79">
        <f t="shared" si="114"/>
        <v>0</v>
      </c>
      <c r="AB128" s="79">
        <f t="shared" si="114"/>
        <v>0</v>
      </c>
      <c r="AC128" s="79">
        <f t="shared" si="114"/>
        <v>0</v>
      </c>
      <c r="AD128" s="79">
        <f t="shared" si="114"/>
        <v>0</v>
      </c>
      <c r="AE128" s="79">
        <f t="shared" si="114"/>
        <v>0</v>
      </c>
      <c r="AF128" s="79">
        <f t="shared" si="114"/>
        <v>0</v>
      </c>
      <c r="AG128" s="79">
        <f t="shared" si="114"/>
        <v>0</v>
      </c>
      <c r="AH128" s="79">
        <f t="shared" si="114"/>
        <v>0</v>
      </c>
      <c r="AI128" s="79">
        <f t="shared" si="114"/>
        <v>0</v>
      </c>
      <c r="AJ128" s="79">
        <f>P128-Q128</f>
        <v>7317.14</v>
      </c>
      <c r="AK128" s="79">
        <f>AJ128</f>
        <v>7317.14</v>
      </c>
      <c r="AL128" s="79">
        <f t="shared" si="114"/>
        <v>0</v>
      </c>
      <c r="AM128" s="79">
        <f t="shared" si="114"/>
        <v>0</v>
      </c>
      <c r="AN128" s="79">
        <f t="shared" si="114"/>
        <v>0</v>
      </c>
      <c r="AO128" s="404"/>
    </row>
    <row r="129" spans="1:41" s="285" customFormat="1" ht="17.25" customHeight="1" x14ac:dyDescent="0.25">
      <c r="A129" s="1373"/>
      <c r="B129" s="42" t="s">
        <v>203</v>
      </c>
      <c r="C129" s="313"/>
      <c r="D129" s="313"/>
      <c r="E129" s="313"/>
      <c r="F129" s="313"/>
      <c r="G129" s="313"/>
      <c r="H129" s="314"/>
      <c r="I129" s="1373"/>
      <c r="J129" s="72"/>
      <c r="K129" s="47"/>
      <c r="L129" s="47">
        <v>9909.1</v>
      </c>
      <c r="M129" s="47">
        <v>0</v>
      </c>
      <c r="N129" s="47">
        <v>0</v>
      </c>
      <c r="O129" s="47">
        <v>0</v>
      </c>
      <c r="P129" s="47">
        <v>7317.14</v>
      </c>
      <c r="Q129" s="47">
        <f>Q130</f>
        <v>0</v>
      </c>
      <c r="R129" s="47">
        <f t="shared" si="114"/>
        <v>0</v>
      </c>
      <c r="S129" s="47">
        <f t="shared" si="114"/>
        <v>0</v>
      </c>
      <c r="T129" s="47">
        <f t="shared" si="114"/>
        <v>0</v>
      </c>
      <c r="U129" s="47">
        <f t="shared" si="114"/>
        <v>0</v>
      </c>
      <c r="V129" s="47">
        <v>7317.14</v>
      </c>
      <c r="W129" s="47">
        <f t="shared" si="114"/>
        <v>0</v>
      </c>
      <c r="X129" s="47">
        <f t="shared" si="114"/>
        <v>0</v>
      </c>
      <c r="Y129" s="47">
        <f t="shared" si="114"/>
        <v>0</v>
      </c>
      <c r="Z129" s="47">
        <f t="shared" si="114"/>
        <v>0</v>
      </c>
      <c r="AA129" s="47">
        <f t="shared" si="114"/>
        <v>0</v>
      </c>
      <c r="AB129" s="47">
        <f t="shared" si="114"/>
        <v>0</v>
      </c>
      <c r="AC129" s="47">
        <f t="shared" si="114"/>
        <v>0</v>
      </c>
      <c r="AD129" s="47">
        <f t="shared" si="114"/>
        <v>0</v>
      </c>
      <c r="AE129" s="47">
        <f t="shared" si="114"/>
        <v>0</v>
      </c>
      <c r="AF129" s="47">
        <f t="shared" si="114"/>
        <v>0</v>
      </c>
      <c r="AG129" s="47">
        <f t="shared" si="114"/>
        <v>0</v>
      </c>
      <c r="AH129" s="47">
        <f t="shared" si="114"/>
        <v>0</v>
      </c>
      <c r="AI129" s="47">
        <f t="shared" si="114"/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397"/>
    </row>
    <row r="130" spans="1:41" s="266" customFormat="1" ht="17.25" hidden="1" customHeight="1" x14ac:dyDescent="0.25">
      <c r="A130" s="365"/>
      <c r="B130" s="252" t="s">
        <v>298</v>
      </c>
      <c r="C130" s="363"/>
      <c r="D130" s="363"/>
      <c r="E130" s="363"/>
      <c r="F130" s="363"/>
      <c r="G130" s="363"/>
      <c r="H130" s="364"/>
      <c r="I130" s="365"/>
      <c r="J130" s="258"/>
      <c r="K130" s="96"/>
      <c r="L130" s="47"/>
      <c r="M130" s="96"/>
      <c r="N130" s="96"/>
      <c r="O130" s="96"/>
      <c r="P130" s="47"/>
      <c r="Q130" s="96">
        <f>S130</f>
        <v>0</v>
      </c>
      <c r="R130" s="96">
        <f>S130</f>
        <v>0</v>
      </c>
      <c r="S130" s="96">
        <v>0</v>
      </c>
      <c r="T130" s="96"/>
      <c r="U130" s="96"/>
      <c r="V130" s="96"/>
      <c r="W130" s="96"/>
      <c r="X130" s="96"/>
      <c r="Y130" s="96"/>
      <c r="Z130" s="96">
        <f>AA130</f>
        <v>0</v>
      </c>
      <c r="AA130" s="96">
        <v>0</v>
      </c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268"/>
      <c r="AM130" s="96"/>
      <c r="AN130" s="96"/>
      <c r="AO130" s="405"/>
    </row>
    <row r="131" spans="1:41" s="285" customFormat="1" ht="41.25" customHeight="1" x14ac:dyDescent="0.25">
      <c r="A131" s="1372" t="s">
        <v>281</v>
      </c>
      <c r="B131" s="80" t="s">
        <v>284</v>
      </c>
      <c r="C131" s="315"/>
      <c r="D131" s="315"/>
      <c r="E131" s="315"/>
      <c r="F131" s="315"/>
      <c r="G131" s="316"/>
      <c r="H131" s="317"/>
      <c r="I131" s="1326" t="s">
        <v>20</v>
      </c>
      <c r="J131" s="284"/>
      <c r="K131" s="162"/>
      <c r="L131" s="79">
        <f>SUM(L132:L134)</f>
        <v>12912.57</v>
      </c>
      <c r="M131" s="79">
        <f>SUM(M132:M134)</f>
        <v>0</v>
      </c>
      <c r="N131" s="79">
        <f>SUM(N132:N134)</f>
        <v>0</v>
      </c>
      <c r="O131" s="79">
        <f>SUM(O132:O134)</f>
        <v>0</v>
      </c>
      <c r="P131" s="79">
        <f>SUM(P132:P134)</f>
        <v>11314.88</v>
      </c>
      <c r="Q131" s="79">
        <f t="shared" si="114"/>
        <v>0</v>
      </c>
      <c r="R131" s="79">
        <f t="shared" si="114"/>
        <v>0</v>
      </c>
      <c r="S131" s="79">
        <f t="shared" si="114"/>
        <v>0</v>
      </c>
      <c r="T131" s="79">
        <f t="shared" si="114"/>
        <v>0</v>
      </c>
      <c r="U131" s="79">
        <f t="shared" si="114"/>
        <v>0</v>
      </c>
      <c r="V131" s="79">
        <f t="shared" si="114"/>
        <v>0</v>
      </c>
      <c r="W131" s="79">
        <f t="shared" si="114"/>
        <v>0</v>
      </c>
      <c r="X131" s="79">
        <f t="shared" si="114"/>
        <v>0</v>
      </c>
      <c r="Y131" s="79">
        <f t="shared" si="114"/>
        <v>0</v>
      </c>
      <c r="Z131" s="79">
        <f t="shared" si="114"/>
        <v>0</v>
      </c>
      <c r="AA131" s="79">
        <f t="shared" si="114"/>
        <v>0</v>
      </c>
      <c r="AB131" s="79">
        <f t="shared" si="114"/>
        <v>0</v>
      </c>
      <c r="AC131" s="79">
        <f t="shared" si="114"/>
        <v>0</v>
      </c>
      <c r="AD131" s="79">
        <f t="shared" si="114"/>
        <v>0</v>
      </c>
      <c r="AE131" s="79">
        <f t="shared" si="114"/>
        <v>0</v>
      </c>
      <c r="AF131" s="79">
        <f t="shared" si="114"/>
        <v>0</v>
      </c>
      <c r="AG131" s="79">
        <f t="shared" si="114"/>
        <v>0</v>
      </c>
      <c r="AH131" s="79">
        <f t="shared" si="114"/>
        <v>0</v>
      </c>
      <c r="AI131" s="79">
        <f t="shared" si="114"/>
        <v>0</v>
      </c>
      <c r="AJ131" s="79">
        <f>P131-Q131</f>
        <v>11314.88</v>
      </c>
      <c r="AK131" s="79">
        <f>AJ131</f>
        <v>11314.88</v>
      </c>
      <c r="AL131" s="76">
        <v>0</v>
      </c>
      <c r="AM131" s="79">
        <f>AM134</f>
        <v>0</v>
      </c>
      <c r="AN131" s="79">
        <f>AN134</f>
        <v>0</v>
      </c>
      <c r="AO131" s="404" t="s">
        <v>420</v>
      </c>
    </row>
    <row r="132" spans="1:41" s="285" customFormat="1" ht="20.25" customHeight="1" x14ac:dyDescent="0.25">
      <c r="A132" s="1382"/>
      <c r="B132" s="42" t="s">
        <v>285</v>
      </c>
      <c r="C132" s="312"/>
      <c r="D132" s="312"/>
      <c r="E132" s="312"/>
      <c r="F132" s="312"/>
      <c r="G132" s="313"/>
      <c r="H132" s="314"/>
      <c r="I132" s="1327"/>
      <c r="J132" s="463"/>
      <c r="K132" s="47"/>
      <c r="L132" s="47">
        <v>980</v>
      </c>
      <c r="M132" s="3"/>
      <c r="N132" s="47">
        <v>0</v>
      </c>
      <c r="O132" s="3"/>
      <c r="P132" s="47">
        <v>0</v>
      </c>
      <c r="Q132" s="47">
        <f>Q133</f>
        <v>0</v>
      </c>
      <c r="R132" s="47">
        <f t="shared" si="114"/>
        <v>0</v>
      </c>
      <c r="S132" s="47">
        <f t="shared" si="114"/>
        <v>0</v>
      </c>
      <c r="T132" s="47">
        <f t="shared" si="114"/>
        <v>0</v>
      </c>
      <c r="U132" s="47">
        <f t="shared" si="114"/>
        <v>0</v>
      </c>
      <c r="V132" s="47">
        <f t="shared" si="114"/>
        <v>0</v>
      </c>
      <c r="W132" s="47">
        <f t="shared" si="114"/>
        <v>0</v>
      </c>
      <c r="X132" s="47">
        <f t="shared" si="114"/>
        <v>0</v>
      </c>
      <c r="Y132" s="47">
        <f t="shared" si="114"/>
        <v>0</v>
      </c>
      <c r="Z132" s="47">
        <f t="shared" si="114"/>
        <v>0</v>
      </c>
      <c r="AA132" s="47">
        <f t="shared" si="114"/>
        <v>0</v>
      </c>
      <c r="AB132" s="47">
        <f t="shared" si="114"/>
        <v>0</v>
      </c>
      <c r="AC132" s="47">
        <f t="shared" si="114"/>
        <v>0</v>
      </c>
      <c r="AD132" s="47">
        <f t="shared" si="114"/>
        <v>0</v>
      </c>
      <c r="AE132" s="47">
        <f t="shared" si="114"/>
        <v>0</v>
      </c>
      <c r="AF132" s="47">
        <f t="shared" si="114"/>
        <v>0</v>
      </c>
      <c r="AG132" s="47">
        <f t="shared" si="114"/>
        <v>0</v>
      </c>
      <c r="AH132" s="47">
        <f t="shared" si="114"/>
        <v>0</v>
      </c>
      <c r="AI132" s="47">
        <f t="shared" si="114"/>
        <v>0</v>
      </c>
      <c r="AJ132" s="47">
        <v>0</v>
      </c>
      <c r="AK132" s="3"/>
      <c r="AL132" s="3"/>
      <c r="AM132" s="3"/>
      <c r="AN132" s="3"/>
      <c r="AO132" s="397"/>
    </row>
    <row r="133" spans="1:41" s="266" customFormat="1" ht="20.25" hidden="1" customHeight="1" x14ac:dyDescent="0.25">
      <c r="A133" s="1382"/>
      <c r="B133" s="252" t="s">
        <v>299</v>
      </c>
      <c r="C133" s="363"/>
      <c r="D133" s="363"/>
      <c r="E133" s="363"/>
      <c r="F133" s="363"/>
      <c r="G133" s="363"/>
      <c r="H133" s="364"/>
      <c r="I133" s="1327"/>
      <c r="J133" s="258"/>
      <c r="K133" s="96"/>
      <c r="L133" s="47"/>
      <c r="M133" s="96"/>
      <c r="N133" s="96"/>
      <c r="O133" s="96"/>
      <c r="P133" s="47"/>
      <c r="Q133" s="96">
        <f>S133+U133</f>
        <v>0</v>
      </c>
      <c r="R133" s="96">
        <f>S133</f>
        <v>0</v>
      </c>
      <c r="S133" s="96">
        <v>0</v>
      </c>
      <c r="T133" s="96">
        <v>0</v>
      </c>
      <c r="U133" s="96">
        <v>0</v>
      </c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405"/>
    </row>
    <row r="134" spans="1:41" s="285" customFormat="1" ht="17.25" customHeight="1" x14ac:dyDescent="0.25">
      <c r="A134" s="1373"/>
      <c r="B134" s="42" t="s">
        <v>287</v>
      </c>
      <c r="C134" s="313"/>
      <c r="D134" s="313"/>
      <c r="E134" s="313"/>
      <c r="F134" s="313"/>
      <c r="G134" s="313"/>
      <c r="H134" s="314"/>
      <c r="I134" s="1373"/>
      <c r="J134" s="72"/>
      <c r="K134" s="47"/>
      <c r="L134" s="47">
        <v>11932.57</v>
      </c>
      <c r="M134" s="47">
        <v>0</v>
      </c>
      <c r="N134" s="47">
        <v>0</v>
      </c>
      <c r="O134" s="47">
        <v>0</v>
      </c>
      <c r="P134" s="47">
        <v>11314.88</v>
      </c>
      <c r="Q134" s="47">
        <v>0</v>
      </c>
      <c r="R134" s="47">
        <v>0</v>
      </c>
      <c r="S134" s="47">
        <v>0</v>
      </c>
      <c r="T134" s="47">
        <v>0</v>
      </c>
      <c r="U134" s="47">
        <v>0</v>
      </c>
      <c r="V134" s="47">
        <f t="shared" ref="V134:W134" si="115">V158</f>
        <v>0</v>
      </c>
      <c r="W134" s="47">
        <f t="shared" si="115"/>
        <v>0</v>
      </c>
      <c r="X134" s="47">
        <v>0</v>
      </c>
      <c r="Y134" s="47">
        <v>0</v>
      </c>
      <c r="Z134" s="47">
        <v>0</v>
      </c>
      <c r="AA134" s="47">
        <v>0</v>
      </c>
      <c r="AB134" s="47">
        <f t="shared" ref="AB134:AH134" si="116">AB158</f>
        <v>0</v>
      </c>
      <c r="AC134" s="47">
        <f t="shared" si="116"/>
        <v>0</v>
      </c>
      <c r="AD134" s="47">
        <f t="shared" si="116"/>
        <v>0</v>
      </c>
      <c r="AE134" s="47">
        <f t="shared" si="116"/>
        <v>0</v>
      </c>
      <c r="AF134" s="47">
        <f t="shared" si="116"/>
        <v>0</v>
      </c>
      <c r="AG134" s="47">
        <f t="shared" si="116"/>
        <v>0</v>
      </c>
      <c r="AH134" s="47">
        <f t="shared" si="116"/>
        <v>0</v>
      </c>
      <c r="AI134" s="47">
        <f>AI158</f>
        <v>0</v>
      </c>
      <c r="AJ134" s="47">
        <v>0</v>
      </c>
      <c r="AK134" s="47">
        <v>0</v>
      </c>
      <c r="AL134" s="47">
        <v>0</v>
      </c>
      <c r="AM134" s="47">
        <v>0</v>
      </c>
      <c r="AN134" s="47">
        <v>0</v>
      </c>
      <c r="AO134" s="397"/>
    </row>
    <row r="135" spans="1:41" s="285" customFormat="1" ht="42.75" customHeight="1" x14ac:dyDescent="0.25">
      <c r="A135" s="1372" t="s">
        <v>282</v>
      </c>
      <c r="B135" s="80" t="s">
        <v>286</v>
      </c>
      <c r="C135" s="315"/>
      <c r="D135" s="315"/>
      <c r="E135" s="315"/>
      <c r="F135" s="315"/>
      <c r="G135" s="316"/>
      <c r="H135" s="317"/>
      <c r="I135" s="1326" t="s">
        <v>20</v>
      </c>
      <c r="J135" s="284"/>
      <c r="K135" s="162"/>
      <c r="L135" s="79">
        <f>SUM(L136:L139)</f>
        <v>1686.18</v>
      </c>
      <c r="M135" s="79">
        <f>SUM(M136:M139)</f>
        <v>0</v>
      </c>
      <c r="N135" s="79">
        <f>SUM(N136:N139)</f>
        <v>0</v>
      </c>
      <c r="O135" s="79">
        <f>SUM(O136:O139)</f>
        <v>0</v>
      </c>
      <c r="P135" s="79">
        <f>SUM(P136:P139)</f>
        <v>86.18</v>
      </c>
      <c r="Q135" s="79">
        <f>Q136+Q139</f>
        <v>0</v>
      </c>
      <c r="R135" s="79">
        <f t="shared" ref="R135:AC135" si="117">R136+R139</f>
        <v>0</v>
      </c>
      <c r="S135" s="79">
        <f t="shared" si="117"/>
        <v>0</v>
      </c>
      <c r="T135" s="79">
        <f t="shared" si="117"/>
        <v>0</v>
      </c>
      <c r="U135" s="79">
        <f t="shared" si="117"/>
        <v>0</v>
      </c>
      <c r="V135" s="79">
        <f t="shared" si="117"/>
        <v>0</v>
      </c>
      <c r="W135" s="79">
        <f t="shared" si="117"/>
        <v>0</v>
      </c>
      <c r="X135" s="79">
        <f t="shared" si="117"/>
        <v>0</v>
      </c>
      <c r="Y135" s="79">
        <f t="shared" si="117"/>
        <v>0</v>
      </c>
      <c r="Z135" s="79">
        <f t="shared" si="117"/>
        <v>0</v>
      </c>
      <c r="AA135" s="79">
        <f t="shared" si="117"/>
        <v>0</v>
      </c>
      <c r="AB135" s="79">
        <f t="shared" si="117"/>
        <v>0</v>
      </c>
      <c r="AC135" s="79">
        <f t="shared" si="117"/>
        <v>0</v>
      </c>
      <c r="AD135" s="79">
        <f t="shared" ref="AD135:AI135" si="118">AD139</f>
        <v>0</v>
      </c>
      <c r="AE135" s="79">
        <f t="shared" si="118"/>
        <v>0</v>
      </c>
      <c r="AF135" s="79">
        <f t="shared" si="118"/>
        <v>0</v>
      </c>
      <c r="AG135" s="79">
        <f t="shared" si="118"/>
        <v>0</v>
      </c>
      <c r="AH135" s="79">
        <f t="shared" si="118"/>
        <v>0</v>
      </c>
      <c r="AI135" s="79">
        <f t="shared" si="118"/>
        <v>0</v>
      </c>
      <c r="AJ135" s="79">
        <f>P135-Q135</f>
        <v>86.18</v>
      </c>
      <c r="AK135" s="79">
        <f>AJ135</f>
        <v>86.18</v>
      </c>
      <c r="AL135" s="79">
        <f>AL139</f>
        <v>0</v>
      </c>
      <c r="AM135" s="79">
        <f>AM139</f>
        <v>0</v>
      </c>
      <c r="AN135" s="79">
        <f>AN139</f>
        <v>0</v>
      </c>
      <c r="AO135" s="404" t="s">
        <v>420</v>
      </c>
    </row>
    <row r="136" spans="1:41" s="285" customFormat="1" ht="20.25" customHeight="1" x14ac:dyDescent="0.25">
      <c r="A136" s="1382"/>
      <c r="B136" s="42" t="s">
        <v>285</v>
      </c>
      <c r="C136" s="313"/>
      <c r="D136" s="313"/>
      <c r="E136" s="313"/>
      <c r="F136" s="313"/>
      <c r="G136" s="313"/>
      <c r="H136" s="314"/>
      <c r="I136" s="1327"/>
      <c r="J136" s="72"/>
      <c r="K136" s="47"/>
      <c r="L136" s="47">
        <v>1686.18</v>
      </c>
      <c r="M136" s="47"/>
      <c r="N136" s="47">
        <v>0</v>
      </c>
      <c r="O136" s="47"/>
      <c r="P136" s="47">
        <v>86.18</v>
      </c>
      <c r="Q136" s="47">
        <f>Q138+Q137</f>
        <v>0</v>
      </c>
      <c r="R136" s="47">
        <f t="shared" ref="R136:W136" si="119">R138+R137</f>
        <v>0</v>
      </c>
      <c r="S136" s="47">
        <f t="shared" si="119"/>
        <v>0</v>
      </c>
      <c r="T136" s="47">
        <f t="shared" si="119"/>
        <v>0</v>
      </c>
      <c r="U136" s="47">
        <f t="shared" si="119"/>
        <v>0</v>
      </c>
      <c r="V136" s="47">
        <f t="shared" si="119"/>
        <v>0</v>
      </c>
      <c r="W136" s="47">
        <f t="shared" si="119"/>
        <v>0</v>
      </c>
      <c r="X136" s="47">
        <f t="shared" ref="X136:AC136" si="120">X138+X137</f>
        <v>0</v>
      </c>
      <c r="Y136" s="47">
        <f t="shared" si="120"/>
        <v>0</v>
      </c>
      <c r="Z136" s="47">
        <f t="shared" si="120"/>
        <v>0</v>
      </c>
      <c r="AA136" s="47">
        <f t="shared" si="120"/>
        <v>0</v>
      </c>
      <c r="AB136" s="47">
        <f t="shared" si="120"/>
        <v>0</v>
      </c>
      <c r="AC136" s="47">
        <f t="shared" si="120"/>
        <v>0</v>
      </c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397"/>
    </row>
    <row r="137" spans="1:41" s="266" customFormat="1" ht="38.25" hidden="1" customHeight="1" x14ac:dyDescent="0.25">
      <c r="A137" s="1382"/>
      <c r="B137" s="252" t="s">
        <v>321</v>
      </c>
      <c r="C137" s="363"/>
      <c r="D137" s="363"/>
      <c r="E137" s="363"/>
      <c r="F137" s="363"/>
      <c r="G137" s="363"/>
      <c r="H137" s="364"/>
      <c r="I137" s="1327"/>
      <c r="J137" s="258"/>
      <c r="K137" s="96"/>
      <c r="L137" s="47"/>
      <c r="M137" s="96"/>
      <c r="N137" s="96"/>
      <c r="O137" s="96"/>
      <c r="P137" s="47"/>
      <c r="Q137" s="96">
        <f>W137</f>
        <v>0</v>
      </c>
      <c r="R137" s="96"/>
      <c r="S137" s="96"/>
      <c r="T137" s="96"/>
      <c r="U137" s="96"/>
      <c r="V137" s="96">
        <f>W137</f>
        <v>0</v>
      </c>
      <c r="W137" s="96">
        <v>0</v>
      </c>
      <c r="X137" s="96"/>
      <c r="Y137" s="96"/>
      <c r="Z137" s="96">
        <f>AC137</f>
        <v>0</v>
      </c>
      <c r="AA137" s="96"/>
      <c r="AB137" s="96"/>
      <c r="AC137" s="96">
        <v>0</v>
      </c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405"/>
    </row>
    <row r="138" spans="1:41" s="266" customFormat="1" ht="27" hidden="1" customHeight="1" x14ac:dyDescent="0.25">
      <c r="A138" s="1382"/>
      <c r="B138" s="252" t="s">
        <v>313</v>
      </c>
      <c r="C138" s="363"/>
      <c r="D138" s="363"/>
      <c r="E138" s="363"/>
      <c r="F138" s="363"/>
      <c r="G138" s="363"/>
      <c r="H138" s="364"/>
      <c r="I138" s="1327"/>
      <c r="J138" s="258"/>
      <c r="K138" s="96"/>
      <c r="L138" s="47"/>
      <c r="M138" s="96"/>
      <c r="N138" s="96"/>
      <c r="O138" s="96"/>
      <c r="P138" s="47"/>
      <c r="Q138" s="96">
        <f>S138+U138</f>
        <v>0</v>
      </c>
      <c r="R138" s="96"/>
      <c r="S138" s="96"/>
      <c r="T138" s="96">
        <f>U138</f>
        <v>0</v>
      </c>
      <c r="U138" s="96">
        <v>0</v>
      </c>
      <c r="V138" s="96">
        <f>W138</f>
        <v>0</v>
      </c>
      <c r="W138" s="96"/>
      <c r="X138" s="96"/>
      <c r="Y138" s="96"/>
      <c r="Z138" s="96">
        <f>AC138</f>
        <v>0</v>
      </c>
      <c r="AA138" s="96"/>
      <c r="AB138" s="96"/>
      <c r="AC138" s="96">
        <v>0</v>
      </c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405"/>
    </row>
    <row r="139" spans="1:41" s="285" customFormat="1" ht="17.25" customHeight="1" x14ac:dyDescent="0.25">
      <c r="A139" s="1373"/>
      <c r="B139" s="42" t="s">
        <v>287</v>
      </c>
      <c r="C139" s="313"/>
      <c r="D139" s="313"/>
      <c r="E139" s="313"/>
      <c r="F139" s="313"/>
      <c r="G139" s="313"/>
      <c r="H139" s="314"/>
      <c r="I139" s="1373"/>
      <c r="J139" s="72"/>
      <c r="K139" s="47"/>
      <c r="L139" s="47">
        <v>0</v>
      </c>
      <c r="M139" s="47">
        <v>0</v>
      </c>
      <c r="N139" s="47">
        <v>0</v>
      </c>
      <c r="O139" s="47">
        <v>0</v>
      </c>
      <c r="P139" s="47">
        <f>N139</f>
        <v>0</v>
      </c>
      <c r="Q139" s="47">
        <v>0</v>
      </c>
      <c r="R139" s="47">
        <v>0</v>
      </c>
      <c r="S139" s="47">
        <v>0</v>
      </c>
      <c r="T139" s="47">
        <f t="shared" ref="T139:W139" si="121">T161</f>
        <v>0</v>
      </c>
      <c r="U139" s="47">
        <v>0</v>
      </c>
      <c r="V139" s="47">
        <f t="shared" si="121"/>
        <v>0</v>
      </c>
      <c r="W139" s="47">
        <f t="shared" si="121"/>
        <v>0</v>
      </c>
      <c r="X139" s="47">
        <v>0</v>
      </c>
      <c r="Y139" s="47">
        <v>0</v>
      </c>
      <c r="Z139" s="47">
        <v>0</v>
      </c>
      <c r="AA139" s="47">
        <v>0</v>
      </c>
      <c r="AB139" s="47">
        <f t="shared" ref="AB139:AH139" si="122">AB161</f>
        <v>0</v>
      </c>
      <c r="AC139" s="47">
        <f t="shared" si="122"/>
        <v>0</v>
      </c>
      <c r="AD139" s="47">
        <f t="shared" si="122"/>
        <v>0</v>
      </c>
      <c r="AE139" s="47">
        <f t="shared" si="122"/>
        <v>0</v>
      </c>
      <c r="AF139" s="47">
        <f t="shared" si="122"/>
        <v>0</v>
      </c>
      <c r="AG139" s="47">
        <f t="shared" si="122"/>
        <v>0</v>
      </c>
      <c r="AH139" s="47">
        <f t="shared" si="122"/>
        <v>0</v>
      </c>
      <c r="AI139" s="47">
        <f>AI161</f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397"/>
    </row>
    <row r="140" spans="1:41" s="285" customFormat="1" ht="67.5" customHeight="1" x14ac:dyDescent="0.25">
      <c r="A140" s="1372" t="s">
        <v>283</v>
      </c>
      <c r="B140" s="80" t="s">
        <v>288</v>
      </c>
      <c r="C140" s="315"/>
      <c r="D140" s="315"/>
      <c r="E140" s="315"/>
      <c r="F140" s="315"/>
      <c r="G140" s="316"/>
      <c r="H140" s="317"/>
      <c r="I140" s="1326" t="s">
        <v>20</v>
      </c>
      <c r="J140" s="284"/>
      <c r="K140" s="162"/>
      <c r="L140" s="79">
        <f t="shared" ref="L140:AI141" si="123">L141</f>
        <v>28990</v>
      </c>
      <c r="M140" s="79">
        <f t="shared" si="123"/>
        <v>0</v>
      </c>
      <c r="N140" s="79">
        <f t="shared" si="123"/>
        <v>10150</v>
      </c>
      <c r="O140" s="79">
        <f t="shared" si="123"/>
        <v>0</v>
      </c>
      <c r="P140" s="79">
        <f t="shared" si="123"/>
        <v>0</v>
      </c>
      <c r="Q140" s="79">
        <f t="shared" si="123"/>
        <v>0</v>
      </c>
      <c r="R140" s="79">
        <f t="shared" si="123"/>
        <v>0</v>
      </c>
      <c r="S140" s="79">
        <f t="shared" si="123"/>
        <v>0</v>
      </c>
      <c r="T140" s="79">
        <f t="shared" si="123"/>
        <v>0</v>
      </c>
      <c r="U140" s="79">
        <f t="shared" si="123"/>
        <v>0</v>
      </c>
      <c r="V140" s="79">
        <f t="shared" si="123"/>
        <v>0</v>
      </c>
      <c r="W140" s="79">
        <f t="shared" si="123"/>
        <v>0</v>
      </c>
      <c r="X140" s="79">
        <f t="shared" si="123"/>
        <v>0</v>
      </c>
      <c r="Y140" s="79">
        <f t="shared" si="123"/>
        <v>0</v>
      </c>
      <c r="Z140" s="79">
        <f t="shared" si="123"/>
        <v>0</v>
      </c>
      <c r="AA140" s="79">
        <f t="shared" si="123"/>
        <v>0</v>
      </c>
      <c r="AB140" s="79">
        <f t="shared" si="123"/>
        <v>0</v>
      </c>
      <c r="AC140" s="79">
        <f t="shared" si="123"/>
        <v>0</v>
      </c>
      <c r="AD140" s="79">
        <f t="shared" si="123"/>
        <v>0</v>
      </c>
      <c r="AE140" s="79">
        <f t="shared" si="123"/>
        <v>0</v>
      </c>
      <c r="AF140" s="79">
        <f t="shared" si="123"/>
        <v>0</v>
      </c>
      <c r="AG140" s="79">
        <f t="shared" si="123"/>
        <v>0</v>
      </c>
      <c r="AH140" s="79">
        <f t="shared" si="123"/>
        <v>0</v>
      </c>
      <c r="AI140" s="79">
        <f t="shared" si="123"/>
        <v>0</v>
      </c>
      <c r="AJ140" s="79">
        <f>P140-Q140</f>
        <v>0</v>
      </c>
      <c r="AK140" s="79">
        <f>AK141</f>
        <v>0</v>
      </c>
      <c r="AL140" s="76">
        <v>0</v>
      </c>
      <c r="AM140" s="79">
        <f>AM141</f>
        <v>0</v>
      </c>
      <c r="AN140" s="79">
        <f>AN141</f>
        <v>0</v>
      </c>
      <c r="AO140" s="404" t="s">
        <v>418</v>
      </c>
    </row>
    <row r="141" spans="1:41" s="285" customFormat="1" ht="17.25" customHeight="1" x14ac:dyDescent="0.25">
      <c r="A141" s="1373"/>
      <c r="B141" s="42" t="s">
        <v>201</v>
      </c>
      <c r="C141" s="313"/>
      <c r="D141" s="313"/>
      <c r="E141" s="313"/>
      <c r="F141" s="313"/>
      <c r="G141" s="313"/>
      <c r="H141" s="314"/>
      <c r="I141" s="1373"/>
      <c r="J141" s="72"/>
      <c r="K141" s="47"/>
      <c r="L141" s="47">
        <v>28990</v>
      </c>
      <c r="M141" s="47">
        <v>0</v>
      </c>
      <c r="N141" s="47">
        <v>10150</v>
      </c>
      <c r="O141" s="47">
        <v>0</v>
      </c>
      <c r="P141" s="47">
        <v>0</v>
      </c>
      <c r="Q141" s="47">
        <f>Q142</f>
        <v>0</v>
      </c>
      <c r="R141" s="47">
        <f t="shared" si="123"/>
        <v>0</v>
      </c>
      <c r="S141" s="47">
        <f t="shared" si="123"/>
        <v>0</v>
      </c>
      <c r="T141" s="47">
        <f t="shared" si="123"/>
        <v>0</v>
      </c>
      <c r="U141" s="47">
        <f t="shared" si="123"/>
        <v>0</v>
      </c>
      <c r="V141" s="47">
        <f t="shared" si="123"/>
        <v>0</v>
      </c>
      <c r="W141" s="47">
        <f t="shared" si="123"/>
        <v>0</v>
      </c>
      <c r="X141" s="47">
        <f t="shared" si="123"/>
        <v>0</v>
      </c>
      <c r="Y141" s="47">
        <f t="shared" si="123"/>
        <v>0</v>
      </c>
      <c r="Z141" s="47">
        <f t="shared" si="123"/>
        <v>0</v>
      </c>
      <c r="AA141" s="47">
        <f t="shared" si="123"/>
        <v>0</v>
      </c>
      <c r="AB141" s="47">
        <f t="shared" si="123"/>
        <v>0</v>
      </c>
      <c r="AC141" s="47">
        <f t="shared" si="123"/>
        <v>0</v>
      </c>
      <c r="AD141" s="47">
        <f>AD142</f>
        <v>0</v>
      </c>
      <c r="AE141" s="47">
        <f>AE164+AI141</f>
        <v>0</v>
      </c>
      <c r="AF141" s="47">
        <f>AF164</f>
        <v>0</v>
      </c>
      <c r="AG141" s="47">
        <f>AG164</f>
        <v>0</v>
      </c>
      <c r="AH141" s="47">
        <f>AH164</f>
        <v>0</v>
      </c>
      <c r="AI141" s="47">
        <v>0</v>
      </c>
      <c r="AJ141" s="47">
        <v>0</v>
      </c>
      <c r="AK141" s="47">
        <v>0</v>
      </c>
      <c r="AL141" s="47">
        <v>0</v>
      </c>
      <c r="AM141" s="47">
        <v>0</v>
      </c>
      <c r="AN141" s="47">
        <v>0</v>
      </c>
      <c r="AO141" s="397"/>
    </row>
    <row r="142" spans="1:41" s="266" customFormat="1" ht="24.75" hidden="1" customHeight="1" x14ac:dyDescent="0.25">
      <c r="A142" s="365"/>
      <c r="B142" s="252" t="s">
        <v>290</v>
      </c>
      <c r="C142" s="363"/>
      <c r="D142" s="363"/>
      <c r="E142" s="363"/>
      <c r="F142" s="363"/>
      <c r="G142" s="363"/>
      <c r="H142" s="364"/>
      <c r="I142" s="484"/>
      <c r="J142" s="258"/>
      <c r="K142" s="96"/>
      <c r="L142" s="47"/>
      <c r="M142" s="96"/>
      <c r="N142" s="96"/>
      <c r="O142" s="96"/>
      <c r="P142" s="47"/>
      <c r="Q142" s="96">
        <f>S142+U142</f>
        <v>0</v>
      </c>
      <c r="R142" s="96">
        <f>S142</f>
        <v>0</v>
      </c>
      <c r="S142" s="96">
        <v>0</v>
      </c>
      <c r="T142" s="96">
        <f>U142</f>
        <v>0</v>
      </c>
      <c r="U142" s="96">
        <v>0</v>
      </c>
      <c r="V142" s="96"/>
      <c r="W142" s="96"/>
      <c r="X142" s="96"/>
      <c r="Y142" s="96"/>
      <c r="Z142" s="96">
        <f>SUM(AA142:AD142)</f>
        <v>0</v>
      </c>
      <c r="AA142" s="96"/>
      <c r="AB142" s="96"/>
      <c r="AC142" s="96"/>
      <c r="AD142" s="96">
        <v>0</v>
      </c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405"/>
    </row>
    <row r="143" spans="1:41" s="285" customFormat="1" ht="56.25" customHeight="1" x14ac:dyDescent="0.25">
      <c r="A143" s="1372" t="s">
        <v>358</v>
      </c>
      <c r="B143" s="80" t="s">
        <v>359</v>
      </c>
      <c r="C143" s="315"/>
      <c r="D143" s="315"/>
      <c r="E143" s="315"/>
      <c r="F143" s="315"/>
      <c r="G143" s="316"/>
      <c r="H143" s="317"/>
      <c r="I143" s="1326" t="s">
        <v>20</v>
      </c>
      <c r="J143" s="284"/>
      <c r="K143" s="162"/>
      <c r="L143" s="79">
        <f>L144+L147</f>
        <v>2906.38</v>
      </c>
      <c r="M143" s="79">
        <f t="shared" ref="M143:AI143" si="124">M144+M147</f>
        <v>0</v>
      </c>
      <c r="N143" s="79">
        <f t="shared" si="124"/>
        <v>10150</v>
      </c>
      <c r="O143" s="79">
        <f t="shared" si="124"/>
        <v>0</v>
      </c>
      <c r="P143" s="79">
        <f>P144+P147</f>
        <v>2820.43</v>
      </c>
      <c r="Q143" s="79">
        <f>Q144+Q147</f>
        <v>4695.9492399999999</v>
      </c>
      <c r="R143" s="79">
        <f t="shared" si="124"/>
        <v>0</v>
      </c>
      <c r="S143" s="79">
        <f t="shared" si="124"/>
        <v>0</v>
      </c>
      <c r="T143" s="79">
        <f t="shared" si="124"/>
        <v>0</v>
      </c>
      <c r="U143" s="79">
        <f t="shared" si="124"/>
        <v>0</v>
      </c>
      <c r="V143" s="79">
        <f>V144+V147</f>
        <v>2312.4299999999998</v>
      </c>
      <c r="W143" s="79">
        <f t="shared" ref="W143:AH143" si="125">W144+W147</f>
        <v>441.88432999999998</v>
      </c>
      <c r="X143" s="79">
        <f t="shared" si="125"/>
        <v>8508.1298200000001</v>
      </c>
      <c r="Y143" s="79">
        <f t="shared" si="125"/>
        <v>4254.0649100000001</v>
      </c>
      <c r="Z143" s="79">
        <f>Z144+Z147</f>
        <v>4695.9492399999999</v>
      </c>
      <c r="AA143" s="79">
        <f t="shared" si="125"/>
        <v>0</v>
      </c>
      <c r="AB143" s="79">
        <f t="shared" si="125"/>
        <v>0</v>
      </c>
      <c r="AC143" s="79">
        <f t="shared" si="125"/>
        <v>1041.8843300000001</v>
      </c>
      <c r="AD143" s="79">
        <f>AD144+AD147</f>
        <v>3654.0649100000001</v>
      </c>
      <c r="AE143" s="79">
        <f t="shared" si="125"/>
        <v>0</v>
      </c>
      <c r="AF143" s="79">
        <f t="shared" si="125"/>
        <v>0</v>
      </c>
      <c r="AG143" s="79">
        <f t="shared" si="125"/>
        <v>0</v>
      </c>
      <c r="AH143" s="79">
        <f t="shared" si="125"/>
        <v>0</v>
      </c>
      <c r="AI143" s="79">
        <f t="shared" si="124"/>
        <v>0</v>
      </c>
      <c r="AJ143" s="79">
        <f>P143-Q143</f>
        <v>-1875.5192400000001</v>
      </c>
      <c r="AK143" s="79">
        <f>AJ143</f>
        <v>-1875.5192400000001</v>
      </c>
      <c r="AL143" s="79">
        <f t="shared" ref="AL143:AN143" si="126">AL144+AL147</f>
        <v>0</v>
      </c>
      <c r="AM143" s="79">
        <f t="shared" si="126"/>
        <v>0</v>
      </c>
      <c r="AN143" s="79">
        <f t="shared" si="126"/>
        <v>0</v>
      </c>
      <c r="AO143" s="404" t="s">
        <v>421</v>
      </c>
    </row>
    <row r="144" spans="1:41" s="285" customFormat="1" ht="17.25" customHeight="1" x14ac:dyDescent="0.25">
      <c r="A144" s="1378"/>
      <c r="B144" s="42" t="s">
        <v>285</v>
      </c>
      <c r="C144" s="313"/>
      <c r="D144" s="313"/>
      <c r="E144" s="313"/>
      <c r="F144" s="313"/>
      <c r="G144" s="313"/>
      <c r="H144" s="702"/>
      <c r="I144" s="1373"/>
      <c r="J144" s="701"/>
      <c r="K144" s="47"/>
      <c r="L144" s="47">
        <v>593.95000000000005</v>
      </c>
      <c r="M144" s="47">
        <v>0</v>
      </c>
      <c r="N144" s="47">
        <v>10150</v>
      </c>
      <c r="O144" s="47">
        <v>0</v>
      </c>
      <c r="P144" s="47">
        <v>508</v>
      </c>
      <c r="Q144" s="47">
        <f>Q145+Q146</f>
        <v>0</v>
      </c>
      <c r="R144" s="47">
        <f t="shared" ref="R144:X144" si="127">R147</f>
        <v>0</v>
      </c>
      <c r="S144" s="47">
        <f t="shared" si="127"/>
        <v>0</v>
      </c>
      <c r="T144" s="47">
        <f t="shared" si="127"/>
        <v>0</v>
      </c>
      <c r="U144" s="47">
        <f t="shared" si="127"/>
        <v>0</v>
      </c>
      <c r="V144" s="47">
        <v>0</v>
      </c>
      <c r="W144" s="47">
        <v>0</v>
      </c>
      <c r="X144" s="47">
        <f t="shared" si="127"/>
        <v>4254.0649100000001</v>
      </c>
      <c r="Y144" s="47">
        <f>SUM(Y145:Y146)</f>
        <v>0</v>
      </c>
      <c r="Z144" s="47">
        <f t="shared" ref="Z144:AN144" si="128">SUM(Z145:Z146)</f>
        <v>0</v>
      </c>
      <c r="AA144" s="47">
        <f t="shared" si="128"/>
        <v>0</v>
      </c>
      <c r="AB144" s="47">
        <f t="shared" si="128"/>
        <v>0</v>
      </c>
      <c r="AC144" s="47">
        <f t="shared" si="128"/>
        <v>0</v>
      </c>
      <c r="AD144" s="47">
        <f t="shared" si="128"/>
        <v>0</v>
      </c>
      <c r="AE144" s="47">
        <f t="shared" si="128"/>
        <v>0</v>
      </c>
      <c r="AF144" s="47">
        <f t="shared" si="128"/>
        <v>0</v>
      </c>
      <c r="AG144" s="47">
        <f t="shared" si="128"/>
        <v>0</v>
      </c>
      <c r="AH144" s="47">
        <f t="shared" si="128"/>
        <v>0</v>
      </c>
      <c r="AI144" s="47">
        <f t="shared" si="128"/>
        <v>0</v>
      </c>
      <c r="AJ144" s="47">
        <f t="shared" si="128"/>
        <v>0</v>
      </c>
      <c r="AK144" s="47">
        <f t="shared" si="128"/>
        <v>0</v>
      </c>
      <c r="AL144" s="47">
        <f t="shared" si="128"/>
        <v>0</v>
      </c>
      <c r="AM144" s="47">
        <f t="shared" si="128"/>
        <v>0</v>
      </c>
      <c r="AN144" s="47">
        <f t="shared" si="128"/>
        <v>0</v>
      </c>
      <c r="AO144" s="397"/>
    </row>
    <row r="145" spans="1:41" s="266" customFormat="1" ht="26.25" hidden="1" customHeight="1" x14ac:dyDescent="0.25">
      <c r="A145" s="1378"/>
      <c r="B145" s="252" t="s">
        <v>399</v>
      </c>
      <c r="C145" s="363"/>
      <c r="D145" s="363"/>
      <c r="E145" s="363"/>
      <c r="F145" s="363"/>
      <c r="G145" s="363"/>
      <c r="H145" s="364"/>
      <c r="I145" s="484"/>
      <c r="J145" s="258"/>
      <c r="K145" s="96"/>
      <c r="L145" s="47"/>
      <c r="M145" s="96"/>
      <c r="N145" s="96"/>
      <c r="O145" s="96"/>
      <c r="P145" s="47"/>
      <c r="Q145" s="96">
        <f>Y145</f>
        <v>0</v>
      </c>
      <c r="R145" s="96"/>
      <c r="S145" s="96"/>
      <c r="T145" s="96"/>
      <c r="U145" s="96"/>
      <c r="V145" s="96"/>
      <c r="W145" s="96"/>
      <c r="X145" s="96"/>
      <c r="Y145" s="96">
        <v>0</v>
      </c>
      <c r="Z145" s="96">
        <f>AD145</f>
        <v>0</v>
      </c>
      <c r="AA145" s="96"/>
      <c r="AB145" s="96"/>
      <c r="AC145" s="96"/>
      <c r="AD145" s="96">
        <v>0</v>
      </c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405"/>
    </row>
    <row r="146" spans="1:41" s="266" customFormat="1" ht="30" hidden="1" customHeight="1" x14ac:dyDescent="0.25">
      <c r="A146" s="1378"/>
      <c r="B146" s="252" t="s">
        <v>267</v>
      </c>
      <c r="C146" s="363"/>
      <c r="D146" s="363"/>
      <c r="E146" s="363"/>
      <c r="F146" s="363"/>
      <c r="G146" s="363"/>
      <c r="H146" s="364"/>
      <c r="I146" s="484"/>
      <c r="J146" s="258"/>
      <c r="K146" s="96"/>
      <c r="L146" s="47"/>
      <c r="M146" s="96"/>
      <c r="N146" s="96"/>
      <c r="O146" s="96"/>
      <c r="P146" s="47"/>
      <c r="Q146" s="96">
        <f>Y146</f>
        <v>0</v>
      </c>
      <c r="R146" s="96"/>
      <c r="S146" s="96"/>
      <c r="T146" s="96"/>
      <c r="U146" s="96"/>
      <c r="V146" s="96"/>
      <c r="W146" s="96"/>
      <c r="X146" s="96"/>
      <c r="Y146" s="96">
        <v>0</v>
      </c>
      <c r="Z146" s="96">
        <f>AD146</f>
        <v>0</v>
      </c>
      <c r="AA146" s="96"/>
      <c r="AB146" s="96"/>
      <c r="AC146" s="96"/>
      <c r="AD146" s="96">
        <v>0</v>
      </c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405"/>
    </row>
    <row r="147" spans="1:41" s="285" customFormat="1" ht="18.75" customHeight="1" x14ac:dyDescent="0.25">
      <c r="A147" s="1378"/>
      <c r="B147" s="42" t="s">
        <v>213</v>
      </c>
      <c r="C147" s="313"/>
      <c r="D147" s="313"/>
      <c r="E147" s="313"/>
      <c r="F147" s="313"/>
      <c r="G147" s="313"/>
      <c r="H147" s="702"/>
      <c r="I147" s="707"/>
      <c r="J147" s="701"/>
      <c r="K147" s="47"/>
      <c r="L147" s="47">
        <v>2312.4299999999998</v>
      </c>
      <c r="M147" s="47"/>
      <c r="N147" s="47"/>
      <c r="O147" s="47"/>
      <c r="P147" s="47">
        <v>2312.4299999999998</v>
      </c>
      <c r="Q147" s="47">
        <f>Q148</f>
        <v>4695.9492399999999</v>
      </c>
      <c r="R147" s="47">
        <f t="shared" ref="R147:AD147" si="129">R148</f>
        <v>0</v>
      </c>
      <c r="S147" s="47">
        <f t="shared" si="129"/>
        <v>0</v>
      </c>
      <c r="T147" s="47">
        <f t="shared" si="129"/>
        <v>0</v>
      </c>
      <c r="U147" s="47">
        <f t="shared" si="129"/>
        <v>0</v>
      </c>
      <c r="V147" s="47">
        <v>2312.4299999999998</v>
      </c>
      <c r="W147" s="47">
        <f t="shared" si="129"/>
        <v>441.88432999999998</v>
      </c>
      <c r="X147" s="47">
        <f>Y147</f>
        <v>4254.0649100000001</v>
      </c>
      <c r="Y147" s="47">
        <f t="shared" si="129"/>
        <v>4254.0649100000001</v>
      </c>
      <c r="Z147" s="47">
        <f t="shared" si="129"/>
        <v>4695.9492399999999</v>
      </c>
      <c r="AA147" s="47">
        <f t="shared" si="129"/>
        <v>0</v>
      </c>
      <c r="AB147" s="47">
        <f t="shared" si="129"/>
        <v>0</v>
      </c>
      <c r="AC147" s="47">
        <f t="shared" si="129"/>
        <v>1041.8843300000001</v>
      </c>
      <c r="AD147" s="47">
        <f t="shared" si="129"/>
        <v>3654.0649100000001</v>
      </c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397"/>
    </row>
    <row r="148" spans="1:41" s="266" customFormat="1" ht="18" customHeight="1" x14ac:dyDescent="0.25">
      <c r="A148" s="365"/>
      <c r="B148" s="252" t="s">
        <v>474</v>
      </c>
      <c r="C148" s="363"/>
      <c r="D148" s="363"/>
      <c r="E148" s="363"/>
      <c r="F148" s="363"/>
      <c r="G148" s="363"/>
      <c r="H148" s="364"/>
      <c r="I148" s="484"/>
      <c r="J148" s="258"/>
      <c r="K148" s="96"/>
      <c r="L148" s="96"/>
      <c r="M148" s="96"/>
      <c r="N148" s="96"/>
      <c r="O148" s="96"/>
      <c r="P148" s="96"/>
      <c r="Q148" s="96">
        <f>W148+Y148</f>
        <v>4695.9492399999999</v>
      </c>
      <c r="R148" s="96"/>
      <c r="S148" s="96"/>
      <c r="T148" s="96"/>
      <c r="U148" s="96"/>
      <c r="V148" s="96">
        <v>441.88432999999998</v>
      </c>
      <c r="W148" s="96">
        <v>441.88432999999998</v>
      </c>
      <c r="X148" s="96"/>
      <c r="Y148" s="96">
        <f>600+380.35079+300+473.71412+2500</f>
        <v>4254.0649100000001</v>
      </c>
      <c r="Z148" s="96">
        <f>AC148+AD148</f>
        <v>4695.9492399999999</v>
      </c>
      <c r="AA148" s="96"/>
      <c r="AB148" s="96"/>
      <c r="AC148" s="96">
        <v>1041.8843300000001</v>
      </c>
      <c r="AD148" s="96">
        <f>680.35079+2973.71412</f>
        <v>3654.0649100000001</v>
      </c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405"/>
    </row>
    <row r="149" spans="1:41" s="266" customFormat="1" ht="18" customHeight="1" x14ac:dyDescent="0.25">
      <c r="A149" s="365"/>
      <c r="B149" s="252"/>
      <c r="C149" s="363"/>
      <c r="D149" s="363"/>
      <c r="E149" s="363"/>
      <c r="F149" s="363"/>
      <c r="G149" s="363"/>
      <c r="H149" s="364"/>
      <c r="I149" s="484"/>
      <c r="J149" s="258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405"/>
    </row>
    <row r="150" spans="1:41" s="285" customFormat="1" ht="67.5" customHeight="1" x14ac:dyDescent="0.25">
      <c r="A150" s="1372" t="s">
        <v>360</v>
      </c>
      <c r="B150" s="80" t="s">
        <v>361</v>
      </c>
      <c r="C150" s="315"/>
      <c r="D150" s="315"/>
      <c r="E150" s="315"/>
      <c r="F150" s="315"/>
      <c r="G150" s="316"/>
      <c r="H150" s="317"/>
      <c r="I150" s="1326" t="s">
        <v>20</v>
      </c>
      <c r="J150" s="284"/>
      <c r="K150" s="162"/>
      <c r="L150" s="79">
        <f>L151+L154</f>
        <v>3502.5499999999997</v>
      </c>
      <c r="M150" s="79">
        <f t="shared" ref="M150" si="130">M151+M154</f>
        <v>0</v>
      </c>
      <c r="N150" s="79">
        <f t="shared" ref="N150" si="131">N151+N154</f>
        <v>10150</v>
      </c>
      <c r="O150" s="79">
        <f t="shared" ref="O150" si="132">O151+O154</f>
        <v>0</v>
      </c>
      <c r="P150" s="79">
        <f t="shared" ref="P150" si="133">P151+P154</f>
        <v>3423.47</v>
      </c>
      <c r="Q150" s="79">
        <f t="shared" ref="Q150" si="134">Q151+Q154</f>
        <v>3400.50812</v>
      </c>
      <c r="R150" s="79">
        <f t="shared" ref="R150" si="135">R151+R154</f>
        <v>0</v>
      </c>
      <c r="S150" s="79">
        <f t="shared" ref="S150" si="136">S151+S154</f>
        <v>0</v>
      </c>
      <c r="T150" s="79">
        <f t="shared" ref="T150" si="137">T151+T154</f>
        <v>0</v>
      </c>
      <c r="U150" s="79">
        <f t="shared" ref="U150" si="138">U151+U154</f>
        <v>0</v>
      </c>
      <c r="V150" s="79">
        <f>V151+V154</f>
        <v>3423.47</v>
      </c>
      <c r="W150" s="79">
        <f t="shared" ref="W150" si="139">W151+W154</f>
        <v>0</v>
      </c>
      <c r="X150" s="79">
        <f t="shared" ref="X150" si="140">X151+X154</f>
        <v>6801.0162399999999</v>
      </c>
      <c r="Y150" s="79">
        <f t="shared" ref="Y150" si="141">Y151+Y154</f>
        <v>3400.50812</v>
      </c>
      <c r="Z150" s="79">
        <f>Z151+Z154</f>
        <v>3400.5071200000002</v>
      </c>
      <c r="AA150" s="79">
        <f t="shared" ref="AA150:AD150" si="142">AA151+AA154</f>
        <v>0</v>
      </c>
      <c r="AB150" s="79">
        <f t="shared" si="142"/>
        <v>0</v>
      </c>
      <c r="AC150" s="79">
        <f t="shared" si="142"/>
        <v>552.02575000000002</v>
      </c>
      <c r="AD150" s="79">
        <f t="shared" si="142"/>
        <v>2848.48137</v>
      </c>
      <c r="AE150" s="79">
        <f t="shared" ref="AE150" si="143">AE151+AE154</f>
        <v>0</v>
      </c>
      <c r="AF150" s="79">
        <f t="shared" ref="AF150" si="144">AF151+AF154</f>
        <v>0</v>
      </c>
      <c r="AG150" s="79">
        <f t="shared" ref="AG150" si="145">AG151+AG154</f>
        <v>0</v>
      </c>
      <c r="AH150" s="79">
        <f t="shared" ref="AH150" si="146">AH151+AH154</f>
        <v>0</v>
      </c>
      <c r="AI150" s="79">
        <f t="shared" ref="AI150" si="147">AI151+AI154</f>
        <v>0</v>
      </c>
      <c r="AJ150" s="79">
        <f>P150-Q150</f>
        <v>22.961879999999837</v>
      </c>
      <c r="AK150" s="79">
        <f>AJ150</f>
        <v>22.961879999999837</v>
      </c>
      <c r="AL150" s="79">
        <f t="shared" ref="AL150" si="148">AL151+AL154</f>
        <v>0</v>
      </c>
      <c r="AM150" s="79">
        <f t="shared" ref="AM150" si="149">AM151+AM154</f>
        <v>0</v>
      </c>
      <c r="AN150" s="79">
        <f t="shared" ref="AN150" si="150">AN151+AN154</f>
        <v>0</v>
      </c>
      <c r="AO150" s="404" t="s">
        <v>421</v>
      </c>
    </row>
    <row r="151" spans="1:41" s="285" customFormat="1" ht="17.25" customHeight="1" x14ac:dyDescent="0.25">
      <c r="A151" s="1378"/>
      <c r="B151" s="42" t="s">
        <v>285</v>
      </c>
      <c r="C151" s="313"/>
      <c r="D151" s="313"/>
      <c r="E151" s="313"/>
      <c r="F151" s="313"/>
      <c r="G151" s="313"/>
      <c r="H151" s="706"/>
      <c r="I151" s="1373"/>
      <c r="J151" s="705"/>
      <c r="K151" s="47"/>
      <c r="L151" s="47">
        <v>568.08000000000004</v>
      </c>
      <c r="M151" s="47">
        <v>0</v>
      </c>
      <c r="N151" s="47">
        <v>10150</v>
      </c>
      <c r="O151" s="47">
        <v>0</v>
      </c>
      <c r="P151" s="47">
        <v>489</v>
      </c>
      <c r="Q151" s="47">
        <f>Q152+Q153</f>
        <v>0</v>
      </c>
      <c r="R151" s="47">
        <f t="shared" ref="R151:X151" si="151">R154</f>
        <v>0</v>
      </c>
      <c r="S151" s="47">
        <f t="shared" si="151"/>
        <v>0</v>
      </c>
      <c r="T151" s="47">
        <f t="shared" si="151"/>
        <v>0</v>
      </c>
      <c r="U151" s="47">
        <f t="shared" si="151"/>
        <v>0</v>
      </c>
      <c r="V151" s="47">
        <v>489</v>
      </c>
      <c r="W151" s="47">
        <f t="shared" si="151"/>
        <v>0</v>
      </c>
      <c r="X151" s="47">
        <f t="shared" si="151"/>
        <v>3400.50812</v>
      </c>
      <c r="Y151" s="47">
        <f>SUM(Y152:Y153)</f>
        <v>0</v>
      </c>
      <c r="Z151" s="47">
        <f t="shared" ref="Z151" si="152">SUM(Z152:Z153)</f>
        <v>0</v>
      </c>
      <c r="AA151" s="47">
        <f t="shared" ref="AA151" si="153">SUM(AA152:AA153)</f>
        <v>0</v>
      </c>
      <c r="AB151" s="47">
        <f t="shared" ref="AB151" si="154">SUM(AB152:AB153)</f>
        <v>0</v>
      </c>
      <c r="AC151" s="47">
        <f t="shared" ref="AC151" si="155">SUM(AC152:AC153)</f>
        <v>0</v>
      </c>
      <c r="AD151" s="47">
        <f t="shared" ref="AD151" si="156">SUM(AD152:AD153)</f>
        <v>0</v>
      </c>
      <c r="AE151" s="47">
        <f t="shared" ref="AE151" si="157">SUM(AE152:AE153)</f>
        <v>0</v>
      </c>
      <c r="AF151" s="47">
        <f t="shared" ref="AF151" si="158">SUM(AF152:AF153)</f>
        <v>0</v>
      </c>
      <c r="AG151" s="47">
        <f t="shared" ref="AG151" si="159">SUM(AG152:AG153)</f>
        <v>0</v>
      </c>
      <c r="AH151" s="47">
        <f t="shared" ref="AH151" si="160">SUM(AH152:AH153)</f>
        <v>0</v>
      </c>
      <c r="AI151" s="47">
        <f t="shared" ref="AI151" si="161">SUM(AI152:AI153)</f>
        <v>0</v>
      </c>
      <c r="AJ151" s="47">
        <f t="shared" ref="AJ151" si="162">SUM(AJ152:AJ153)</f>
        <v>0</v>
      </c>
      <c r="AK151" s="47">
        <f t="shared" ref="AK151" si="163">SUM(AK152:AK153)</f>
        <v>0</v>
      </c>
      <c r="AL151" s="47">
        <f t="shared" ref="AL151" si="164">SUM(AL152:AL153)</f>
        <v>0</v>
      </c>
      <c r="AM151" s="47">
        <f t="shared" ref="AM151" si="165">SUM(AM152:AM153)</f>
        <v>0</v>
      </c>
      <c r="AN151" s="47">
        <f t="shared" ref="AN151" si="166">SUM(AN152:AN153)</f>
        <v>0</v>
      </c>
      <c r="AO151" s="397"/>
    </row>
    <row r="152" spans="1:41" s="266" customFormat="1" ht="26.25" hidden="1" customHeight="1" x14ac:dyDescent="0.25">
      <c r="A152" s="1378"/>
      <c r="B152" s="252" t="s">
        <v>399</v>
      </c>
      <c r="C152" s="363"/>
      <c r="D152" s="363"/>
      <c r="E152" s="363"/>
      <c r="F152" s="363"/>
      <c r="G152" s="363"/>
      <c r="H152" s="364"/>
      <c r="I152" s="484"/>
      <c r="J152" s="258"/>
      <c r="K152" s="96"/>
      <c r="L152" s="47"/>
      <c r="M152" s="96"/>
      <c r="N152" s="96"/>
      <c r="O152" s="96"/>
      <c r="P152" s="47"/>
      <c r="Q152" s="96">
        <f>Y152</f>
        <v>0</v>
      </c>
      <c r="R152" s="96"/>
      <c r="S152" s="96"/>
      <c r="T152" s="96"/>
      <c r="U152" s="96"/>
      <c r="V152" s="96"/>
      <c r="W152" s="96"/>
      <c r="X152" s="96"/>
      <c r="Y152" s="96">
        <v>0</v>
      </c>
      <c r="Z152" s="96">
        <f>AD152</f>
        <v>0</v>
      </c>
      <c r="AA152" s="96"/>
      <c r="AB152" s="96"/>
      <c r="AC152" s="96"/>
      <c r="AD152" s="96">
        <v>0</v>
      </c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405"/>
    </row>
    <row r="153" spans="1:41" s="266" customFormat="1" ht="30" hidden="1" customHeight="1" x14ac:dyDescent="0.25">
      <c r="A153" s="1378"/>
      <c r="B153" s="252" t="s">
        <v>267</v>
      </c>
      <c r="C153" s="363"/>
      <c r="D153" s="363"/>
      <c r="E153" s="363"/>
      <c r="F153" s="363"/>
      <c r="G153" s="363"/>
      <c r="H153" s="364"/>
      <c r="I153" s="484"/>
      <c r="J153" s="258"/>
      <c r="K153" s="96"/>
      <c r="L153" s="47"/>
      <c r="M153" s="96"/>
      <c r="N153" s="96"/>
      <c r="O153" s="96"/>
      <c r="P153" s="47"/>
      <c r="Q153" s="96">
        <f>Y153</f>
        <v>0</v>
      </c>
      <c r="R153" s="96"/>
      <c r="S153" s="96"/>
      <c r="T153" s="96"/>
      <c r="U153" s="96"/>
      <c r="V153" s="96"/>
      <c r="W153" s="96"/>
      <c r="X153" s="96"/>
      <c r="Y153" s="96">
        <v>0</v>
      </c>
      <c r="Z153" s="96">
        <f>AD153</f>
        <v>0</v>
      </c>
      <c r="AA153" s="96"/>
      <c r="AB153" s="96"/>
      <c r="AC153" s="96"/>
      <c r="AD153" s="96">
        <v>0</v>
      </c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405"/>
    </row>
    <row r="154" spans="1:41" s="285" customFormat="1" ht="18" customHeight="1" x14ac:dyDescent="0.25">
      <c r="A154" s="1378"/>
      <c r="B154" s="42" t="s">
        <v>213</v>
      </c>
      <c r="C154" s="313"/>
      <c r="D154" s="313"/>
      <c r="E154" s="313"/>
      <c r="F154" s="313"/>
      <c r="G154" s="313"/>
      <c r="H154" s="702"/>
      <c r="I154" s="707"/>
      <c r="J154" s="701"/>
      <c r="K154" s="47"/>
      <c r="L154" s="47">
        <v>2934.47</v>
      </c>
      <c r="M154" s="47"/>
      <c r="N154" s="47"/>
      <c r="O154" s="47"/>
      <c r="P154" s="47">
        <v>2934.47</v>
      </c>
      <c r="Q154" s="47">
        <f>Q155</f>
        <v>3400.50812</v>
      </c>
      <c r="R154" s="47">
        <f t="shared" ref="R154:AD154" si="167">R155</f>
        <v>0</v>
      </c>
      <c r="S154" s="47">
        <f t="shared" si="167"/>
        <v>0</v>
      </c>
      <c r="T154" s="47">
        <f t="shared" si="167"/>
        <v>0</v>
      </c>
      <c r="U154" s="47">
        <f t="shared" si="167"/>
        <v>0</v>
      </c>
      <c r="V154" s="47">
        <v>2934.47</v>
      </c>
      <c r="W154" s="47">
        <f t="shared" si="167"/>
        <v>0</v>
      </c>
      <c r="X154" s="47">
        <f>Y154</f>
        <v>3400.50812</v>
      </c>
      <c r="Y154" s="47">
        <f t="shared" si="167"/>
        <v>3400.50812</v>
      </c>
      <c r="Z154" s="47">
        <f t="shared" si="167"/>
        <v>3400.5071200000002</v>
      </c>
      <c r="AA154" s="47">
        <f t="shared" si="167"/>
        <v>0</v>
      </c>
      <c r="AB154" s="47">
        <f t="shared" si="167"/>
        <v>0</v>
      </c>
      <c r="AC154" s="47">
        <f t="shared" si="167"/>
        <v>552.02575000000002</v>
      </c>
      <c r="AD154" s="47">
        <f t="shared" si="167"/>
        <v>2848.48137</v>
      </c>
      <c r="AE154" s="47">
        <v>0</v>
      </c>
      <c r="AF154" s="47"/>
      <c r="AG154" s="47"/>
      <c r="AH154" s="47"/>
      <c r="AI154" s="47">
        <v>0</v>
      </c>
      <c r="AJ154" s="47">
        <v>0</v>
      </c>
      <c r="AK154" s="47">
        <v>0</v>
      </c>
      <c r="AL154" s="47">
        <v>0</v>
      </c>
      <c r="AM154" s="47">
        <v>0</v>
      </c>
      <c r="AN154" s="47">
        <v>0</v>
      </c>
      <c r="AO154" s="397"/>
    </row>
    <row r="155" spans="1:41" s="266" customFormat="1" ht="18" customHeight="1" x14ac:dyDescent="0.25">
      <c r="A155" s="365"/>
      <c r="B155" s="252" t="s">
        <v>473</v>
      </c>
      <c r="C155" s="363"/>
      <c r="D155" s="363"/>
      <c r="E155" s="363"/>
      <c r="F155" s="363"/>
      <c r="G155" s="363"/>
      <c r="H155" s="364"/>
      <c r="I155" s="484"/>
      <c r="J155" s="258"/>
      <c r="K155" s="96"/>
      <c r="L155" s="96"/>
      <c r="M155" s="96"/>
      <c r="N155" s="96"/>
      <c r="O155" s="96"/>
      <c r="P155" s="96"/>
      <c r="Q155" s="96">
        <f>W155+Y155</f>
        <v>3400.50812</v>
      </c>
      <c r="R155" s="96"/>
      <c r="S155" s="96"/>
      <c r="T155" s="96"/>
      <c r="U155" s="96"/>
      <c r="V155" s="96"/>
      <c r="W155" s="96">
        <v>0</v>
      </c>
      <c r="X155" s="96"/>
      <c r="Y155" s="96">
        <f>552.02575+1233.50382+1614.97855</f>
        <v>3400.50812</v>
      </c>
      <c r="Z155" s="96">
        <f>AC155+AD155</f>
        <v>3400.5071200000002</v>
      </c>
      <c r="AA155" s="96"/>
      <c r="AB155" s="96"/>
      <c r="AC155" s="96">
        <v>552.02575000000002</v>
      </c>
      <c r="AD155" s="96">
        <f>1233.50282+1614.97855</f>
        <v>2848.48137</v>
      </c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405"/>
    </row>
    <row r="156" spans="1:41" s="266" customFormat="1" ht="18" customHeight="1" x14ac:dyDescent="0.25">
      <c r="A156" s="365"/>
      <c r="B156" s="252"/>
      <c r="C156" s="363"/>
      <c r="D156" s="363"/>
      <c r="E156" s="363"/>
      <c r="F156" s="363"/>
      <c r="G156" s="363"/>
      <c r="H156" s="364"/>
      <c r="I156" s="484"/>
      <c r="J156" s="258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405"/>
    </row>
    <row r="157" spans="1:41" ht="54" customHeight="1" x14ac:dyDescent="0.25">
      <c r="A157" s="1332" t="s">
        <v>60</v>
      </c>
      <c r="B157" s="1335" t="s">
        <v>45</v>
      </c>
      <c r="C157" s="1336"/>
      <c r="D157" s="1336"/>
      <c r="E157" s="1336"/>
      <c r="F157" s="1336"/>
      <c r="G157" s="1336"/>
      <c r="H157" s="1337"/>
      <c r="I157" s="15" t="s">
        <v>19</v>
      </c>
      <c r="J157" s="16">
        <v>0</v>
      </c>
      <c r="K157" s="16">
        <f>K160</f>
        <v>0</v>
      </c>
      <c r="L157" s="16">
        <f>M157+N157+O157</f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398"/>
    </row>
    <row r="158" spans="1:41" ht="42.75" customHeight="1" x14ac:dyDescent="0.25">
      <c r="A158" s="1333"/>
      <c r="B158" s="1338"/>
      <c r="C158" s="1339"/>
      <c r="D158" s="1339"/>
      <c r="E158" s="1339"/>
      <c r="F158" s="1339"/>
      <c r="G158" s="1339"/>
      <c r="H158" s="1340"/>
      <c r="I158" s="15" t="s">
        <v>20</v>
      </c>
      <c r="J158" s="16">
        <f>J161</f>
        <v>4106.3500000000004</v>
      </c>
      <c r="K158" s="16">
        <v>0</v>
      </c>
      <c r="L158" s="16">
        <f>L161</f>
        <v>6022.96</v>
      </c>
      <c r="M158" s="16">
        <f>M161</f>
        <v>0</v>
      </c>
      <c r="N158" s="22">
        <f>N161</f>
        <v>980</v>
      </c>
      <c r="O158" s="16">
        <f>O161</f>
        <v>0</v>
      </c>
      <c r="P158" s="22">
        <f t="shared" ref="P158:AN158" si="168">P161</f>
        <v>420.48</v>
      </c>
      <c r="Q158" s="22">
        <f t="shared" si="168"/>
        <v>24.7</v>
      </c>
      <c r="R158" s="22">
        <f t="shared" si="168"/>
        <v>0</v>
      </c>
      <c r="S158" s="22">
        <f t="shared" si="168"/>
        <v>0</v>
      </c>
      <c r="T158" s="22">
        <f t="shared" si="168"/>
        <v>0</v>
      </c>
      <c r="U158" s="22">
        <f t="shared" si="168"/>
        <v>0</v>
      </c>
      <c r="V158" s="22">
        <f t="shared" si="168"/>
        <v>0</v>
      </c>
      <c r="W158" s="22">
        <f t="shared" si="168"/>
        <v>0</v>
      </c>
      <c r="X158" s="22">
        <f t="shared" si="168"/>
        <v>24.7</v>
      </c>
      <c r="Y158" s="22">
        <f>Y161</f>
        <v>24.7</v>
      </c>
      <c r="Z158" s="22">
        <f t="shared" si="168"/>
        <v>0</v>
      </c>
      <c r="AA158" s="22">
        <f t="shared" si="168"/>
        <v>0</v>
      </c>
      <c r="AB158" s="22">
        <f>AB161</f>
        <v>0</v>
      </c>
      <c r="AC158" s="22">
        <f>AC161</f>
        <v>0</v>
      </c>
      <c r="AD158" s="22">
        <f>AD161</f>
        <v>0</v>
      </c>
      <c r="AE158" s="22">
        <f t="shared" si="168"/>
        <v>0</v>
      </c>
      <c r="AF158" s="22">
        <f>AF161</f>
        <v>0</v>
      </c>
      <c r="AG158" s="22">
        <f>AG161</f>
        <v>0</v>
      </c>
      <c r="AH158" s="22">
        <f>AH161</f>
        <v>0</v>
      </c>
      <c r="AI158" s="22">
        <f>AI161</f>
        <v>0</v>
      </c>
      <c r="AJ158" s="22">
        <f t="shared" si="168"/>
        <v>395.78000000000003</v>
      </c>
      <c r="AK158" s="22">
        <f t="shared" si="168"/>
        <v>395.78000000000003</v>
      </c>
      <c r="AL158" s="22">
        <f t="shared" si="168"/>
        <v>5.87</v>
      </c>
      <c r="AM158" s="22">
        <f t="shared" si="168"/>
        <v>0</v>
      </c>
      <c r="AN158" s="22">
        <f t="shared" si="168"/>
        <v>0</v>
      </c>
      <c r="AO158" s="398"/>
    </row>
    <row r="159" spans="1:41" ht="25.5" x14ac:dyDescent="0.25">
      <c r="A159" s="1333"/>
      <c r="B159" s="1338"/>
      <c r="C159" s="1339"/>
      <c r="D159" s="1339"/>
      <c r="E159" s="1339"/>
      <c r="F159" s="1339"/>
      <c r="G159" s="1339"/>
      <c r="H159" s="1340"/>
      <c r="I159" s="15" t="s">
        <v>10</v>
      </c>
      <c r="J159" s="16">
        <v>0</v>
      </c>
      <c r="K159" s="16">
        <v>0</v>
      </c>
      <c r="L159" s="16">
        <f>M159+N159+O159</f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398"/>
    </row>
    <row r="160" spans="1:41" ht="156.75" customHeight="1" x14ac:dyDescent="0.25">
      <c r="A160" s="1334"/>
      <c r="B160" s="1341"/>
      <c r="C160" s="1342"/>
      <c r="D160" s="1342"/>
      <c r="E160" s="1342"/>
      <c r="F160" s="1342"/>
      <c r="G160" s="1342"/>
      <c r="H160" s="1343"/>
      <c r="I160" s="15" t="s">
        <v>9</v>
      </c>
      <c r="J160" s="16">
        <v>0</v>
      </c>
      <c r="K160" s="16"/>
      <c r="L160" s="16">
        <f>M160+N160+O160</f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398"/>
    </row>
    <row r="161" spans="1:41" ht="39.75" customHeight="1" x14ac:dyDescent="0.25">
      <c r="A161" s="1372" t="s">
        <v>61</v>
      </c>
      <c r="B161" s="75" t="s">
        <v>88</v>
      </c>
      <c r="C161" s="46"/>
      <c r="D161" s="46"/>
      <c r="E161" s="46"/>
      <c r="F161" s="46"/>
      <c r="G161" s="46"/>
      <c r="H161" s="46"/>
      <c r="I161" s="1445" t="s">
        <v>20</v>
      </c>
      <c r="J161" s="1442">
        <v>4106.3500000000004</v>
      </c>
      <c r="K161" s="16">
        <v>0</v>
      </c>
      <c r="L161" s="79">
        <f>L162+L165</f>
        <v>6022.96</v>
      </c>
      <c r="M161" s="79">
        <f>M162+M165</f>
        <v>0</v>
      </c>
      <c r="N161" s="79">
        <f>N162+N165</f>
        <v>980</v>
      </c>
      <c r="O161" s="79">
        <f>O162+O165</f>
        <v>0</v>
      </c>
      <c r="P161" s="79">
        <f>P162+P165</f>
        <v>420.48</v>
      </c>
      <c r="Q161" s="79">
        <f t="shared" ref="Q161:AN161" si="169">Q162+Q165</f>
        <v>24.7</v>
      </c>
      <c r="R161" s="79">
        <f t="shared" si="169"/>
        <v>0</v>
      </c>
      <c r="S161" s="79">
        <f t="shared" si="169"/>
        <v>0</v>
      </c>
      <c r="T161" s="79">
        <f t="shared" si="169"/>
        <v>0</v>
      </c>
      <c r="U161" s="79">
        <f t="shared" si="169"/>
        <v>0</v>
      </c>
      <c r="V161" s="79">
        <f t="shared" si="169"/>
        <v>0</v>
      </c>
      <c r="W161" s="79">
        <f t="shared" si="169"/>
        <v>0</v>
      </c>
      <c r="X161" s="79">
        <f t="shared" si="169"/>
        <v>24.7</v>
      </c>
      <c r="Y161" s="79">
        <f t="shared" si="169"/>
        <v>24.7</v>
      </c>
      <c r="Z161" s="79">
        <f t="shared" si="169"/>
        <v>0</v>
      </c>
      <c r="AA161" s="79">
        <f>AA162+AA165</f>
        <v>0</v>
      </c>
      <c r="AB161" s="79">
        <f>AB162+AB165</f>
        <v>0</v>
      </c>
      <c r="AC161" s="79">
        <f>AC162+AC165</f>
        <v>0</v>
      </c>
      <c r="AD161" s="79">
        <f>AD162+AD165</f>
        <v>0</v>
      </c>
      <c r="AE161" s="79">
        <f t="shared" si="169"/>
        <v>0</v>
      </c>
      <c r="AF161" s="79">
        <f t="shared" si="169"/>
        <v>0</v>
      </c>
      <c r="AG161" s="79">
        <f t="shared" si="169"/>
        <v>0</v>
      </c>
      <c r="AH161" s="79">
        <f>AH162+AH165</f>
        <v>0</v>
      </c>
      <c r="AI161" s="79">
        <f>AI162+AI165</f>
        <v>0</v>
      </c>
      <c r="AJ161" s="79">
        <f>P161-Q161</f>
        <v>395.78000000000003</v>
      </c>
      <c r="AK161" s="79">
        <f>AJ161</f>
        <v>395.78000000000003</v>
      </c>
      <c r="AL161" s="76">
        <f>ROUND((Q161*100%/P161*100),2)</f>
        <v>5.87</v>
      </c>
      <c r="AM161" s="79">
        <f t="shared" si="169"/>
        <v>0</v>
      </c>
      <c r="AN161" s="79">
        <f t="shared" si="169"/>
        <v>0</v>
      </c>
      <c r="AO161" s="404" t="s">
        <v>420</v>
      </c>
    </row>
    <row r="162" spans="1:41" x14ac:dyDescent="0.25">
      <c r="A162" s="1382"/>
      <c r="B162" s="23" t="s">
        <v>15</v>
      </c>
      <c r="C162" s="46"/>
      <c r="D162" s="46"/>
      <c r="E162" s="46"/>
      <c r="F162" s="46"/>
      <c r="G162" s="272">
        <v>2019</v>
      </c>
      <c r="H162" s="272">
        <v>2019</v>
      </c>
      <c r="I162" s="1484"/>
      <c r="J162" s="1443"/>
      <c r="K162" s="22"/>
      <c r="L162" s="22">
        <v>1000</v>
      </c>
      <c r="M162" s="47">
        <v>0</v>
      </c>
      <c r="N162" s="47">
        <v>980</v>
      </c>
      <c r="O162" s="47">
        <v>0</v>
      </c>
      <c r="P162" s="47">
        <v>0</v>
      </c>
      <c r="Q162" s="47">
        <f t="shared" ref="Q162:Z162" si="170">Q163+Q164</f>
        <v>0</v>
      </c>
      <c r="R162" s="47">
        <f t="shared" si="170"/>
        <v>0</v>
      </c>
      <c r="S162" s="47">
        <f t="shared" si="170"/>
        <v>0</v>
      </c>
      <c r="T162" s="47">
        <f t="shared" si="170"/>
        <v>0</v>
      </c>
      <c r="U162" s="47">
        <f t="shared" si="170"/>
        <v>0</v>
      </c>
      <c r="V162" s="47">
        <f t="shared" si="170"/>
        <v>0</v>
      </c>
      <c r="W162" s="47">
        <f t="shared" si="170"/>
        <v>0</v>
      </c>
      <c r="X162" s="47">
        <f t="shared" si="170"/>
        <v>0</v>
      </c>
      <c r="Y162" s="47">
        <f t="shared" si="170"/>
        <v>0</v>
      </c>
      <c r="Z162" s="47">
        <f t="shared" si="170"/>
        <v>0</v>
      </c>
      <c r="AA162" s="47">
        <f>AA163+AA164</f>
        <v>0</v>
      </c>
      <c r="AB162" s="47">
        <f>AB163+AB164</f>
        <v>0</v>
      </c>
      <c r="AC162" s="47">
        <f>AC163+AC164</f>
        <v>0</v>
      </c>
      <c r="AD162" s="47">
        <f>AD163+AD164</f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397"/>
    </row>
    <row r="163" spans="1:41" s="97" customFormat="1" hidden="1" x14ac:dyDescent="0.25">
      <c r="A163" s="1382"/>
      <c r="B163" s="443" t="s">
        <v>251</v>
      </c>
      <c r="C163" s="444"/>
      <c r="D163" s="444"/>
      <c r="E163" s="444"/>
      <c r="F163" s="444"/>
      <c r="G163" s="262"/>
      <c r="H163" s="262"/>
      <c r="I163" s="1484"/>
      <c r="J163" s="1443"/>
      <c r="K163" s="165"/>
      <c r="L163" s="22"/>
      <c r="M163" s="96"/>
      <c r="N163" s="96"/>
      <c r="O163" s="96"/>
      <c r="P163" s="47">
        <v>0</v>
      </c>
      <c r="Q163" s="96">
        <f>S163+U163</f>
        <v>0</v>
      </c>
      <c r="R163" s="96">
        <v>0</v>
      </c>
      <c r="S163" s="96">
        <v>0</v>
      </c>
      <c r="T163" s="96">
        <f>U163</f>
        <v>0</v>
      </c>
      <c r="U163" s="96">
        <v>0</v>
      </c>
      <c r="V163" s="96"/>
      <c r="W163" s="96"/>
      <c r="X163" s="96"/>
      <c r="Y163" s="96"/>
      <c r="Z163" s="96">
        <f>AA163</f>
        <v>0</v>
      </c>
      <c r="AA163" s="96">
        <v>0</v>
      </c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405"/>
    </row>
    <row r="164" spans="1:41" s="97" customFormat="1" ht="25.5" hidden="1" x14ac:dyDescent="0.25">
      <c r="A164" s="1382"/>
      <c r="B164" s="443" t="s">
        <v>252</v>
      </c>
      <c r="C164" s="444"/>
      <c r="D164" s="444"/>
      <c r="E164" s="444"/>
      <c r="F164" s="444"/>
      <c r="G164" s="262"/>
      <c r="H164" s="262"/>
      <c r="I164" s="1484"/>
      <c r="J164" s="1443"/>
      <c r="K164" s="165"/>
      <c r="L164" s="22"/>
      <c r="M164" s="96"/>
      <c r="N164" s="96"/>
      <c r="O164" s="96"/>
      <c r="P164" s="47"/>
      <c r="Q164" s="96">
        <f>S164</f>
        <v>0</v>
      </c>
      <c r="R164" s="96">
        <f>S164</f>
        <v>0</v>
      </c>
      <c r="S164" s="96">
        <v>0</v>
      </c>
      <c r="T164" s="96"/>
      <c r="U164" s="96"/>
      <c r="V164" s="96"/>
      <c r="W164" s="96"/>
      <c r="X164" s="96"/>
      <c r="Y164" s="96"/>
      <c r="Z164" s="96">
        <f>AA164</f>
        <v>0</v>
      </c>
      <c r="AA164" s="96">
        <v>0</v>
      </c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405"/>
    </row>
    <row r="165" spans="1:41" x14ac:dyDescent="0.25">
      <c r="A165" s="1383"/>
      <c r="B165" s="23" t="s">
        <v>16</v>
      </c>
      <c r="C165" s="46"/>
      <c r="D165" s="46"/>
      <c r="E165" s="46"/>
      <c r="F165" s="46"/>
      <c r="G165" s="703">
        <v>2020</v>
      </c>
      <c r="H165" s="703">
        <v>2021</v>
      </c>
      <c r="I165" s="1485"/>
      <c r="J165" s="1444"/>
      <c r="K165" s="22"/>
      <c r="L165" s="22">
        <v>5022.96</v>
      </c>
      <c r="M165" s="22">
        <v>0</v>
      </c>
      <c r="N165" s="22">
        <v>0</v>
      </c>
      <c r="O165" s="22">
        <v>0</v>
      </c>
      <c r="P165" s="22">
        <v>420.48</v>
      </c>
      <c r="Q165" s="22">
        <f>Q166</f>
        <v>24.7</v>
      </c>
      <c r="R165" s="22">
        <f t="shared" ref="R165:AI165" si="171">R166</f>
        <v>0</v>
      </c>
      <c r="S165" s="22">
        <f t="shared" si="171"/>
        <v>0</v>
      </c>
      <c r="T165" s="22">
        <f t="shared" si="171"/>
        <v>0</v>
      </c>
      <c r="U165" s="22">
        <f t="shared" si="171"/>
        <v>0</v>
      </c>
      <c r="V165" s="22">
        <f t="shared" si="171"/>
        <v>0</v>
      </c>
      <c r="W165" s="22">
        <f t="shared" si="171"/>
        <v>0</v>
      </c>
      <c r="X165" s="22">
        <f t="shared" si="171"/>
        <v>24.7</v>
      </c>
      <c r="Y165" s="22">
        <f t="shared" si="171"/>
        <v>24.7</v>
      </c>
      <c r="Z165" s="22">
        <f t="shared" si="171"/>
        <v>0</v>
      </c>
      <c r="AA165" s="22">
        <f t="shared" si="171"/>
        <v>0</v>
      </c>
      <c r="AB165" s="22">
        <f t="shared" si="171"/>
        <v>0</v>
      </c>
      <c r="AC165" s="22">
        <f t="shared" si="171"/>
        <v>0</v>
      </c>
      <c r="AD165" s="22">
        <f t="shared" si="171"/>
        <v>0</v>
      </c>
      <c r="AE165" s="22">
        <f t="shared" si="171"/>
        <v>0</v>
      </c>
      <c r="AF165" s="22">
        <f t="shared" si="171"/>
        <v>0</v>
      </c>
      <c r="AG165" s="22">
        <f t="shared" si="171"/>
        <v>0</v>
      </c>
      <c r="AH165" s="22">
        <f t="shared" si="171"/>
        <v>0</v>
      </c>
      <c r="AI165" s="22">
        <f t="shared" si="171"/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398"/>
    </row>
    <row r="166" spans="1:41" s="97" customFormat="1" ht="42" customHeight="1" x14ac:dyDescent="0.25">
      <c r="A166" s="362"/>
      <c r="B166" s="1268" t="s">
        <v>487</v>
      </c>
      <c r="C166" s="1269"/>
      <c r="D166" s="1269"/>
      <c r="E166" s="1269"/>
      <c r="F166" s="1269"/>
      <c r="G166" s="363"/>
      <c r="H166" s="364"/>
      <c r="I166" s="1270"/>
      <c r="J166" s="713"/>
      <c r="K166" s="165"/>
      <c r="L166" s="165"/>
      <c r="M166" s="165"/>
      <c r="N166" s="165"/>
      <c r="O166" s="165"/>
      <c r="P166" s="165"/>
      <c r="Q166" s="165">
        <f>Y166</f>
        <v>24.7</v>
      </c>
      <c r="R166" s="165"/>
      <c r="S166" s="165"/>
      <c r="T166" s="165"/>
      <c r="U166" s="165"/>
      <c r="V166" s="165"/>
      <c r="W166" s="165"/>
      <c r="X166" s="165">
        <f>Y166</f>
        <v>24.7</v>
      </c>
      <c r="Y166" s="165">
        <v>24.7</v>
      </c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271"/>
    </row>
    <row r="167" spans="1:41" ht="43.5" customHeight="1" x14ac:dyDescent="0.25">
      <c r="A167" s="1332" t="s">
        <v>362</v>
      </c>
      <c r="B167" s="1335" t="s">
        <v>363</v>
      </c>
      <c r="C167" s="1336"/>
      <c r="D167" s="1336"/>
      <c r="E167" s="1336"/>
      <c r="F167" s="1336"/>
      <c r="G167" s="1336"/>
      <c r="H167" s="1337"/>
      <c r="I167" s="15" t="s">
        <v>19</v>
      </c>
      <c r="J167" s="16">
        <v>0</v>
      </c>
      <c r="K167" s="16">
        <f>K170</f>
        <v>0</v>
      </c>
      <c r="L167" s="16">
        <f>M167+N167+O167</f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398"/>
    </row>
    <row r="168" spans="1:41" ht="42.75" customHeight="1" x14ac:dyDescent="0.25">
      <c r="A168" s="1333"/>
      <c r="B168" s="1338"/>
      <c r="C168" s="1339"/>
      <c r="D168" s="1339"/>
      <c r="E168" s="1339"/>
      <c r="F168" s="1339"/>
      <c r="G168" s="1339"/>
      <c r="H168" s="1340"/>
      <c r="I168" s="15" t="s">
        <v>20</v>
      </c>
      <c r="J168" s="16">
        <f>J171</f>
        <v>4106.3500000000004</v>
      </c>
      <c r="K168" s="16">
        <v>0</v>
      </c>
      <c r="L168" s="16">
        <f>L171+L174</f>
        <v>2562.5</v>
      </c>
      <c r="M168" s="16">
        <f t="shared" ref="M168:AN168" si="172">M171+M174</f>
        <v>0</v>
      </c>
      <c r="N168" s="16">
        <f t="shared" si="172"/>
        <v>0</v>
      </c>
      <c r="O168" s="16">
        <f t="shared" si="172"/>
        <v>0</v>
      </c>
      <c r="P168" s="22">
        <f t="shared" si="172"/>
        <v>2562.5039999999999</v>
      </c>
      <c r="Q168" s="22">
        <f t="shared" si="172"/>
        <v>0</v>
      </c>
      <c r="R168" s="22">
        <f t="shared" si="172"/>
        <v>0</v>
      </c>
      <c r="S168" s="22">
        <f t="shared" si="172"/>
        <v>0</v>
      </c>
      <c r="T168" s="22">
        <f t="shared" si="172"/>
        <v>0</v>
      </c>
      <c r="U168" s="22">
        <f t="shared" si="172"/>
        <v>0</v>
      </c>
      <c r="V168" s="22">
        <f t="shared" si="172"/>
        <v>2562.5039999999999</v>
      </c>
      <c r="W168" s="22">
        <f t="shared" si="172"/>
        <v>0</v>
      </c>
      <c r="X168" s="22">
        <f t="shared" si="172"/>
        <v>0</v>
      </c>
      <c r="Y168" s="22">
        <f t="shared" si="172"/>
        <v>0</v>
      </c>
      <c r="Z168" s="22">
        <f t="shared" si="172"/>
        <v>0</v>
      </c>
      <c r="AA168" s="22">
        <f t="shared" si="172"/>
        <v>0</v>
      </c>
      <c r="AB168" s="22">
        <f t="shared" si="172"/>
        <v>0</v>
      </c>
      <c r="AC168" s="22">
        <f t="shared" si="172"/>
        <v>0</v>
      </c>
      <c r="AD168" s="22">
        <f t="shared" si="172"/>
        <v>0</v>
      </c>
      <c r="AE168" s="22">
        <f t="shared" si="172"/>
        <v>0</v>
      </c>
      <c r="AF168" s="22">
        <f t="shared" si="172"/>
        <v>0</v>
      </c>
      <c r="AG168" s="22">
        <f t="shared" si="172"/>
        <v>0</v>
      </c>
      <c r="AH168" s="22">
        <f t="shared" si="172"/>
        <v>0</v>
      </c>
      <c r="AI168" s="22">
        <f t="shared" si="172"/>
        <v>0</v>
      </c>
      <c r="AJ168" s="22">
        <f t="shared" si="172"/>
        <v>0</v>
      </c>
      <c r="AK168" s="22">
        <f t="shared" si="172"/>
        <v>0</v>
      </c>
      <c r="AL168" s="22">
        <f t="shared" si="172"/>
        <v>0</v>
      </c>
      <c r="AM168" s="22">
        <f t="shared" si="172"/>
        <v>0</v>
      </c>
      <c r="AN168" s="22">
        <f t="shared" si="172"/>
        <v>0</v>
      </c>
      <c r="AO168" s="398"/>
    </row>
    <row r="169" spans="1:41" ht="25.5" x14ac:dyDescent="0.25">
      <c r="A169" s="1333"/>
      <c r="B169" s="1338"/>
      <c r="C169" s="1339"/>
      <c r="D169" s="1339"/>
      <c r="E169" s="1339"/>
      <c r="F169" s="1339"/>
      <c r="G169" s="1339"/>
      <c r="H169" s="1340"/>
      <c r="I169" s="15" t="s">
        <v>10</v>
      </c>
      <c r="J169" s="16">
        <v>0</v>
      </c>
      <c r="K169" s="16">
        <v>0</v>
      </c>
      <c r="L169" s="16">
        <f>M169+N169+O169</f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398"/>
    </row>
    <row r="170" spans="1:41" ht="29.25" customHeight="1" x14ac:dyDescent="0.25">
      <c r="A170" s="1334"/>
      <c r="B170" s="1341"/>
      <c r="C170" s="1342"/>
      <c r="D170" s="1342"/>
      <c r="E170" s="1342"/>
      <c r="F170" s="1342"/>
      <c r="G170" s="1342"/>
      <c r="H170" s="1343"/>
      <c r="I170" s="15" t="s">
        <v>9</v>
      </c>
      <c r="J170" s="16">
        <v>0</v>
      </c>
      <c r="K170" s="16"/>
      <c r="L170" s="16">
        <f>M170+N170+O170</f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398"/>
    </row>
    <row r="171" spans="1:41" ht="57" customHeight="1" x14ac:dyDescent="0.25">
      <c r="A171" s="1372" t="s">
        <v>365</v>
      </c>
      <c r="B171" s="75" t="s">
        <v>364</v>
      </c>
      <c r="C171" s="46"/>
      <c r="D171" s="46"/>
      <c r="E171" s="46"/>
      <c r="F171" s="46"/>
      <c r="G171" s="46"/>
      <c r="H171" s="46"/>
      <c r="I171" s="1445" t="s">
        <v>20</v>
      </c>
      <c r="J171" s="1442">
        <v>4106.3500000000004</v>
      </c>
      <c r="K171" s="16">
        <v>0</v>
      </c>
      <c r="L171" s="79">
        <f>L172+L173</f>
        <v>1281.25</v>
      </c>
      <c r="M171" s="79">
        <f>M172+M173</f>
        <v>0</v>
      </c>
      <c r="N171" s="79">
        <f>N172+N173</f>
        <v>0</v>
      </c>
      <c r="O171" s="79">
        <f>O172+O173</f>
        <v>0</v>
      </c>
      <c r="P171" s="79">
        <f>P172+P173</f>
        <v>1281.252</v>
      </c>
      <c r="Q171" s="79">
        <f t="shared" ref="Q171:AI171" si="173">Q172+Q173</f>
        <v>0</v>
      </c>
      <c r="R171" s="79">
        <f t="shared" si="173"/>
        <v>0</v>
      </c>
      <c r="S171" s="79">
        <f t="shared" si="173"/>
        <v>0</v>
      </c>
      <c r="T171" s="79">
        <f t="shared" si="173"/>
        <v>0</v>
      </c>
      <c r="U171" s="79">
        <f t="shared" si="173"/>
        <v>0</v>
      </c>
      <c r="V171" s="79">
        <f t="shared" si="173"/>
        <v>1281.252</v>
      </c>
      <c r="W171" s="79">
        <f t="shared" si="173"/>
        <v>0</v>
      </c>
      <c r="X171" s="79">
        <f t="shared" si="173"/>
        <v>0</v>
      </c>
      <c r="Y171" s="79">
        <f t="shared" si="173"/>
        <v>0</v>
      </c>
      <c r="Z171" s="79">
        <f t="shared" si="173"/>
        <v>0</v>
      </c>
      <c r="AA171" s="79">
        <f t="shared" si="173"/>
        <v>0</v>
      </c>
      <c r="AB171" s="79">
        <f t="shared" si="173"/>
        <v>0</v>
      </c>
      <c r="AC171" s="79">
        <f t="shared" si="173"/>
        <v>0</v>
      </c>
      <c r="AD171" s="79">
        <f t="shared" si="173"/>
        <v>0</v>
      </c>
      <c r="AE171" s="79">
        <f t="shared" si="173"/>
        <v>0</v>
      </c>
      <c r="AF171" s="79">
        <f t="shared" si="173"/>
        <v>0</v>
      </c>
      <c r="AG171" s="79">
        <f t="shared" si="173"/>
        <v>0</v>
      </c>
      <c r="AH171" s="79">
        <f t="shared" si="173"/>
        <v>0</v>
      </c>
      <c r="AI171" s="79">
        <f t="shared" si="173"/>
        <v>0</v>
      </c>
      <c r="AJ171" s="79">
        <f>AJ172+AJ173</f>
        <v>0</v>
      </c>
      <c r="AK171" s="79">
        <f t="shared" ref="AK171" si="174">AK172+AK173</f>
        <v>0</v>
      </c>
      <c r="AL171" s="79">
        <f t="shared" ref="AL171" si="175">AL172+AL173</f>
        <v>0</v>
      </c>
      <c r="AM171" s="79">
        <f t="shared" ref="AM171" si="176">AM172+AM173</f>
        <v>0</v>
      </c>
      <c r="AN171" s="79">
        <f t="shared" ref="AN171" si="177">AN172+AN173</f>
        <v>0</v>
      </c>
      <c r="AO171" s="404"/>
    </row>
    <row r="172" spans="1:41" x14ac:dyDescent="0.25">
      <c r="A172" s="1382"/>
      <c r="B172" s="23" t="s">
        <v>15</v>
      </c>
      <c r="C172" s="46"/>
      <c r="D172" s="46"/>
      <c r="E172" s="46"/>
      <c r="F172" s="46"/>
      <c r="G172" s="692">
        <v>2019</v>
      </c>
      <c r="H172" s="692">
        <v>2019</v>
      </c>
      <c r="I172" s="1484"/>
      <c r="J172" s="1443"/>
      <c r="K172" s="22"/>
      <c r="L172" s="22">
        <v>377.91</v>
      </c>
      <c r="M172" s="47"/>
      <c r="N172" s="47"/>
      <c r="O172" s="47"/>
      <c r="P172" s="47">
        <v>377.91500000000002</v>
      </c>
      <c r="Q172" s="47">
        <v>0</v>
      </c>
      <c r="R172" s="47">
        <v>0</v>
      </c>
      <c r="S172" s="47">
        <v>0</v>
      </c>
      <c r="T172" s="47">
        <v>0</v>
      </c>
      <c r="U172" s="47">
        <v>0</v>
      </c>
      <c r="V172" s="47">
        <v>377.91500000000002</v>
      </c>
      <c r="W172" s="47">
        <v>0</v>
      </c>
      <c r="X172" s="47">
        <v>0</v>
      </c>
      <c r="Y172" s="47">
        <v>0</v>
      </c>
      <c r="Z172" s="47">
        <v>0</v>
      </c>
      <c r="AA172" s="47">
        <v>0</v>
      </c>
      <c r="AB172" s="47">
        <v>0</v>
      </c>
      <c r="AC172" s="47">
        <v>0</v>
      </c>
      <c r="AD172" s="47">
        <v>0</v>
      </c>
      <c r="AE172" s="47">
        <v>0</v>
      </c>
      <c r="AF172" s="47">
        <v>0</v>
      </c>
      <c r="AG172" s="47">
        <v>0</v>
      </c>
      <c r="AH172" s="47">
        <v>0</v>
      </c>
      <c r="AI172" s="47">
        <v>0</v>
      </c>
      <c r="AJ172" s="47">
        <v>0</v>
      </c>
      <c r="AK172" s="47">
        <v>0</v>
      </c>
      <c r="AL172" s="47">
        <v>0</v>
      </c>
      <c r="AM172" s="47">
        <v>0</v>
      </c>
      <c r="AN172" s="47">
        <v>0</v>
      </c>
      <c r="AO172" s="397"/>
    </row>
    <row r="173" spans="1:41" x14ac:dyDescent="0.25">
      <c r="A173" s="1383"/>
      <c r="B173" s="23" t="s">
        <v>368</v>
      </c>
      <c r="C173" s="46"/>
      <c r="D173" s="46"/>
      <c r="E173" s="46"/>
      <c r="F173" s="46"/>
      <c r="G173" s="692">
        <v>2020</v>
      </c>
      <c r="H173" s="692">
        <v>2021</v>
      </c>
      <c r="I173" s="1485"/>
      <c r="J173" s="1444"/>
      <c r="K173" s="22"/>
      <c r="L173" s="22">
        <v>903.34</v>
      </c>
      <c r="M173" s="22"/>
      <c r="N173" s="22"/>
      <c r="O173" s="22"/>
      <c r="P173" s="22">
        <v>903.33699999999999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903.33699999999999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398"/>
    </row>
    <row r="174" spans="1:41" ht="55.5" customHeight="1" x14ac:dyDescent="0.25">
      <c r="A174" s="1372" t="s">
        <v>366</v>
      </c>
      <c r="B174" s="75" t="s">
        <v>367</v>
      </c>
      <c r="C174" s="46"/>
      <c r="D174" s="46"/>
      <c r="E174" s="46"/>
      <c r="F174" s="46"/>
      <c r="G174" s="46"/>
      <c r="H174" s="46"/>
      <c r="I174" s="1445" t="s">
        <v>20</v>
      </c>
      <c r="J174" s="1442">
        <v>4106.3500000000004</v>
      </c>
      <c r="K174" s="16">
        <v>0</v>
      </c>
      <c r="L174" s="79">
        <f>L175+L176</f>
        <v>1281.25</v>
      </c>
      <c r="M174" s="79">
        <f>M175+M176</f>
        <v>0</v>
      </c>
      <c r="N174" s="79">
        <f>N175+N176</f>
        <v>0</v>
      </c>
      <c r="O174" s="79">
        <f>O175+O176</f>
        <v>0</v>
      </c>
      <c r="P174" s="79">
        <f>P175+P176</f>
        <v>1281.252</v>
      </c>
      <c r="Q174" s="79">
        <f t="shared" ref="Q174" si="178">Q175+Q176</f>
        <v>0</v>
      </c>
      <c r="R174" s="79">
        <f t="shared" ref="R174" si="179">R175+R176</f>
        <v>0</v>
      </c>
      <c r="S174" s="79">
        <f t="shared" ref="S174" si="180">S175+S176</f>
        <v>0</v>
      </c>
      <c r="T174" s="79">
        <f t="shared" ref="T174" si="181">T175+T176</f>
        <v>0</v>
      </c>
      <c r="U174" s="79">
        <f t="shared" ref="U174" si="182">U175+U176</f>
        <v>0</v>
      </c>
      <c r="V174" s="79">
        <f t="shared" ref="V174" si="183">V175+V176</f>
        <v>1281.252</v>
      </c>
      <c r="W174" s="79">
        <f t="shared" ref="W174" si="184">W175+W176</f>
        <v>0</v>
      </c>
      <c r="X174" s="79">
        <f t="shared" ref="X174" si="185">X175+X176</f>
        <v>0</v>
      </c>
      <c r="Y174" s="79">
        <f t="shared" ref="Y174" si="186">Y175+Y176</f>
        <v>0</v>
      </c>
      <c r="Z174" s="79">
        <f t="shared" ref="Z174" si="187">Z175+Z176</f>
        <v>0</v>
      </c>
      <c r="AA174" s="79">
        <f t="shared" ref="AA174" si="188">AA175+AA176</f>
        <v>0</v>
      </c>
      <c r="AB174" s="79">
        <f t="shared" ref="AB174" si="189">AB175+AB176</f>
        <v>0</v>
      </c>
      <c r="AC174" s="79">
        <f t="shared" ref="AC174" si="190">AC175+AC176</f>
        <v>0</v>
      </c>
      <c r="AD174" s="79">
        <f t="shared" ref="AD174" si="191">AD175+AD176</f>
        <v>0</v>
      </c>
      <c r="AE174" s="79">
        <f t="shared" ref="AE174" si="192">AE175+AE176</f>
        <v>0</v>
      </c>
      <c r="AF174" s="79">
        <f t="shared" ref="AF174" si="193">AF175+AF176</f>
        <v>0</v>
      </c>
      <c r="AG174" s="79">
        <f t="shared" ref="AG174" si="194">AG175+AG176</f>
        <v>0</v>
      </c>
      <c r="AH174" s="79">
        <f t="shared" ref="AH174" si="195">AH175+AH176</f>
        <v>0</v>
      </c>
      <c r="AI174" s="79">
        <f t="shared" ref="AI174" si="196">AI175+AI176</f>
        <v>0</v>
      </c>
      <c r="AJ174" s="79">
        <f>AJ175+AJ176</f>
        <v>0</v>
      </c>
      <c r="AK174" s="79">
        <f t="shared" ref="AK174" si="197">AK175+AK176</f>
        <v>0</v>
      </c>
      <c r="AL174" s="79">
        <f t="shared" ref="AL174" si="198">AL175+AL176</f>
        <v>0</v>
      </c>
      <c r="AM174" s="79">
        <f t="shared" ref="AM174" si="199">AM175+AM176</f>
        <v>0</v>
      </c>
      <c r="AN174" s="79">
        <f t="shared" ref="AN174" si="200">AN175+AN176</f>
        <v>0</v>
      </c>
      <c r="AO174" s="404"/>
    </row>
    <row r="175" spans="1:41" x14ac:dyDescent="0.25">
      <c r="A175" s="1382"/>
      <c r="B175" s="23" t="s">
        <v>15</v>
      </c>
      <c r="C175" s="46"/>
      <c r="D175" s="46"/>
      <c r="E175" s="46"/>
      <c r="F175" s="46"/>
      <c r="G175" s="692">
        <v>2019</v>
      </c>
      <c r="H175" s="692">
        <v>2019</v>
      </c>
      <c r="I175" s="1484"/>
      <c r="J175" s="1443"/>
      <c r="K175" s="22"/>
      <c r="L175" s="22">
        <v>377.91</v>
      </c>
      <c r="M175" s="47"/>
      <c r="N175" s="47"/>
      <c r="O175" s="47"/>
      <c r="P175" s="47">
        <v>377.91500000000002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377.91500000000002</v>
      </c>
      <c r="W175" s="47">
        <v>0</v>
      </c>
      <c r="X175" s="47">
        <v>0</v>
      </c>
      <c r="Y175" s="47">
        <v>0</v>
      </c>
      <c r="Z175" s="47">
        <v>0</v>
      </c>
      <c r="AA175" s="47">
        <v>0</v>
      </c>
      <c r="AB175" s="47">
        <v>0</v>
      </c>
      <c r="AC175" s="47">
        <v>0</v>
      </c>
      <c r="AD175" s="47">
        <v>0</v>
      </c>
      <c r="AE175" s="47">
        <v>0</v>
      </c>
      <c r="AF175" s="47">
        <v>0</v>
      </c>
      <c r="AG175" s="47">
        <v>0</v>
      </c>
      <c r="AH175" s="47">
        <v>0</v>
      </c>
      <c r="AI175" s="47">
        <v>0</v>
      </c>
      <c r="AJ175" s="47">
        <v>0</v>
      </c>
      <c r="AK175" s="47">
        <v>0</v>
      </c>
      <c r="AL175" s="47">
        <v>0</v>
      </c>
      <c r="AM175" s="47">
        <v>0</v>
      </c>
      <c r="AN175" s="47">
        <v>0</v>
      </c>
      <c r="AO175" s="397"/>
    </row>
    <row r="176" spans="1:41" x14ac:dyDescent="0.25">
      <c r="A176" s="1383"/>
      <c r="B176" s="23" t="s">
        <v>368</v>
      </c>
      <c r="C176" s="46"/>
      <c r="D176" s="46"/>
      <c r="E176" s="46"/>
      <c r="F176" s="46"/>
      <c r="G176" s="692">
        <v>2020</v>
      </c>
      <c r="H176" s="692">
        <v>2021</v>
      </c>
      <c r="I176" s="1485"/>
      <c r="J176" s="1444"/>
      <c r="K176" s="22"/>
      <c r="L176" s="22">
        <v>903.34</v>
      </c>
      <c r="M176" s="22"/>
      <c r="N176" s="22"/>
      <c r="O176" s="22"/>
      <c r="P176" s="22">
        <v>903.33699999999999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903.33699999999999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398"/>
    </row>
    <row r="177" spans="1:41" ht="15.75" x14ac:dyDescent="0.25">
      <c r="A177" s="323" t="s">
        <v>13</v>
      </c>
      <c r="B177" s="58" t="s">
        <v>7</v>
      </c>
      <c r="C177" s="59"/>
      <c r="D177" s="59"/>
      <c r="E177" s="59"/>
      <c r="F177" s="59"/>
      <c r="G177" s="59"/>
      <c r="H177" s="59"/>
      <c r="I177" s="59"/>
      <c r="J177" s="280"/>
      <c r="K177" s="280"/>
      <c r="L177" s="844"/>
      <c r="M177" s="281"/>
      <c r="N177" s="281"/>
      <c r="O177" s="281"/>
      <c r="P177" s="844"/>
      <c r="Q177" s="60"/>
      <c r="R177" s="352"/>
      <c r="S177" s="352"/>
      <c r="T177" s="60"/>
      <c r="U177" s="60"/>
      <c r="V177" s="60"/>
      <c r="W177" s="60"/>
      <c r="X177" s="360"/>
      <c r="Y177" s="360"/>
      <c r="Z177" s="60"/>
      <c r="AA177" s="60"/>
      <c r="AB177" s="451"/>
      <c r="AC177" s="457"/>
      <c r="AD177" s="457"/>
      <c r="AE177" s="60"/>
      <c r="AF177" s="429"/>
      <c r="AG177" s="450"/>
      <c r="AH177" s="458"/>
      <c r="AI177" s="483"/>
      <c r="AJ177" s="60"/>
      <c r="AK177" s="60"/>
      <c r="AL177" s="60"/>
      <c r="AM177" s="60"/>
      <c r="AN177" s="60"/>
      <c r="AO177" s="407"/>
    </row>
    <row r="178" spans="1:41" s="387" customFormat="1" ht="13.5" x14ac:dyDescent="0.2">
      <c r="A178" s="1475"/>
      <c r="B178" s="1476"/>
      <c r="C178" s="1476"/>
      <c r="D178" s="1476"/>
      <c r="E178" s="1476"/>
      <c r="F178" s="1476"/>
      <c r="G178" s="1476"/>
      <c r="H178" s="1477"/>
      <c r="I178" s="384" t="s">
        <v>21</v>
      </c>
      <c r="J178" s="385">
        <f t="shared" ref="J178:O178" si="201">J179+J180+J181+J182</f>
        <v>166776.93</v>
      </c>
      <c r="K178" s="385">
        <f t="shared" si="201"/>
        <v>25354.1</v>
      </c>
      <c r="L178" s="385">
        <f t="shared" si="201"/>
        <v>1338052.6600000001</v>
      </c>
      <c r="M178" s="385">
        <f t="shared" si="201"/>
        <v>571026.48</v>
      </c>
      <c r="N178" s="386">
        <f t="shared" si="201"/>
        <v>647660.49</v>
      </c>
      <c r="O178" s="385" t="e">
        <f t="shared" si="201"/>
        <v>#REF!</v>
      </c>
      <c r="P178" s="386">
        <f>P179+P180+P181+P182</f>
        <v>292742.19999999995</v>
      </c>
      <c r="Q178" s="386">
        <f>Q179+Q180+Q181+Q182</f>
        <v>105042.86601999999</v>
      </c>
      <c r="R178" s="386">
        <f t="shared" ref="R178:AN178" si="202">R179+R180+R181+R182</f>
        <v>85.39</v>
      </c>
      <c r="S178" s="386">
        <f t="shared" si="202"/>
        <v>23096.218740000004</v>
      </c>
      <c r="T178" s="386">
        <f t="shared" si="202"/>
        <v>616.64663999999993</v>
      </c>
      <c r="U178" s="386">
        <f t="shared" si="202"/>
        <v>32966.724869999998</v>
      </c>
      <c r="V178" s="386">
        <f t="shared" si="202"/>
        <v>7488</v>
      </c>
      <c r="W178" s="386">
        <f t="shared" si="202"/>
        <v>46264.914729999997</v>
      </c>
      <c r="X178" s="386">
        <f t="shared" si="202"/>
        <v>0</v>
      </c>
      <c r="Y178" s="386">
        <f t="shared" si="202"/>
        <v>2715.0076799999997</v>
      </c>
      <c r="Z178" s="386">
        <f t="shared" si="202"/>
        <v>118432.28827999999</v>
      </c>
      <c r="AA178" s="386">
        <f t="shared" si="202"/>
        <v>23750.815000000002</v>
      </c>
      <c r="AB178" s="386">
        <f>AB179+AB180+AB181+AB182</f>
        <v>39739.819470000002</v>
      </c>
      <c r="AC178" s="386">
        <f>AC179+AC180+AC181+AC182</f>
        <v>53661.646130000001</v>
      </c>
      <c r="AD178" s="386">
        <f t="shared" ref="AD178" si="203">AD179+AD180+AD181+AD182</f>
        <v>15711.042740000001</v>
      </c>
      <c r="AE178" s="386">
        <f t="shared" ref="AE178:AG178" si="204">AE327</f>
        <v>251949.815</v>
      </c>
      <c r="AF178" s="386">
        <f t="shared" si="204"/>
        <v>251949.815</v>
      </c>
      <c r="AG178" s="386">
        <f t="shared" si="204"/>
        <v>251949.815</v>
      </c>
      <c r="AH178" s="386">
        <f>AH327</f>
        <v>251949.815</v>
      </c>
      <c r="AI178" s="386">
        <f>AI179+AI180+AI181+AI182</f>
        <v>0</v>
      </c>
      <c r="AJ178" s="386">
        <f t="shared" si="202"/>
        <v>266781.19224</v>
      </c>
      <c r="AK178" s="386">
        <f t="shared" si="202"/>
        <v>270034.44388000004</v>
      </c>
      <c r="AL178" s="386">
        <f t="shared" si="202"/>
        <v>0</v>
      </c>
      <c r="AM178" s="386">
        <f t="shared" si="202"/>
        <v>0</v>
      </c>
      <c r="AN178" s="386">
        <f t="shared" si="202"/>
        <v>0</v>
      </c>
      <c r="AO178" s="408"/>
    </row>
    <row r="179" spans="1:41" s="387" customFormat="1" ht="58.5" customHeight="1" x14ac:dyDescent="0.2">
      <c r="A179" s="1478"/>
      <c r="B179" s="1479"/>
      <c r="C179" s="1479"/>
      <c r="D179" s="1479"/>
      <c r="E179" s="1479"/>
      <c r="F179" s="1479"/>
      <c r="G179" s="1479"/>
      <c r="H179" s="1480"/>
      <c r="I179" s="23" t="s">
        <v>19</v>
      </c>
      <c r="J179" s="70">
        <f t="shared" ref="J179:AN179" si="205">J183+J228+J267</f>
        <v>152886.9</v>
      </c>
      <c r="K179" s="70">
        <f t="shared" si="205"/>
        <v>25354.1</v>
      </c>
      <c r="L179" s="3">
        <f t="shared" si="205"/>
        <v>280847.83000000007</v>
      </c>
      <c r="M179" s="3">
        <f t="shared" si="205"/>
        <v>42443.12</v>
      </c>
      <c r="N179" s="47">
        <f t="shared" si="205"/>
        <v>59906.679999999993</v>
      </c>
      <c r="O179" s="3">
        <f t="shared" si="205"/>
        <v>32882.009999999995</v>
      </c>
      <c r="P179" s="47">
        <f t="shared" si="205"/>
        <v>147309.25999999998</v>
      </c>
      <c r="Q179" s="47">
        <f t="shared" si="205"/>
        <v>1209.9796200000001</v>
      </c>
      <c r="R179" s="47">
        <f t="shared" si="205"/>
        <v>0</v>
      </c>
      <c r="S179" s="47">
        <f t="shared" si="205"/>
        <v>99.9</v>
      </c>
      <c r="T179" s="47">
        <f t="shared" si="205"/>
        <v>0</v>
      </c>
      <c r="U179" s="47">
        <f t="shared" si="205"/>
        <v>0</v>
      </c>
      <c r="V179" s="47">
        <f t="shared" si="205"/>
        <v>7030</v>
      </c>
      <c r="W179" s="47">
        <f t="shared" si="205"/>
        <v>0</v>
      </c>
      <c r="X179" s="47">
        <f t="shared" si="205"/>
        <v>0</v>
      </c>
      <c r="Y179" s="47">
        <f t="shared" si="205"/>
        <v>1110.07962</v>
      </c>
      <c r="Z179" s="47">
        <f t="shared" si="205"/>
        <v>1209.9796200000001</v>
      </c>
      <c r="AA179" s="47">
        <f t="shared" si="205"/>
        <v>99.9</v>
      </c>
      <c r="AB179" s="47">
        <f t="shared" si="205"/>
        <v>0</v>
      </c>
      <c r="AC179" s="47">
        <f t="shared" si="205"/>
        <v>0</v>
      </c>
      <c r="AD179" s="47">
        <f t="shared" si="205"/>
        <v>15541.114680000001</v>
      </c>
      <c r="AE179" s="47">
        <f t="shared" si="205"/>
        <v>0</v>
      </c>
      <c r="AF179" s="47">
        <f t="shared" si="205"/>
        <v>0</v>
      </c>
      <c r="AG179" s="47">
        <f t="shared" si="205"/>
        <v>0</v>
      </c>
      <c r="AH179" s="47">
        <f t="shared" si="205"/>
        <v>0</v>
      </c>
      <c r="AI179" s="47">
        <f t="shared" si="205"/>
        <v>0</v>
      </c>
      <c r="AJ179" s="47">
        <f t="shared" si="205"/>
        <v>100162.01</v>
      </c>
      <c r="AK179" s="47">
        <f t="shared" si="205"/>
        <v>100162.01</v>
      </c>
      <c r="AL179" s="47">
        <f t="shared" si="205"/>
        <v>0</v>
      </c>
      <c r="AM179" s="47">
        <f t="shared" si="205"/>
        <v>0</v>
      </c>
      <c r="AN179" s="47">
        <f t="shared" si="205"/>
        <v>0</v>
      </c>
      <c r="AO179" s="397"/>
    </row>
    <row r="180" spans="1:41" s="387" customFormat="1" ht="45.75" customHeight="1" x14ac:dyDescent="0.2">
      <c r="A180" s="1478"/>
      <c r="B180" s="1479"/>
      <c r="C180" s="1479"/>
      <c r="D180" s="1479"/>
      <c r="E180" s="1479"/>
      <c r="F180" s="1479"/>
      <c r="G180" s="1479"/>
      <c r="H180" s="1480"/>
      <c r="I180" s="15" t="s">
        <v>20</v>
      </c>
      <c r="J180" s="70">
        <f t="shared" ref="J180:K182" si="206">J184+J229+J268</f>
        <v>13890.029999999999</v>
      </c>
      <c r="K180" s="70">
        <f t="shared" si="206"/>
        <v>0</v>
      </c>
      <c r="L180" s="16">
        <f t="shared" ref="L180:AN180" si="207">L184+L229+L268+L280+L259+L339+L351</f>
        <v>429368.09000000008</v>
      </c>
      <c r="M180" s="16">
        <f t="shared" si="207"/>
        <v>36205.620000000003</v>
      </c>
      <c r="N180" s="16">
        <f t="shared" si="207"/>
        <v>94526.17</v>
      </c>
      <c r="O180" s="16" t="e">
        <f t="shared" si="207"/>
        <v>#REF!</v>
      </c>
      <c r="P180" s="22">
        <f t="shared" si="207"/>
        <v>140473.94</v>
      </c>
      <c r="Q180" s="22">
        <f t="shared" si="207"/>
        <v>4424.3715599999996</v>
      </c>
      <c r="R180" s="22">
        <f t="shared" si="207"/>
        <v>85.39</v>
      </c>
      <c r="S180" s="22">
        <f t="shared" si="207"/>
        <v>1290.3950000000002</v>
      </c>
      <c r="T180" s="22">
        <f t="shared" si="207"/>
        <v>616.64663999999993</v>
      </c>
      <c r="U180" s="22">
        <f t="shared" si="207"/>
        <v>613.24663999999996</v>
      </c>
      <c r="V180" s="22">
        <f t="shared" si="207"/>
        <v>458</v>
      </c>
      <c r="W180" s="22">
        <f t="shared" si="207"/>
        <v>915.80186000000003</v>
      </c>
      <c r="X180" s="22">
        <f t="shared" si="207"/>
        <v>0</v>
      </c>
      <c r="Y180" s="22">
        <f t="shared" si="207"/>
        <v>1604.92806</v>
      </c>
      <c r="Z180" s="22">
        <f t="shared" si="207"/>
        <v>3041.1200899999999</v>
      </c>
      <c r="AA180" s="22">
        <f t="shared" si="207"/>
        <v>1945</v>
      </c>
      <c r="AB180" s="22">
        <f t="shared" si="207"/>
        <v>0</v>
      </c>
      <c r="AC180" s="22">
        <f t="shared" si="207"/>
        <v>926.19202999999993</v>
      </c>
      <c r="AD180" s="22">
        <f t="shared" si="207"/>
        <v>169.92805999999999</v>
      </c>
      <c r="AE180" s="22">
        <f t="shared" si="207"/>
        <v>0</v>
      </c>
      <c r="AF180" s="22">
        <f t="shared" si="207"/>
        <v>0</v>
      </c>
      <c r="AG180" s="22">
        <f t="shared" si="207"/>
        <v>0</v>
      </c>
      <c r="AH180" s="22">
        <f t="shared" si="207"/>
        <v>0</v>
      </c>
      <c r="AI180" s="22">
        <f t="shared" si="207"/>
        <v>0</v>
      </c>
      <c r="AJ180" s="22">
        <f t="shared" si="207"/>
        <v>166619.18224000002</v>
      </c>
      <c r="AK180" s="22">
        <f t="shared" si="207"/>
        <v>169872.43388000003</v>
      </c>
      <c r="AL180" s="22">
        <f t="shared" si="207"/>
        <v>0</v>
      </c>
      <c r="AM180" s="22">
        <f t="shared" si="207"/>
        <v>0</v>
      </c>
      <c r="AN180" s="22">
        <f t="shared" si="207"/>
        <v>0</v>
      </c>
      <c r="AO180" s="398"/>
    </row>
    <row r="181" spans="1:41" s="387" customFormat="1" ht="28.5" customHeight="1" x14ac:dyDescent="0.2">
      <c r="A181" s="1478"/>
      <c r="B181" s="1479"/>
      <c r="C181" s="1479"/>
      <c r="D181" s="1479"/>
      <c r="E181" s="1479"/>
      <c r="F181" s="1479"/>
      <c r="G181" s="1479"/>
      <c r="H181" s="1480"/>
      <c r="I181" s="15" t="s">
        <v>10</v>
      </c>
      <c r="J181" s="70">
        <f t="shared" si="206"/>
        <v>0</v>
      </c>
      <c r="K181" s="70">
        <f t="shared" si="206"/>
        <v>0</v>
      </c>
      <c r="L181" s="16">
        <f>L185+L230+L269+L281+L260</f>
        <v>627836.74</v>
      </c>
      <c r="M181" s="22">
        <f>M185+M230+M269+M281</f>
        <v>492377.74</v>
      </c>
      <c r="N181" s="22">
        <f>N185+N230+N269+N281</f>
        <v>493227.64</v>
      </c>
      <c r="O181" s="22">
        <f>O185+O230+O269+O281</f>
        <v>297742.64</v>
      </c>
      <c r="P181" s="22">
        <f>P185+P230+P269+P281+P260+P340+P352</f>
        <v>4959</v>
      </c>
      <c r="Q181" s="22">
        <f t="shared" ref="Q181:AI181" si="208">Q185+Q230+Q269+Q281</f>
        <v>99408.514839999989</v>
      </c>
      <c r="R181" s="22">
        <f t="shared" si="208"/>
        <v>0</v>
      </c>
      <c r="S181" s="22">
        <f t="shared" si="208"/>
        <v>21705.923740000002</v>
      </c>
      <c r="T181" s="22">
        <f t="shared" si="208"/>
        <v>0</v>
      </c>
      <c r="U181" s="22">
        <f t="shared" si="208"/>
        <v>32353.478230000001</v>
      </c>
      <c r="V181" s="22">
        <f t="shared" si="208"/>
        <v>0</v>
      </c>
      <c r="W181" s="22">
        <f t="shared" si="208"/>
        <v>45349.112869999997</v>
      </c>
      <c r="X181" s="22">
        <f t="shared" si="208"/>
        <v>0</v>
      </c>
      <c r="Y181" s="22">
        <f t="shared" si="208"/>
        <v>0</v>
      </c>
      <c r="Z181" s="22">
        <f t="shared" si="208"/>
        <v>114181.18857</v>
      </c>
      <c r="AA181" s="22">
        <f t="shared" si="208"/>
        <v>21705.915000000001</v>
      </c>
      <c r="AB181" s="22">
        <f t="shared" si="208"/>
        <v>39739.819470000002</v>
      </c>
      <c r="AC181" s="22">
        <f t="shared" si="208"/>
        <v>52735.454100000003</v>
      </c>
      <c r="AD181" s="22">
        <f t="shared" si="208"/>
        <v>0</v>
      </c>
      <c r="AE181" s="22">
        <f t="shared" si="208"/>
        <v>0</v>
      </c>
      <c r="AF181" s="22">
        <f t="shared" si="208"/>
        <v>0</v>
      </c>
      <c r="AG181" s="22">
        <f t="shared" si="208"/>
        <v>0</v>
      </c>
      <c r="AH181" s="22">
        <f t="shared" si="208"/>
        <v>0</v>
      </c>
      <c r="AI181" s="22">
        <f t="shared" si="208"/>
        <v>0</v>
      </c>
      <c r="AJ181" s="22">
        <f t="shared" ref="AJ181:AN182" si="209">AJ185+AJ230+AJ269</f>
        <v>0</v>
      </c>
      <c r="AK181" s="22">
        <f t="shared" si="209"/>
        <v>0</v>
      </c>
      <c r="AL181" s="22">
        <f t="shared" si="209"/>
        <v>0</v>
      </c>
      <c r="AM181" s="22">
        <f t="shared" si="209"/>
        <v>0</v>
      </c>
      <c r="AN181" s="22">
        <f t="shared" si="209"/>
        <v>0</v>
      </c>
      <c r="AO181" s="398"/>
    </row>
    <row r="182" spans="1:41" s="387" customFormat="1" ht="25.5" customHeight="1" x14ac:dyDescent="0.2">
      <c r="A182" s="1481"/>
      <c r="B182" s="1482"/>
      <c r="C182" s="1482"/>
      <c r="D182" s="1482"/>
      <c r="E182" s="1482"/>
      <c r="F182" s="1482"/>
      <c r="G182" s="1482"/>
      <c r="H182" s="1483"/>
      <c r="I182" s="15" t="s">
        <v>9</v>
      </c>
      <c r="J182" s="70">
        <f t="shared" si="206"/>
        <v>0</v>
      </c>
      <c r="K182" s="70">
        <f t="shared" si="206"/>
        <v>0</v>
      </c>
      <c r="L182" s="16">
        <v>0</v>
      </c>
      <c r="M182" s="16">
        <f t="shared" ref="M182:AI182" si="210">M186+M231+M270</f>
        <v>0</v>
      </c>
      <c r="N182" s="22">
        <f t="shared" si="210"/>
        <v>0</v>
      </c>
      <c r="O182" s="16">
        <f t="shared" si="210"/>
        <v>1</v>
      </c>
      <c r="P182" s="47">
        <f t="shared" si="210"/>
        <v>0</v>
      </c>
      <c r="Q182" s="22">
        <f t="shared" si="210"/>
        <v>0</v>
      </c>
      <c r="R182" s="22">
        <f t="shared" si="210"/>
        <v>0</v>
      </c>
      <c r="S182" s="22">
        <f t="shared" si="210"/>
        <v>0</v>
      </c>
      <c r="T182" s="22">
        <f t="shared" si="210"/>
        <v>0</v>
      </c>
      <c r="U182" s="22">
        <f t="shared" si="210"/>
        <v>0</v>
      </c>
      <c r="V182" s="22">
        <f t="shared" si="210"/>
        <v>0</v>
      </c>
      <c r="W182" s="22">
        <f t="shared" si="210"/>
        <v>0</v>
      </c>
      <c r="X182" s="22">
        <f t="shared" si="210"/>
        <v>0</v>
      </c>
      <c r="Y182" s="22">
        <f t="shared" si="210"/>
        <v>0</v>
      </c>
      <c r="Z182" s="22">
        <f t="shared" si="210"/>
        <v>0</v>
      </c>
      <c r="AA182" s="22">
        <f t="shared" si="210"/>
        <v>0</v>
      </c>
      <c r="AB182" s="22">
        <f t="shared" si="210"/>
        <v>0</v>
      </c>
      <c r="AC182" s="22">
        <f t="shared" si="210"/>
        <v>0</v>
      </c>
      <c r="AD182" s="22">
        <f t="shared" si="210"/>
        <v>0</v>
      </c>
      <c r="AE182" s="22">
        <f t="shared" si="210"/>
        <v>0</v>
      </c>
      <c r="AF182" s="22">
        <f t="shared" si="210"/>
        <v>0</v>
      </c>
      <c r="AG182" s="22">
        <f t="shared" si="210"/>
        <v>0</v>
      </c>
      <c r="AH182" s="22">
        <f t="shared" si="210"/>
        <v>0</v>
      </c>
      <c r="AI182" s="22">
        <f t="shared" si="210"/>
        <v>0</v>
      </c>
      <c r="AJ182" s="22">
        <f t="shared" si="209"/>
        <v>0</v>
      </c>
      <c r="AK182" s="22">
        <f t="shared" si="209"/>
        <v>0</v>
      </c>
      <c r="AL182" s="22">
        <f t="shared" si="209"/>
        <v>0</v>
      </c>
      <c r="AM182" s="22">
        <f t="shared" si="209"/>
        <v>0</v>
      </c>
      <c r="AN182" s="22">
        <f t="shared" si="209"/>
        <v>0</v>
      </c>
      <c r="AO182" s="398"/>
    </row>
    <row r="183" spans="1:41" ht="51.75" customHeight="1" x14ac:dyDescent="0.25">
      <c r="A183" s="1428" t="s">
        <v>27</v>
      </c>
      <c r="B183" s="1431" t="s">
        <v>214</v>
      </c>
      <c r="C183" s="1432"/>
      <c r="D183" s="1432"/>
      <c r="E183" s="1432"/>
      <c r="F183" s="1432"/>
      <c r="G183" s="1432"/>
      <c r="H183" s="1433"/>
      <c r="I183" s="15" t="s">
        <v>19</v>
      </c>
      <c r="J183" s="16">
        <f>J187+J190+J194</f>
        <v>152886.9</v>
      </c>
      <c r="K183" s="16">
        <f>K187+K190+K194</f>
        <v>25354.1</v>
      </c>
      <c r="L183" s="16">
        <f>L187+L190+L194+L203+L208+L212+L219+L222+L225</f>
        <v>280847.83000000007</v>
      </c>
      <c r="M183" s="16">
        <f t="shared" ref="M183:AN183" si="211">M187+M190+M194+M203+M208+M212+M219+M222+M225</f>
        <v>42443.12</v>
      </c>
      <c r="N183" s="16">
        <f t="shared" si="211"/>
        <v>59906.679999999993</v>
      </c>
      <c r="O183" s="16">
        <f t="shared" si="211"/>
        <v>32881.009999999995</v>
      </c>
      <c r="P183" s="22">
        <f t="shared" si="211"/>
        <v>147309.25999999998</v>
      </c>
      <c r="Q183" s="22">
        <f t="shared" si="211"/>
        <v>0</v>
      </c>
      <c r="R183" s="22">
        <f t="shared" si="211"/>
        <v>0</v>
      </c>
      <c r="S183" s="22">
        <f t="shared" si="211"/>
        <v>0</v>
      </c>
      <c r="T183" s="22">
        <f t="shared" si="211"/>
        <v>0</v>
      </c>
      <c r="U183" s="22">
        <f t="shared" si="211"/>
        <v>0</v>
      </c>
      <c r="V183" s="22">
        <f t="shared" si="211"/>
        <v>7030</v>
      </c>
      <c r="W183" s="22">
        <f t="shared" si="211"/>
        <v>0</v>
      </c>
      <c r="X183" s="22">
        <f t="shared" si="211"/>
        <v>0</v>
      </c>
      <c r="Y183" s="22">
        <f t="shared" si="211"/>
        <v>0</v>
      </c>
      <c r="Z183" s="22">
        <f t="shared" si="211"/>
        <v>0</v>
      </c>
      <c r="AA183" s="22">
        <f t="shared" si="211"/>
        <v>0</v>
      </c>
      <c r="AB183" s="22">
        <f t="shared" si="211"/>
        <v>0</v>
      </c>
      <c r="AC183" s="22">
        <f t="shared" si="211"/>
        <v>0</v>
      </c>
      <c r="AD183" s="22">
        <f t="shared" si="211"/>
        <v>14431.03506</v>
      </c>
      <c r="AE183" s="22">
        <f t="shared" si="211"/>
        <v>0</v>
      </c>
      <c r="AF183" s="22">
        <f t="shared" si="211"/>
        <v>0</v>
      </c>
      <c r="AG183" s="22">
        <f t="shared" si="211"/>
        <v>0</v>
      </c>
      <c r="AH183" s="22">
        <f t="shared" si="211"/>
        <v>0</v>
      </c>
      <c r="AI183" s="22">
        <f t="shared" si="211"/>
        <v>0</v>
      </c>
      <c r="AJ183" s="22">
        <f t="shared" si="211"/>
        <v>100162.01</v>
      </c>
      <c r="AK183" s="22">
        <f t="shared" si="211"/>
        <v>100162.01</v>
      </c>
      <c r="AL183" s="22">
        <f t="shared" si="211"/>
        <v>0</v>
      </c>
      <c r="AM183" s="22">
        <f t="shared" si="211"/>
        <v>0</v>
      </c>
      <c r="AN183" s="22">
        <f t="shared" si="211"/>
        <v>0</v>
      </c>
      <c r="AO183" s="398"/>
    </row>
    <row r="184" spans="1:41" ht="47.25" customHeight="1" x14ac:dyDescent="0.25">
      <c r="A184" s="1429"/>
      <c r="B184" s="1434"/>
      <c r="C184" s="1435"/>
      <c r="D184" s="1435"/>
      <c r="E184" s="1435"/>
      <c r="F184" s="1435"/>
      <c r="G184" s="1435"/>
      <c r="H184" s="1436"/>
      <c r="I184" s="15" t="s">
        <v>20</v>
      </c>
      <c r="J184" s="16">
        <v>0</v>
      </c>
      <c r="K184" s="16">
        <v>0</v>
      </c>
      <c r="L184" s="16">
        <f>M184+N184+O184</f>
        <v>0</v>
      </c>
      <c r="M184" s="16">
        <v>0</v>
      </c>
      <c r="N184" s="22">
        <v>0</v>
      </c>
      <c r="O184" s="16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398"/>
    </row>
    <row r="185" spans="1:41" ht="28.5" customHeight="1" x14ac:dyDescent="0.25">
      <c r="A185" s="1429"/>
      <c r="B185" s="1434"/>
      <c r="C185" s="1435"/>
      <c r="D185" s="1435"/>
      <c r="E185" s="1435"/>
      <c r="F185" s="1435"/>
      <c r="G185" s="1435"/>
      <c r="H185" s="1436"/>
      <c r="I185" s="15" t="s">
        <v>10</v>
      </c>
      <c r="J185" s="16">
        <v>0</v>
      </c>
      <c r="K185" s="16">
        <v>0</v>
      </c>
      <c r="L185" s="16">
        <f>L218</f>
        <v>195485</v>
      </c>
      <c r="M185" s="16">
        <f>M218</f>
        <v>195485</v>
      </c>
      <c r="N185" s="22">
        <f>N218</f>
        <v>195485</v>
      </c>
      <c r="O185" s="16">
        <v>0</v>
      </c>
      <c r="P185" s="22">
        <f>P218</f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398"/>
    </row>
    <row r="186" spans="1:41" ht="25.5" customHeight="1" x14ac:dyDescent="0.25">
      <c r="A186" s="1430"/>
      <c r="B186" s="1437"/>
      <c r="C186" s="1438"/>
      <c r="D186" s="1438"/>
      <c r="E186" s="1438"/>
      <c r="F186" s="1438"/>
      <c r="G186" s="1438"/>
      <c r="H186" s="1439"/>
      <c r="I186" s="15" t="s">
        <v>9</v>
      </c>
      <c r="J186" s="16">
        <v>0</v>
      </c>
      <c r="K186" s="16">
        <v>0</v>
      </c>
      <c r="L186" s="16">
        <f>M186+N186+O186</f>
        <v>0</v>
      </c>
      <c r="M186" s="16">
        <v>0</v>
      </c>
      <c r="N186" s="22">
        <v>0</v>
      </c>
      <c r="O186" s="16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398"/>
    </row>
    <row r="187" spans="1:41" ht="67.5" customHeight="1" x14ac:dyDescent="0.25">
      <c r="A187" s="1486" t="s">
        <v>34</v>
      </c>
      <c r="B187" s="77" t="s">
        <v>369</v>
      </c>
      <c r="C187" s="1453"/>
      <c r="D187" s="1453"/>
      <c r="E187" s="1453"/>
      <c r="F187" s="1353">
        <v>220000</v>
      </c>
      <c r="G187" s="1473">
        <v>2018</v>
      </c>
      <c r="H187" s="1473">
        <v>2021</v>
      </c>
      <c r="I187" s="1445" t="s">
        <v>19</v>
      </c>
      <c r="J187" s="1386">
        <v>66036</v>
      </c>
      <c r="K187" s="1386">
        <v>16509</v>
      </c>
      <c r="L187" s="82">
        <f t="shared" ref="L187:Q187" si="212">L188</f>
        <v>51032.3</v>
      </c>
      <c r="M187" s="82">
        <f t="shared" si="212"/>
        <v>16509</v>
      </c>
      <c r="N187" s="82">
        <f t="shared" si="212"/>
        <v>800</v>
      </c>
      <c r="O187" s="82">
        <f t="shared" si="212"/>
        <v>6409</v>
      </c>
      <c r="P187" s="82">
        <f t="shared" si="212"/>
        <v>27314.3</v>
      </c>
      <c r="Q187" s="82">
        <f t="shared" si="212"/>
        <v>0</v>
      </c>
      <c r="R187" s="82">
        <f t="shared" ref="R187:AN188" si="213">R188</f>
        <v>0</v>
      </c>
      <c r="S187" s="82">
        <f t="shared" si="213"/>
        <v>0</v>
      </c>
      <c r="T187" s="82">
        <f t="shared" si="213"/>
        <v>0</v>
      </c>
      <c r="U187" s="82">
        <f t="shared" si="213"/>
        <v>0</v>
      </c>
      <c r="V187" s="82">
        <f t="shared" si="213"/>
        <v>0</v>
      </c>
      <c r="W187" s="82">
        <f t="shared" si="213"/>
        <v>0</v>
      </c>
      <c r="X187" s="82">
        <f t="shared" si="213"/>
        <v>0</v>
      </c>
      <c r="Y187" s="82">
        <f t="shared" si="213"/>
        <v>0</v>
      </c>
      <c r="Z187" s="82">
        <f t="shared" si="213"/>
        <v>0</v>
      </c>
      <c r="AA187" s="82">
        <f t="shared" si="213"/>
        <v>0</v>
      </c>
      <c r="AB187" s="82">
        <f t="shared" si="213"/>
        <v>0</v>
      </c>
      <c r="AC187" s="82">
        <f t="shared" si="213"/>
        <v>0</v>
      </c>
      <c r="AD187" s="82">
        <f t="shared" si="213"/>
        <v>0</v>
      </c>
      <c r="AE187" s="82">
        <f t="shared" si="213"/>
        <v>0</v>
      </c>
      <c r="AF187" s="82">
        <f t="shared" si="213"/>
        <v>0</v>
      </c>
      <c r="AG187" s="82">
        <f t="shared" si="213"/>
        <v>0</v>
      </c>
      <c r="AH187" s="82">
        <f t="shared" si="213"/>
        <v>0</v>
      </c>
      <c r="AI187" s="82">
        <f t="shared" si="213"/>
        <v>0</v>
      </c>
      <c r="AJ187" s="79">
        <f>P187-Q187</f>
        <v>27314.3</v>
      </c>
      <c r="AK187" s="79">
        <f>AJ187</f>
        <v>27314.3</v>
      </c>
      <c r="AL187" s="76">
        <f>ROUND((Q187*100%/P187*100),2)</f>
        <v>0</v>
      </c>
      <c r="AM187" s="82">
        <f t="shared" si="213"/>
        <v>0</v>
      </c>
      <c r="AN187" s="82">
        <f t="shared" si="213"/>
        <v>0</v>
      </c>
      <c r="AO187" s="424" t="s">
        <v>244</v>
      </c>
    </row>
    <row r="188" spans="1:41" ht="18" customHeight="1" x14ac:dyDescent="0.25">
      <c r="A188" s="1487"/>
      <c r="B188" s="7" t="s">
        <v>39</v>
      </c>
      <c r="C188" s="1454"/>
      <c r="D188" s="1454"/>
      <c r="E188" s="1454"/>
      <c r="F188" s="1472"/>
      <c r="G188" s="1474"/>
      <c r="H188" s="1474"/>
      <c r="I188" s="1485"/>
      <c r="J188" s="1387"/>
      <c r="K188" s="1387"/>
      <c r="L188" s="848">
        <v>51032.3</v>
      </c>
      <c r="M188" s="83">
        <v>16509</v>
      </c>
      <c r="N188" s="83">
        <v>800</v>
      </c>
      <c r="O188" s="83">
        <v>6409</v>
      </c>
      <c r="P188" s="83">
        <v>27314.3</v>
      </c>
      <c r="Q188" s="83">
        <f>Q189</f>
        <v>0</v>
      </c>
      <c r="R188" s="83">
        <f t="shared" si="213"/>
        <v>0</v>
      </c>
      <c r="S188" s="83">
        <f t="shared" si="213"/>
        <v>0</v>
      </c>
      <c r="T188" s="83">
        <f t="shared" si="213"/>
        <v>0</v>
      </c>
      <c r="U188" s="83">
        <f t="shared" si="213"/>
        <v>0</v>
      </c>
      <c r="V188" s="83">
        <f t="shared" si="213"/>
        <v>0</v>
      </c>
      <c r="W188" s="83">
        <f t="shared" si="213"/>
        <v>0</v>
      </c>
      <c r="X188" s="83">
        <f t="shared" si="213"/>
        <v>0</v>
      </c>
      <c r="Y188" s="83">
        <f t="shared" si="213"/>
        <v>0</v>
      </c>
      <c r="Z188" s="83">
        <f t="shared" si="213"/>
        <v>0</v>
      </c>
      <c r="AA188" s="83">
        <f t="shared" si="213"/>
        <v>0</v>
      </c>
      <c r="AB188" s="83">
        <f t="shared" si="213"/>
        <v>0</v>
      </c>
      <c r="AC188" s="83">
        <f t="shared" si="213"/>
        <v>0</v>
      </c>
      <c r="AD188" s="83">
        <f t="shared" si="213"/>
        <v>0</v>
      </c>
      <c r="AE188" s="83">
        <f t="shared" si="213"/>
        <v>0</v>
      </c>
      <c r="AF188" s="83">
        <f t="shared" si="213"/>
        <v>0</v>
      </c>
      <c r="AG188" s="83">
        <f t="shared" si="213"/>
        <v>0</v>
      </c>
      <c r="AH188" s="83">
        <f t="shared" si="213"/>
        <v>0</v>
      </c>
      <c r="AI188" s="83">
        <f t="shared" si="213"/>
        <v>0</v>
      </c>
      <c r="AJ188" s="83">
        <f t="shared" si="213"/>
        <v>0</v>
      </c>
      <c r="AK188" s="83">
        <v>0</v>
      </c>
      <c r="AL188" s="83">
        <v>0</v>
      </c>
      <c r="AM188" s="83">
        <v>0</v>
      </c>
      <c r="AN188" s="83">
        <v>0</v>
      </c>
      <c r="AO188" s="409"/>
    </row>
    <row r="189" spans="1:41" s="97" customFormat="1" ht="26.25" hidden="1" customHeight="1" x14ac:dyDescent="0.25">
      <c r="A189" s="536"/>
      <c r="B189" s="537" t="s">
        <v>300</v>
      </c>
      <c r="C189" s="538"/>
      <c r="D189" s="538"/>
      <c r="E189" s="538"/>
      <c r="F189" s="539"/>
      <c r="G189" s="540"/>
      <c r="H189" s="540"/>
      <c r="I189" s="541"/>
      <c r="J189" s="542"/>
      <c r="K189" s="542"/>
      <c r="L189" s="848"/>
      <c r="M189" s="259"/>
      <c r="N189" s="259"/>
      <c r="O189" s="259"/>
      <c r="P189" s="83"/>
      <c r="Q189" s="259">
        <f>S189+U189</f>
        <v>0</v>
      </c>
      <c r="R189" s="259">
        <f>S189</f>
        <v>0</v>
      </c>
      <c r="S189" s="259">
        <v>0</v>
      </c>
      <c r="T189" s="259">
        <f>U189</f>
        <v>0</v>
      </c>
      <c r="U189" s="259">
        <v>0</v>
      </c>
      <c r="V189" s="259"/>
      <c r="W189" s="259"/>
      <c r="X189" s="259"/>
      <c r="Y189" s="259"/>
      <c r="Z189" s="259">
        <f>AA189+AC189</f>
        <v>0</v>
      </c>
      <c r="AA189" s="259">
        <v>0</v>
      </c>
      <c r="AB189" s="259"/>
      <c r="AC189" s="259">
        <v>0</v>
      </c>
      <c r="AD189" s="259"/>
      <c r="AE189" s="259"/>
      <c r="AF189" s="259"/>
      <c r="AG189" s="259"/>
      <c r="AH189" s="259"/>
      <c r="AI189" s="259"/>
      <c r="AJ189" s="259"/>
      <c r="AK189" s="259"/>
      <c r="AL189" s="543"/>
      <c r="AM189" s="259"/>
      <c r="AN189" s="259"/>
      <c r="AO189" s="411"/>
    </row>
    <row r="190" spans="1:41" ht="42" customHeight="1" x14ac:dyDescent="0.25">
      <c r="A190" s="1486" t="s">
        <v>42</v>
      </c>
      <c r="B190" s="77" t="s">
        <v>205</v>
      </c>
      <c r="C190" s="48"/>
      <c r="D190" s="48"/>
      <c r="E190" s="48"/>
      <c r="F190" s="1353">
        <v>2400</v>
      </c>
      <c r="G190" s="48"/>
      <c r="H190" s="48"/>
      <c r="I190" s="1463" t="s">
        <v>19</v>
      </c>
      <c r="J190" s="24">
        <v>12351.86</v>
      </c>
      <c r="K190" s="24">
        <f t="shared" ref="K190:P190" si="214">K191+K193</f>
        <v>8845.1</v>
      </c>
      <c r="L190" s="79">
        <f t="shared" si="214"/>
        <v>17742.79</v>
      </c>
      <c r="M190" s="79">
        <f t="shared" si="214"/>
        <v>1753.38</v>
      </c>
      <c r="N190" s="79">
        <f t="shared" si="214"/>
        <v>1168.92</v>
      </c>
      <c r="O190" s="79">
        <f t="shared" si="214"/>
        <v>997.45</v>
      </c>
      <c r="P190" s="79">
        <f t="shared" si="214"/>
        <v>1632.45</v>
      </c>
      <c r="Q190" s="79">
        <f t="shared" ref="Q190:AN190" si="215">Q193+Q191</f>
        <v>0</v>
      </c>
      <c r="R190" s="79">
        <f t="shared" si="215"/>
        <v>0</v>
      </c>
      <c r="S190" s="79">
        <f t="shared" si="215"/>
        <v>0</v>
      </c>
      <c r="T190" s="79">
        <f t="shared" si="215"/>
        <v>0</v>
      </c>
      <c r="U190" s="79">
        <f t="shared" si="215"/>
        <v>0</v>
      </c>
      <c r="V190" s="79">
        <f t="shared" si="215"/>
        <v>0</v>
      </c>
      <c r="W190" s="79">
        <f t="shared" si="215"/>
        <v>0</v>
      </c>
      <c r="X190" s="79">
        <f t="shared" si="215"/>
        <v>0</v>
      </c>
      <c r="Y190" s="79">
        <f t="shared" si="215"/>
        <v>0</v>
      </c>
      <c r="Z190" s="79">
        <f t="shared" si="215"/>
        <v>0</v>
      </c>
      <c r="AA190" s="79">
        <f t="shared" si="215"/>
        <v>0</v>
      </c>
      <c r="AB190" s="79">
        <f t="shared" si="215"/>
        <v>0</v>
      </c>
      <c r="AC190" s="79">
        <f>AC193+AC191</f>
        <v>0</v>
      </c>
      <c r="AD190" s="79">
        <f>AD193+AD191</f>
        <v>0</v>
      </c>
      <c r="AE190" s="79">
        <f t="shared" si="215"/>
        <v>0</v>
      </c>
      <c r="AF190" s="79">
        <f t="shared" si="215"/>
        <v>0</v>
      </c>
      <c r="AG190" s="79">
        <f t="shared" si="215"/>
        <v>0</v>
      </c>
      <c r="AH190" s="79">
        <f>AH193+AH191</f>
        <v>0</v>
      </c>
      <c r="AI190" s="79">
        <f>AI193+AI191</f>
        <v>0</v>
      </c>
      <c r="AJ190" s="79">
        <f>P190-Q190</f>
        <v>1632.45</v>
      </c>
      <c r="AK190" s="79">
        <f>AJ190</f>
        <v>1632.45</v>
      </c>
      <c r="AL190" s="76">
        <f>ROUND((Q190*100%/P190*100),2)</f>
        <v>0</v>
      </c>
      <c r="AM190" s="79">
        <f t="shared" si="215"/>
        <v>0</v>
      </c>
      <c r="AN190" s="79">
        <f t="shared" si="215"/>
        <v>0</v>
      </c>
      <c r="AO190" s="404" t="s">
        <v>419</v>
      </c>
    </row>
    <row r="191" spans="1:41" ht="16.5" customHeight="1" x14ac:dyDescent="0.25">
      <c r="A191" s="1534"/>
      <c r="B191" s="1" t="s">
        <v>15</v>
      </c>
      <c r="C191" s="48"/>
      <c r="D191" s="48"/>
      <c r="E191" s="48"/>
      <c r="F191" s="1354"/>
      <c r="G191" s="39">
        <v>2018</v>
      </c>
      <c r="H191" s="39">
        <v>2018</v>
      </c>
      <c r="I191" s="1464"/>
      <c r="J191" s="27">
        <v>1815.76</v>
      </c>
      <c r="K191" s="27">
        <v>1815.76</v>
      </c>
      <c r="L191" s="22">
        <v>889.05</v>
      </c>
      <c r="M191" s="22">
        <v>0</v>
      </c>
      <c r="N191" s="22">
        <v>412.99</v>
      </c>
      <c r="O191" s="22">
        <v>0</v>
      </c>
      <c r="P191" s="22">
        <v>246.67</v>
      </c>
      <c r="Q191" s="83">
        <f>Q192</f>
        <v>0</v>
      </c>
      <c r="R191" s="83">
        <f t="shared" ref="R191:AF191" si="216">R192</f>
        <v>0</v>
      </c>
      <c r="S191" s="83">
        <f t="shared" si="216"/>
        <v>0</v>
      </c>
      <c r="T191" s="83">
        <f t="shared" si="216"/>
        <v>0</v>
      </c>
      <c r="U191" s="83">
        <f t="shared" si="216"/>
        <v>0</v>
      </c>
      <c r="V191" s="83">
        <f t="shared" si="216"/>
        <v>0</v>
      </c>
      <c r="W191" s="83">
        <f t="shared" si="216"/>
        <v>0</v>
      </c>
      <c r="X191" s="83">
        <f t="shared" si="216"/>
        <v>0</v>
      </c>
      <c r="Y191" s="83">
        <f t="shared" si="216"/>
        <v>0</v>
      </c>
      <c r="Z191" s="83">
        <f t="shared" si="216"/>
        <v>0</v>
      </c>
      <c r="AA191" s="83">
        <f t="shared" si="216"/>
        <v>0</v>
      </c>
      <c r="AB191" s="83">
        <f t="shared" si="216"/>
        <v>0</v>
      </c>
      <c r="AC191" s="83">
        <f t="shared" si="216"/>
        <v>0</v>
      </c>
      <c r="AD191" s="83">
        <f t="shared" si="216"/>
        <v>0</v>
      </c>
      <c r="AE191" s="83">
        <f t="shared" si="216"/>
        <v>0</v>
      </c>
      <c r="AF191" s="83">
        <f t="shared" si="216"/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410"/>
    </row>
    <row r="192" spans="1:41" s="97" customFormat="1" ht="27" hidden="1" customHeight="1" x14ac:dyDescent="0.25">
      <c r="A192" s="1534"/>
      <c r="B192" s="537" t="s">
        <v>301</v>
      </c>
      <c r="C192" s="544"/>
      <c r="D192" s="544"/>
      <c r="E192" s="544"/>
      <c r="F192" s="1354"/>
      <c r="G192" s="104"/>
      <c r="H192" s="104"/>
      <c r="I192" s="1464"/>
      <c r="J192" s="93"/>
      <c r="K192" s="93"/>
      <c r="L192" s="22"/>
      <c r="M192" s="165"/>
      <c r="N192" s="165"/>
      <c r="O192" s="165"/>
      <c r="P192" s="22"/>
      <c r="Q192" s="259">
        <f>S192</f>
        <v>0</v>
      </c>
      <c r="R192" s="259">
        <f>S192</f>
        <v>0</v>
      </c>
      <c r="S192" s="259">
        <v>0</v>
      </c>
      <c r="T192" s="259"/>
      <c r="U192" s="259"/>
      <c r="V192" s="259"/>
      <c r="W192" s="259"/>
      <c r="X192" s="259"/>
      <c r="Y192" s="259"/>
      <c r="Z192" s="259">
        <f>AA192</f>
        <v>0</v>
      </c>
      <c r="AA192" s="259">
        <v>0</v>
      </c>
      <c r="AB192" s="259"/>
      <c r="AC192" s="259"/>
      <c r="AD192" s="259"/>
      <c r="AE192" s="259"/>
      <c r="AF192" s="259"/>
      <c r="AG192" s="165"/>
      <c r="AH192" s="165"/>
      <c r="AI192" s="165"/>
      <c r="AJ192" s="165"/>
      <c r="AK192" s="165"/>
      <c r="AL192" s="165"/>
      <c r="AM192" s="165"/>
      <c r="AN192" s="165"/>
      <c r="AO192" s="545"/>
    </row>
    <row r="193" spans="1:41" ht="14.25" customHeight="1" x14ac:dyDescent="0.25">
      <c r="A193" s="1487"/>
      <c r="B193" s="1" t="s">
        <v>32</v>
      </c>
      <c r="C193" s="48"/>
      <c r="D193" s="48"/>
      <c r="E193" s="48"/>
      <c r="F193" s="1352"/>
      <c r="G193" s="39">
        <v>2018</v>
      </c>
      <c r="H193" s="39">
        <v>2021</v>
      </c>
      <c r="I193" s="1465"/>
      <c r="J193" s="27">
        <v>10536.1</v>
      </c>
      <c r="K193" s="27">
        <v>7029.34</v>
      </c>
      <c r="L193" s="22">
        <v>16853.740000000002</v>
      </c>
      <c r="M193" s="22">
        <v>1753.38</v>
      </c>
      <c r="N193" s="22">
        <v>755.93</v>
      </c>
      <c r="O193" s="22">
        <v>997.45</v>
      </c>
      <c r="P193" s="22">
        <v>1385.78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398"/>
    </row>
    <row r="194" spans="1:41" ht="72" customHeight="1" x14ac:dyDescent="0.25">
      <c r="A194" s="1398" t="s">
        <v>63</v>
      </c>
      <c r="B194" s="77" t="s">
        <v>66</v>
      </c>
      <c r="C194" s="1471"/>
      <c r="D194" s="1471"/>
      <c r="E194" s="1471"/>
      <c r="F194" s="1492"/>
      <c r="G194" s="1489">
        <v>2019</v>
      </c>
      <c r="H194" s="1469">
        <v>2021</v>
      </c>
      <c r="I194" s="1466" t="s">
        <v>19</v>
      </c>
      <c r="J194" s="1467">
        <f>K194+L194</f>
        <v>74499.039999999994</v>
      </c>
      <c r="K194" s="1400">
        <v>0</v>
      </c>
      <c r="L194" s="78">
        <f t="shared" ref="L194:Q194" si="217">L195</f>
        <v>74499.039999999994</v>
      </c>
      <c r="M194" s="78">
        <f t="shared" si="217"/>
        <v>24180.74</v>
      </c>
      <c r="N194" s="78">
        <f t="shared" si="217"/>
        <v>24180.74</v>
      </c>
      <c r="O194" s="78">
        <f t="shared" si="217"/>
        <v>13819.52</v>
      </c>
      <c r="P194" s="78">
        <f t="shared" si="217"/>
        <v>0</v>
      </c>
      <c r="Q194" s="82">
        <f t="shared" si="217"/>
        <v>0</v>
      </c>
      <c r="R194" s="82">
        <f t="shared" ref="R194:W194" si="218">R195</f>
        <v>0</v>
      </c>
      <c r="S194" s="82">
        <f t="shared" si="218"/>
        <v>0</v>
      </c>
      <c r="T194" s="82">
        <f t="shared" si="218"/>
        <v>0</v>
      </c>
      <c r="U194" s="82">
        <f t="shared" si="218"/>
        <v>0</v>
      </c>
      <c r="V194" s="82">
        <f t="shared" si="218"/>
        <v>0</v>
      </c>
      <c r="W194" s="82">
        <f t="shared" si="218"/>
        <v>0</v>
      </c>
      <c r="X194" s="82">
        <f t="shared" ref="X194:AD194" si="219">X195</f>
        <v>0</v>
      </c>
      <c r="Y194" s="82">
        <f t="shared" si="219"/>
        <v>0</v>
      </c>
      <c r="Z194" s="82">
        <f t="shared" si="219"/>
        <v>0</v>
      </c>
      <c r="AA194" s="82">
        <f t="shared" si="219"/>
        <v>0</v>
      </c>
      <c r="AB194" s="82">
        <f t="shared" si="219"/>
        <v>0</v>
      </c>
      <c r="AC194" s="82">
        <f t="shared" si="219"/>
        <v>0</v>
      </c>
      <c r="AD194" s="82">
        <f t="shared" si="219"/>
        <v>0</v>
      </c>
      <c r="AE194" s="82">
        <f t="shared" ref="AE194:AN194" si="220">AE195</f>
        <v>0</v>
      </c>
      <c r="AF194" s="82">
        <f t="shared" si="220"/>
        <v>0</v>
      </c>
      <c r="AG194" s="82">
        <f t="shared" si="220"/>
        <v>0</v>
      </c>
      <c r="AH194" s="82">
        <f t="shared" si="220"/>
        <v>0</v>
      </c>
      <c r="AI194" s="82">
        <f t="shared" si="220"/>
        <v>0</v>
      </c>
      <c r="AJ194" s="79">
        <v>0</v>
      </c>
      <c r="AK194" s="79">
        <f>AJ194</f>
        <v>0</v>
      </c>
      <c r="AL194" s="76">
        <v>0</v>
      </c>
      <c r="AM194" s="82">
        <f t="shared" si="220"/>
        <v>0</v>
      </c>
      <c r="AN194" s="82">
        <f t="shared" si="220"/>
        <v>0</v>
      </c>
      <c r="AO194" s="424" t="s">
        <v>418</v>
      </c>
    </row>
    <row r="195" spans="1:41" ht="18" customHeight="1" x14ac:dyDescent="0.25">
      <c r="A195" s="1488"/>
      <c r="B195" s="1" t="s">
        <v>16</v>
      </c>
      <c r="C195" s="1471"/>
      <c r="D195" s="1471"/>
      <c r="E195" s="1471"/>
      <c r="F195" s="1492"/>
      <c r="G195" s="1489"/>
      <c r="H195" s="1470"/>
      <c r="I195" s="1466"/>
      <c r="J195" s="1467"/>
      <c r="K195" s="1401"/>
      <c r="L195" s="848">
        <v>74499.039999999994</v>
      </c>
      <c r="M195" s="83">
        <v>24180.74</v>
      </c>
      <c r="N195" s="83">
        <v>24180.74</v>
      </c>
      <c r="O195" s="83">
        <v>13819.52</v>
      </c>
      <c r="P195" s="83">
        <v>0</v>
      </c>
      <c r="Q195" s="83">
        <v>0</v>
      </c>
      <c r="R195" s="83">
        <f t="shared" ref="R195:W195" si="221">SUM(R196:R202)</f>
        <v>0</v>
      </c>
      <c r="S195" s="83">
        <f t="shared" si="221"/>
        <v>0</v>
      </c>
      <c r="T195" s="83">
        <f t="shared" si="221"/>
        <v>0</v>
      </c>
      <c r="U195" s="83">
        <f t="shared" si="221"/>
        <v>0</v>
      </c>
      <c r="V195" s="83">
        <f t="shared" si="221"/>
        <v>0</v>
      </c>
      <c r="W195" s="83">
        <f t="shared" si="221"/>
        <v>0</v>
      </c>
      <c r="X195" s="83">
        <v>0</v>
      </c>
      <c r="Y195" s="83">
        <f t="shared" ref="Y195:AD195" si="222">SUM(Y196:Y202)</f>
        <v>0</v>
      </c>
      <c r="Z195" s="83">
        <f t="shared" si="222"/>
        <v>0</v>
      </c>
      <c r="AA195" s="83">
        <f t="shared" si="222"/>
        <v>0</v>
      </c>
      <c r="AB195" s="83">
        <f t="shared" si="222"/>
        <v>0</v>
      </c>
      <c r="AC195" s="83">
        <f t="shared" si="222"/>
        <v>0</v>
      </c>
      <c r="AD195" s="83">
        <f t="shared" si="222"/>
        <v>0</v>
      </c>
      <c r="AE195" s="83">
        <f>SUM(AF195:AH195)</f>
        <v>0</v>
      </c>
      <c r="AF195" s="83">
        <f>SUM(AF196:AF202)</f>
        <v>0</v>
      </c>
      <c r="AG195" s="83">
        <f>SUM(AG196:AG202)</f>
        <v>0</v>
      </c>
      <c r="AH195" s="83">
        <v>0</v>
      </c>
      <c r="AI195" s="83">
        <v>0</v>
      </c>
      <c r="AJ195" s="83">
        <f>SUM(AJ196:AJ202)</f>
        <v>0</v>
      </c>
      <c r="AK195" s="83">
        <f>SUM(AK196:AK202)</f>
        <v>0</v>
      </c>
      <c r="AL195" s="83">
        <f>SUM(AL196:AL202)</f>
        <v>0</v>
      </c>
      <c r="AM195" s="83">
        <f>SUM(AM196:AM202)</f>
        <v>0</v>
      </c>
      <c r="AN195" s="83">
        <f>SUM(AN196:AN202)</f>
        <v>0</v>
      </c>
      <c r="AO195" s="409"/>
    </row>
    <row r="196" spans="1:41" s="97" customFormat="1" ht="18" hidden="1" customHeight="1" x14ac:dyDescent="0.25">
      <c r="A196" s="324"/>
      <c r="B196" s="252" t="s">
        <v>152</v>
      </c>
      <c r="C196" s="253"/>
      <c r="D196" s="253"/>
      <c r="E196" s="253"/>
      <c r="F196" s="254"/>
      <c r="G196" s="255"/>
      <c r="H196" s="256"/>
      <c r="I196" s="104"/>
      <c r="J196" s="98"/>
      <c r="K196" s="257"/>
      <c r="L196" s="848"/>
      <c r="M196" s="259"/>
      <c r="N196" s="259"/>
      <c r="O196" s="259"/>
      <c r="P196" s="83"/>
      <c r="Q196" s="259">
        <f>S196+U196</f>
        <v>0</v>
      </c>
      <c r="R196" s="259">
        <f>S196</f>
        <v>0</v>
      </c>
      <c r="S196" s="259">
        <v>0</v>
      </c>
      <c r="T196" s="259">
        <v>0</v>
      </c>
      <c r="U196" s="259">
        <v>0</v>
      </c>
      <c r="V196" s="259"/>
      <c r="W196" s="259"/>
      <c r="X196" s="259"/>
      <c r="Y196" s="259"/>
      <c r="Z196" s="259">
        <v>0</v>
      </c>
      <c r="AA196" s="259"/>
      <c r="AB196" s="259"/>
      <c r="AC196" s="259"/>
      <c r="AD196" s="259"/>
      <c r="AE196" s="259">
        <f>SUM(AF196:AF196)</f>
        <v>0</v>
      </c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411"/>
    </row>
    <row r="197" spans="1:41" s="97" customFormat="1" ht="18" hidden="1" customHeight="1" x14ac:dyDescent="0.25">
      <c r="A197" s="324"/>
      <c r="B197" s="252" t="s">
        <v>156</v>
      </c>
      <c r="C197" s="253"/>
      <c r="D197" s="253"/>
      <c r="E197" s="253"/>
      <c r="F197" s="254"/>
      <c r="G197" s="255"/>
      <c r="H197" s="256"/>
      <c r="I197" s="104"/>
      <c r="J197" s="98"/>
      <c r="K197" s="257"/>
      <c r="L197" s="848"/>
      <c r="M197" s="259"/>
      <c r="N197" s="259"/>
      <c r="O197" s="259"/>
      <c r="P197" s="83"/>
      <c r="Q197" s="259">
        <f>S197+U197+W197</f>
        <v>0</v>
      </c>
      <c r="R197" s="259"/>
      <c r="S197" s="259"/>
      <c r="T197" s="259"/>
      <c r="U197" s="259"/>
      <c r="V197" s="259">
        <v>0</v>
      </c>
      <c r="W197" s="259">
        <v>0</v>
      </c>
      <c r="X197" s="259"/>
      <c r="Y197" s="259"/>
      <c r="Z197" s="259">
        <v>0</v>
      </c>
      <c r="AA197" s="259">
        <v>0</v>
      </c>
      <c r="AB197" s="259"/>
      <c r="AC197" s="259"/>
      <c r="AD197" s="259"/>
      <c r="AE197" s="259">
        <f>SUM(AF197:AF197)</f>
        <v>0</v>
      </c>
      <c r="AF197" s="259"/>
      <c r="AG197" s="259"/>
      <c r="AH197" s="259"/>
      <c r="AI197" s="259"/>
      <c r="AJ197" s="259"/>
      <c r="AK197" s="259"/>
      <c r="AL197" s="259"/>
      <c r="AM197" s="259"/>
      <c r="AN197" s="259"/>
      <c r="AO197" s="411"/>
    </row>
    <row r="198" spans="1:41" s="97" customFormat="1" ht="26.25" hidden="1" customHeight="1" x14ac:dyDescent="0.25">
      <c r="A198" s="324"/>
      <c r="B198" s="252" t="s">
        <v>229</v>
      </c>
      <c r="C198" s="253"/>
      <c r="D198" s="253"/>
      <c r="E198" s="253"/>
      <c r="F198" s="254"/>
      <c r="G198" s="255"/>
      <c r="H198" s="256"/>
      <c r="I198" s="104"/>
      <c r="J198" s="98"/>
      <c r="K198" s="257"/>
      <c r="L198" s="848"/>
      <c r="M198" s="259"/>
      <c r="N198" s="259"/>
      <c r="O198" s="259"/>
      <c r="P198" s="83"/>
      <c r="Q198" s="259">
        <f>S198+U198+W198+Y198</f>
        <v>0</v>
      </c>
      <c r="R198" s="259"/>
      <c r="S198" s="259"/>
      <c r="T198" s="259"/>
      <c r="U198" s="259"/>
      <c r="V198" s="259"/>
      <c r="W198" s="259"/>
      <c r="X198" s="259">
        <v>0</v>
      </c>
      <c r="Y198" s="259">
        <v>0</v>
      </c>
      <c r="Z198" s="259">
        <v>0</v>
      </c>
      <c r="AA198" s="259">
        <v>0</v>
      </c>
      <c r="AB198" s="259"/>
      <c r="AC198" s="259"/>
      <c r="AD198" s="259"/>
      <c r="AE198" s="259">
        <f>SUM(AF198:AF198)</f>
        <v>0</v>
      </c>
      <c r="AF198" s="259"/>
      <c r="AG198" s="259"/>
      <c r="AH198" s="259"/>
      <c r="AI198" s="259"/>
      <c r="AJ198" s="259"/>
      <c r="AK198" s="259"/>
      <c r="AL198" s="259"/>
      <c r="AM198" s="259"/>
      <c r="AN198" s="259"/>
      <c r="AO198" s="411"/>
    </row>
    <row r="199" spans="1:41" s="97" customFormat="1" ht="18" hidden="1" customHeight="1" x14ac:dyDescent="0.25">
      <c r="A199" s="324"/>
      <c r="B199" s="252" t="s">
        <v>230</v>
      </c>
      <c r="C199" s="253"/>
      <c r="D199" s="253"/>
      <c r="E199" s="253"/>
      <c r="F199" s="254"/>
      <c r="G199" s="255"/>
      <c r="H199" s="256"/>
      <c r="I199" s="104"/>
      <c r="J199" s="98"/>
      <c r="K199" s="257"/>
      <c r="L199" s="848"/>
      <c r="M199" s="259"/>
      <c r="N199" s="259"/>
      <c r="O199" s="259"/>
      <c r="P199" s="83"/>
      <c r="Q199" s="259">
        <f>S199+U199+W199+Y199</f>
        <v>0</v>
      </c>
      <c r="R199" s="259">
        <f>S199</f>
        <v>0</v>
      </c>
      <c r="S199" s="259">
        <v>0</v>
      </c>
      <c r="T199" s="259">
        <v>0</v>
      </c>
      <c r="U199" s="259">
        <v>0</v>
      </c>
      <c r="V199" s="259"/>
      <c r="W199" s="259">
        <v>0</v>
      </c>
      <c r="X199" s="259">
        <v>0</v>
      </c>
      <c r="Y199" s="259">
        <v>0</v>
      </c>
      <c r="Z199" s="259">
        <f>AA199+AB199</f>
        <v>0</v>
      </c>
      <c r="AA199" s="259">
        <v>0</v>
      </c>
      <c r="AB199" s="259">
        <v>0</v>
      </c>
      <c r="AC199" s="259">
        <v>0</v>
      </c>
      <c r="AD199" s="259"/>
      <c r="AE199" s="259">
        <f>SUM(AF199:AF199)</f>
        <v>0</v>
      </c>
      <c r="AF199" s="259"/>
      <c r="AG199" s="259"/>
      <c r="AH199" s="259"/>
      <c r="AI199" s="259"/>
      <c r="AJ199" s="259"/>
      <c r="AK199" s="259"/>
      <c r="AL199" s="259"/>
      <c r="AM199" s="259"/>
      <c r="AN199" s="259"/>
      <c r="AO199" s="411"/>
    </row>
    <row r="200" spans="1:41" s="97" customFormat="1" ht="18" hidden="1" customHeight="1" x14ac:dyDescent="0.25">
      <c r="A200" s="324"/>
      <c r="B200" s="252" t="s">
        <v>231</v>
      </c>
      <c r="C200" s="253"/>
      <c r="D200" s="253"/>
      <c r="E200" s="253"/>
      <c r="F200" s="254"/>
      <c r="G200" s="255"/>
      <c r="H200" s="256"/>
      <c r="I200" s="104"/>
      <c r="J200" s="98"/>
      <c r="K200" s="257"/>
      <c r="L200" s="848"/>
      <c r="M200" s="259"/>
      <c r="N200" s="259"/>
      <c r="O200" s="259"/>
      <c r="P200" s="83"/>
      <c r="Q200" s="259">
        <f>S200+U200+W200+Y200</f>
        <v>0</v>
      </c>
      <c r="R200" s="259"/>
      <c r="S200" s="259"/>
      <c r="T200" s="259">
        <v>0</v>
      </c>
      <c r="U200" s="259">
        <v>0</v>
      </c>
      <c r="V200" s="259"/>
      <c r="W200" s="259"/>
      <c r="X200" s="259">
        <v>0</v>
      </c>
      <c r="Y200" s="259">
        <v>0</v>
      </c>
      <c r="Z200" s="259">
        <f>AA200+AB200</f>
        <v>0</v>
      </c>
      <c r="AA200" s="259">
        <v>0</v>
      </c>
      <c r="AB200" s="259"/>
      <c r="AC200" s="259"/>
      <c r="AD200" s="259"/>
      <c r="AE200" s="259">
        <f>SUM(AF200:AF200)</f>
        <v>0</v>
      </c>
      <c r="AF200" s="259"/>
      <c r="AG200" s="259"/>
      <c r="AH200" s="259"/>
      <c r="AI200" s="259"/>
      <c r="AJ200" s="259"/>
      <c r="AK200" s="259"/>
      <c r="AL200" s="259"/>
      <c r="AM200" s="259"/>
      <c r="AN200" s="259"/>
      <c r="AO200" s="411"/>
    </row>
    <row r="201" spans="1:41" s="97" customFormat="1" ht="18" hidden="1" customHeight="1" x14ac:dyDescent="0.25">
      <c r="A201" s="324"/>
      <c r="B201" s="252" t="s">
        <v>259</v>
      </c>
      <c r="C201" s="253"/>
      <c r="D201" s="253"/>
      <c r="E201" s="253"/>
      <c r="F201" s="254"/>
      <c r="G201" s="255"/>
      <c r="H201" s="256"/>
      <c r="I201" s="104"/>
      <c r="J201" s="98"/>
      <c r="K201" s="257"/>
      <c r="L201" s="848"/>
      <c r="M201" s="259"/>
      <c r="N201" s="259"/>
      <c r="O201" s="259"/>
      <c r="P201" s="83"/>
      <c r="Q201" s="259">
        <v>0</v>
      </c>
      <c r="R201" s="259"/>
      <c r="S201" s="259"/>
      <c r="T201" s="259">
        <v>0</v>
      </c>
      <c r="U201" s="259">
        <v>0</v>
      </c>
      <c r="V201" s="259"/>
      <c r="W201" s="259"/>
      <c r="X201" s="259"/>
      <c r="Y201" s="259"/>
      <c r="Z201" s="259">
        <f>AA201+AB201</f>
        <v>0</v>
      </c>
      <c r="AA201" s="259"/>
      <c r="AB201" s="259">
        <v>0</v>
      </c>
      <c r="AC201" s="259"/>
      <c r="AD201" s="259"/>
      <c r="AE201" s="259"/>
      <c r="AF201" s="259"/>
      <c r="AG201" s="259"/>
      <c r="AH201" s="259"/>
      <c r="AI201" s="259"/>
      <c r="AJ201" s="259"/>
      <c r="AK201" s="259"/>
      <c r="AL201" s="259"/>
      <c r="AM201" s="259"/>
      <c r="AN201" s="259"/>
      <c r="AO201" s="411"/>
    </row>
    <row r="202" spans="1:41" s="97" customFormat="1" ht="18" hidden="1" customHeight="1" x14ac:dyDescent="0.25">
      <c r="A202" s="324"/>
      <c r="B202" s="252" t="s">
        <v>153</v>
      </c>
      <c r="C202" s="253"/>
      <c r="D202" s="253"/>
      <c r="E202" s="253"/>
      <c r="F202" s="254"/>
      <c r="G202" s="255"/>
      <c r="H202" s="256"/>
      <c r="I202" s="104"/>
      <c r="J202" s="98"/>
      <c r="K202" s="257"/>
      <c r="L202" s="848"/>
      <c r="M202" s="259"/>
      <c r="N202" s="259"/>
      <c r="O202" s="259"/>
      <c r="P202" s="83"/>
      <c r="Q202" s="259">
        <f>S202+U202+W202+Y202</f>
        <v>0</v>
      </c>
      <c r="R202" s="259">
        <f>S202</f>
        <v>0</v>
      </c>
      <c r="S202" s="259">
        <v>0</v>
      </c>
      <c r="T202" s="259">
        <v>0</v>
      </c>
      <c r="U202" s="259">
        <v>0</v>
      </c>
      <c r="V202" s="259"/>
      <c r="W202" s="259"/>
      <c r="X202" s="259">
        <v>0</v>
      </c>
      <c r="Y202" s="259">
        <v>0</v>
      </c>
      <c r="Z202" s="259">
        <v>0</v>
      </c>
      <c r="AA202" s="259">
        <v>0</v>
      </c>
      <c r="AB202" s="259"/>
      <c r="AC202" s="259"/>
      <c r="AD202" s="259"/>
      <c r="AE202" s="259">
        <f>SUM(AF202:AF202)</f>
        <v>0</v>
      </c>
      <c r="AF202" s="259"/>
      <c r="AG202" s="259"/>
      <c r="AH202" s="259"/>
      <c r="AI202" s="259"/>
      <c r="AJ202" s="259"/>
      <c r="AK202" s="259"/>
      <c r="AL202" s="259"/>
      <c r="AM202" s="259"/>
      <c r="AN202" s="259"/>
      <c r="AO202" s="411"/>
    </row>
    <row r="203" spans="1:41" s="319" customFormat="1" ht="78.75" customHeight="1" x14ac:dyDescent="0.25">
      <c r="A203" s="1398" t="s">
        <v>167</v>
      </c>
      <c r="B203" s="80" t="s">
        <v>168</v>
      </c>
      <c r="C203" s="330"/>
      <c r="D203" s="330"/>
      <c r="E203" s="330"/>
      <c r="F203" s="315"/>
      <c r="G203" s="331"/>
      <c r="H203" s="332"/>
      <c r="I203" s="1326" t="s">
        <v>19</v>
      </c>
      <c r="J203" s="328"/>
      <c r="K203" s="329"/>
      <c r="L203" s="284">
        <f>L204+L207</f>
        <v>71056.58</v>
      </c>
      <c r="M203" s="284">
        <f t="shared" ref="M203:AM203" si="223">M204+M207</f>
        <v>0</v>
      </c>
      <c r="N203" s="284">
        <f t="shared" si="223"/>
        <v>377.26</v>
      </c>
      <c r="O203" s="284">
        <f t="shared" si="223"/>
        <v>0</v>
      </c>
      <c r="P203" s="284">
        <f t="shared" si="223"/>
        <v>70000</v>
      </c>
      <c r="Q203" s="284">
        <f t="shared" si="223"/>
        <v>0</v>
      </c>
      <c r="R203" s="284">
        <f t="shared" si="223"/>
        <v>0</v>
      </c>
      <c r="S203" s="284">
        <f t="shared" si="223"/>
        <v>0</v>
      </c>
      <c r="T203" s="284">
        <f t="shared" si="223"/>
        <v>0</v>
      </c>
      <c r="U203" s="284">
        <f t="shared" si="223"/>
        <v>0</v>
      </c>
      <c r="V203" s="284">
        <f t="shared" si="223"/>
        <v>7000</v>
      </c>
      <c r="W203" s="284">
        <f t="shared" si="223"/>
        <v>0</v>
      </c>
      <c r="X203" s="284">
        <f t="shared" si="223"/>
        <v>0</v>
      </c>
      <c r="Y203" s="284">
        <f t="shared" si="223"/>
        <v>0</v>
      </c>
      <c r="Z203" s="284">
        <f t="shared" si="223"/>
        <v>0</v>
      </c>
      <c r="AA203" s="284">
        <f t="shared" si="223"/>
        <v>0</v>
      </c>
      <c r="AB203" s="284">
        <f t="shared" si="223"/>
        <v>0</v>
      </c>
      <c r="AC203" s="284">
        <f t="shared" si="223"/>
        <v>0</v>
      </c>
      <c r="AD203" s="284">
        <f t="shared" si="223"/>
        <v>0</v>
      </c>
      <c r="AE203" s="284">
        <f t="shared" si="223"/>
        <v>0</v>
      </c>
      <c r="AF203" s="284">
        <f t="shared" si="223"/>
        <v>0</v>
      </c>
      <c r="AG203" s="284">
        <f t="shared" si="223"/>
        <v>0</v>
      </c>
      <c r="AH203" s="284">
        <f t="shared" si="223"/>
        <v>0</v>
      </c>
      <c r="AI203" s="284">
        <f t="shared" si="223"/>
        <v>0</v>
      </c>
      <c r="AJ203" s="79">
        <f>P203-Q203</f>
        <v>70000</v>
      </c>
      <c r="AK203" s="284">
        <f>AJ203</f>
        <v>70000</v>
      </c>
      <c r="AL203" s="284">
        <f t="shared" si="223"/>
        <v>0</v>
      </c>
      <c r="AM203" s="284">
        <f t="shared" si="223"/>
        <v>0</v>
      </c>
      <c r="AN203" s="284">
        <f t="shared" ref="AN203" si="224">AN204</f>
        <v>0</v>
      </c>
      <c r="AO203" s="424" t="s">
        <v>244</v>
      </c>
    </row>
    <row r="204" spans="1:41" ht="18" customHeight="1" x14ac:dyDescent="0.25">
      <c r="A204" s="1399"/>
      <c r="B204" s="42" t="s">
        <v>15</v>
      </c>
      <c r="C204" s="334"/>
      <c r="D204" s="334"/>
      <c r="E204" s="334"/>
      <c r="F204" s="312"/>
      <c r="G204" s="335"/>
      <c r="H204" s="336"/>
      <c r="I204" s="1327"/>
      <c r="J204" s="275"/>
      <c r="K204" s="337"/>
      <c r="L204" s="848">
        <v>8054.94</v>
      </c>
      <c r="M204" s="83">
        <v>0</v>
      </c>
      <c r="N204" s="83">
        <v>377.26</v>
      </c>
      <c r="O204" s="83">
        <v>0</v>
      </c>
      <c r="P204" s="83">
        <v>7000</v>
      </c>
      <c r="Q204" s="83">
        <f>SUM(Q205:Q206)</f>
        <v>0</v>
      </c>
      <c r="R204" s="83">
        <v>0</v>
      </c>
      <c r="S204" s="83">
        <v>0</v>
      </c>
      <c r="T204" s="83">
        <f>SUM(T205:T206)</f>
        <v>0</v>
      </c>
      <c r="U204" s="83">
        <f>SUM(U205:U206)</f>
        <v>0</v>
      </c>
      <c r="V204" s="83">
        <v>7000</v>
      </c>
      <c r="W204" s="83">
        <f t="shared" ref="W204:AB204" si="225">SUM(W205:W206)</f>
        <v>0</v>
      </c>
      <c r="X204" s="83">
        <f t="shared" si="225"/>
        <v>0</v>
      </c>
      <c r="Y204" s="83">
        <f t="shared" si="225"/>
        <v>0</v>
      </c>
      <c r="Z204" s="83">
        <f t="shared" si="225"/>
        <v>0</v>
      </c>
      <c r="AA204" s="83">
        <f t="shared" si="225"/>
        <v>0</v>
      </c>
      <c r="AB204" s="83">
        <f t="shared" si="225"/>
        <v>0</v>
      </c>
      <c r="AC204" s="83">
        <f>SUM(AC205:AC206)</f>
        <v>0</v>
      </c>
      <c r="AD204" s="83">
        <f>SUM(AD205:AD206)</f>
        <v>0</v>
      </c>
      <c r="AE204" s="83">
        <v>0</v>
      </c>
      <c r="AF204" s="83">
        <v>0</v>
      </c>
      <c r="AG204" s="83">
        <v>0</v>
      </c>
      <c r="AH204" s="83">
        <v>0</v>
      </c>
      <c r="AI204" s="83">
        <v>0</v>
      </c>
      <c r="AJ204" s="83">
        <v>0</v>
      </c>
      <c r="AK204" s="83">
        <v>0</v>
      </c>
      <c r="AL204" s="83">
        <v>0</v>
      </c>
      <c r="AM204" s="83">
        <v>0</v>
      </c>
      <c r="AN204" s="83">
        <v>0</v>
      </c>
      <c r="AO204" s="409"/>
    </row>
    <row r="205" spans="1:41" s="97" customFormat="1" ht="28.5" hidden="1" customHeight="1" x14ac:dyDescent="0.25">
      <c r="A205" s="1378"/>
      <c r="B205" s="252" t="s">
        <v>232</v>
      </c>
      <c r="C205" s="253"/>
      <c r="D205" s="253"/>
      <c r="E205" s="253"/>
      <c r="F205" s="254"/>
      <c r="G205" s="255"/>
      <c r="H205" s="256"/>
      <c r="I205" s="1378"/>
      <c r="J205" s="98"/>
      <c r="K205" s="257"/>
      <c r="L205" s="848"/>
      <c r="M205" s="259"/>
      <c r="N205" s="259"/>
      <c r="O205" s="259"/>
      <c r="P205" s="83"/>
      <c r="Q205" s="259"/>
      <c r="R205" s="259"/>
      <c r="S205" s="259"/>
      <c r="T205" s="259"/>
      <c r="U205" s="259"/>
      <c r="V205" s="259"/>
      <c r="W205" s="259"/>
      <c r="X205" s="83"/>
      <c r="Y205" s="83"/>
      <c r="Z205" s="259"/>
      <c r="AA205" s="259"/>
      <c r="AB205" s="259"/>
      <c r="AC205" s="259"/>
      <c r="AD205" s="259"/>
      <c r="AE205" s="259"/>
      <c r="AF205" s="259"/>
      <c r="AG205" s="259"/>
      <c r="AH205" s="259"/>
      <c r="AI205" s="259"/>
      <c r="AJ205" s="259"/>
      <c r="AK205" s="259"/>
      <c r="AL205" s="259"/>
      <c r="AM205" s="259"/>
      <c r="AN205" s="259"/>
      <c r="AO205" s="411"/>
    </row>
    <row r="206" spans="1:41" s="97" customFormat="1" ht="26.25" hidden="1" customHeight="1" x14ac:dyDescent="0.25">
      <c r="A206" s="1378"/>
      <c r="B206" s="252" t="s">
        <v>342</v>
      </c>
      <c r="C206" s="253"/>
      <c r="D206" s="253"/>
      <c r="E206" s="253"/>
      <c r="F206" s="254"/>
      <c r="G206" s="255"/>
      <c r="H206" s="256"/>
      <c r="I206" s="1378"/>
      <c r="J206" s="98"/>
      <c r="K206" s="257"/>
      <c r="L206" s="848"/>
      <c r="M206" s="259"/>
      <c r="N206" s="259"/>
      <c r="O206" s="259"/>
      <c r="P206" s="83">
        <f>Q206</f>
        <v>0</v>
      </c>
      <c r="Q206" s="259">
        <f>Y206</f>
        <v>0</v>
      </c>
      <c r="R206" s="259"/>
      <c r="S206" s="259"/>
      <c r="T206" s="259">
        <v>0</v>
      </c>
      <c r="U206" s="259">
        <v>0</v>
      </c>
      <c r="V206" s="259"/>
      <c r="W206" s="259"/>
      <c r="X206" s="259">
        <f>Y206</f>
        <v>0</v>
      </c>
      <c r="Y206" s="259">
        <v>0</v>
      </c>
      <c r="Z206" s="259">
        <f>SUM(AA206:AD206)</f>
        <v>0</v>
      </c>
      <c r="AA206" s="259"/>
      <c r="AB206" s="259">
        <v>0</v>
      </c>
      <c r="AC206" s="259"/>
      <c r="AD206" s="259">
        <v>0</v>
      </c>
      <c r="AE206" s="259"/>
      <c r="AF206" s="259"/>
      <c r="AG206" s="259"/>
      <c r="AH206" s="259"/>
      <c r="AI206" s="259"/>
      <c r="AJ206" s="259"/>
      <c r="AK206" s="259"/>
      <c r="AL206" s="259"/>
      <c r="AM206" s="259"/>
      <c r="AN206" s="259"/>
      <c r="AO206" s="411"/>
    </row>
    <row r="207" spans="1:41" ht="16.5" customHeight="1" x14ac:dyDescent="0.25">
      <c r="A207" s="1373"/>
      <c r="B207" s="42" t="s">
        <v>16</v>
      </c>
      <c r="C207" s="334"/>
      <c r="D207" s="334"/>
      <c r="E207" s="334"/>
      <c r="F207" s="312"/>
      <c r="G207" s="335"/>
      <c r="H207" s="336"/>
      <c r="I207" s="1373"/>
      <c r="J207" s="694"/>
      <c r="K207" s="337"/>
      <c r="L207" s="848">
        <v>63001.64</v>
      </c>
      <c r="M207" s="83"/>
      <c r="N207" s="83"/>
      <c r="O207" s="83"/>
      <c r="P207" s="83">
        <v>63000</v>
      </c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409"/>
    </row>
    <row r="208" spans="1:41" s="319" customFormat="1" ht="43.5" customHeight="1" x14ac:dyDescent="0.25">
      <c r="A208" s="1398" t="s">
        <v>169</v>
      </c>
      <c r="B208" s="80" t="s">
        <v>170</v>
      </c>
      <c r="C208" s="330"/>
      <c r="D208" s="330"/>
      <c r="E208" s="330"/>
      <c r="F208" s="315"/>
      <c r="G208" s="331"/>
      <c r="H208" s="332"/>
      <c r="I208" s="1326" t="s">
        <v>19</v>
      </c>
      <c r="J208" s="328"/>
      <c r="K208" s="329"/>
      <c r="L208" s="284">
        <f>L209</f>
        <v>10005.34</v>
      </c>
      <c r="M208" s="284">
        <f>M209</f>
        <v>0</v>
      </c>
      <c r="N208" s="284">
        <f t="shared" ref="N208:AN209" si="226">N209</f>
        <v>612.4</v>
      </c>
      <c r="O208" s="284">
        <f t="shared" si="226"/>
        <v>7188.28</v>
      </c>
      <c r="P208" s="284">
        <f t="shared" si="226"/>
        <v>1215.26</v>
      </c>
      <c r="Q208" s="284">
        <f t="shared" si="226"/>
        <v>0</v>
      </c>
      <c r="R208" s="284">
        <f t="shared" si="226"/>
        <v>0</v>
      </c>
      <c r="S208" s="284">
        <f t="shared" si="226"/>
        <v>0</v>
      </c>
      <c r="T208" s="284">
        <f t="shared" si="226"/>
        <v>0</v>
      </c>
      <c r="U208" s="284">
        <f t="shared" si="226"/>
        <v>0</v>
      </c>
      <c r="V208" s="284">
        <f t="shared" si="226"/>
        <v>0</v>
      </c>
      <c r="W208" s="284">
        <f t="shared" si="226"/>
        <v>0</v>
      </c>
      <c r="X208" s="284">
        <f t="shared" si="226"/>
        <v>0</v>
      </c>
      <c r="Y208" s="284">
        <f t="shared" si="226"/>
        <v>0</v>
      </c>
      <c r="Z208" s="284">
        <f t="shared" si="226"/>
        <v>0</v>
      </c>
      <c r="AA208" s="284">
        <f>AA209</f>
        <v>0</v>
      </c>
      <c r="AB208" s="284">
        <f>AB209</f>
        <v>0</v>
      </c>
      <c r="AC208" s="284">
        <f>AC209</f>
        <v>0</v>
      </c>
      <c r="AD208" s="284">
        <f>AD209</f>
        <v>0</v>
      </c>
      <c r="AE208" s="284">
        <f t="shared" si="226"/>
        <v>0</v>
      </c>
      <c r="AF208" s="284">
        <f t="shared" si="226"/>
        <v>0</v>
      </c>
      <c r="AG208" s="284">
        <f t="shared" si="226"/>
        <v>0</v>
      </c>
      <c r="AH208" s="284">
        <f t="shared" si="226"/>
        <v>0</v>
      </c>
      <c r="AI208" s="284">
        <f t="shared" si="226"/>
        <v>0</v>
      </c>
      <c r="AJ208" s="79">
        <f>P208-Q208</f>
        <v>1215.26</v>
      </c>
      <c r="AK208" s="284">
        <f>AJ208</f>
        <v>1215.26</v>
      </c>
      <c r="AL208" s="284">
        <f t="shared" si="226"/>
        <v>0</v>
      </c>
      <c r="AM208" s="284">
        <f t="shared" si="226"/>
        <v>0</v>
      </c>
      <c r="AN208" s="284">
        <f t="shared" si="226"/>
        <v>0</v>
      </c>
      <c r="AO208" s="424" t="s">
        <v>419</v>
      </c>
    </row>
    <row r="209" spans="1:41" ht="24" customHeight="1" x14ac:dyDescent="0.25">
      <c r="A209" s="1488"/>
      <c r="B209" s="42" t="s">
        <v>15</v>
      </c>
      <c r="C209" s="334"/>
      <c r="D209" s="334"/>
      <c r="E209" s="334"/>
      <c r="F209" s="312"/>
      <c r="G209" s="335"/>
      <c r="H209" s="336"/>
      <c r="I209" s="1328"/>
      <c r="J209" s="275"/>
      <c r="K209" s="337"/>
      <c r="L209" s="848">
        <v>10005.34</v>
      </c>
      <c r="M209" s="83">
        <v>0</v>
      </c>
      <c r="N209" s="83">
        <v>612.4</v>
      </c>
      <c r="O209" s="83">
        <v>7188.28</v>
      </c>
      <c r="P209" s="83">
        <v>1215.26</v>
      </c>
      <c r="Q209" s="83">
        <f>Q210</f>
        <v>0</v>
      </c>
      <c r="R209" s="83">
        <f t="shared" si="226"/>
        <v>0</v>
      </c>
      <c r="S209" s="83">
        <f t="shared" si="226"/>
        <v>0</v>
      </c>
      <c r="T209" s="83">
        <f t="shared" si="226"/>
        <v>0</v>
      </c>
      <c r="U209" s="83">
        <f t="shared" si="226"/>
        <v>0</v>
      </c>
      <c r="V209" s="83">
        <f t="shared" si="226"/>
        <v>0</v>
      </c>
      <c r="W209" s="83">
        <f t="shared" si="226"/>
        <v>0</v>
      </c>
      <c r="X209" s="83">
        <f t="shared" si="226"/>
        <v>0</v>
      </c>
      <c r="Y209" s="83">
        <f t="shared" si="226"/>
        <v>0</v>
      </c>
      <c r="Z209" s="83">
        <f t="shared" si="226"/>
        <v>0</v>
      </c>
      <c r="AA209" s="83">
        <f t="shared" si="226"/>
        <v>0</v>
      </c>
      <c r="AB209" s="83">
        <f t="shared" si="226"/>
        <v>0</v>
      </c>
      <c r="AC209" s="83">
        <f>AC210</f>
        <v>0</v>
      </c>
      <c r="AD209" s="83">
        <f>AD210</f>
        <v>0</v>
      </c>
      <c r="AE209" s="83">
        <f t="shared" si="226"/>
        <v>0</v>
      </c>
      <c r="AF209" s="83">
        <f t="shared" si="226"/>
        <v>0</v>
      </c>
      <c r="AG209" s="83">
        <v>0</v>
      </c>
      <c r="AH209" s="83">
        <v>0</v>
      </c>
      <c r="AI209" s="83">
        <v>0</v>
      </c>
      <c r="AJ209" s="83">
        <v>0</v>
      </c>
      <c r="AK209" s="83">
        <v>0</v>
      </c>
      <c r="AL209" s="83">
        <v>0</v>
      </c>
      <c r="AM209" s="83">
        <v>0</v>
      </c>
      <c r="AN209" s="83">
        <v>0</v>
      </c>
      <c r="AO209" s="409"/>
    </row>
    <row r="210" spans="1:41" s="97" customFormat="1" ht="27" hidden="1" customHeight="1" x14ac:dyDescent="0.25">
      <c r="A210" s="366"/>
      <c r="B210" s="252" t="s">
        <v>302</v>
      </c>
      <c r="C210" s="253"/>
      <c r="D210" s="253"/>
      <c r="E210" s="253"/>
      <c r="F210" s="254"/>
      <c r="G210" s="255"/>
      <c r="H210" s="256"/>
      <c r="I210" s="367"/>
      <c r="J210" s="98"/>
      <c r="K210" s="257"/>
      <c r="L210" s="848"/>
      <c r="M210" s="259"/>
      <c r="N210" s="259"/>
      <c r="O210" s="259"/>
      <c r="P210" s="83"/>
      <c r="Q210" s="259">
        <f>S210+U210</f>
        <v>0</v>
      </c>
      <c r="R210" s="259"/>
      <c r="S210" s="259"/>
      <c r="T210" s="259"/>
      <c r="U210" s="259">
        <v>0</v>
      </c>
      <c r="V210" s="259"/>
      <c r="W210" s="259"/>
      <c r="X210" s="259"/>
      <c r="Y210" s="259"/>
      <c r="Z210" s="259">
        <f>AA210</f>
        <v>0</v>
      </c>
      <c r="AA210" s="259">
        <v>0</v>
      </c>
      <c r="AB210" s="259"/>
      <c r="AC210" s="259"/>
      <c r="AD210" s="259"/>
      <c r="AE210" s="259"/>
      <c r="AF210" s="259"/>
      <c r="AG210" s="259"/>
      <c r="AH210" s="259"/>
      <c r="AI210" s="259"/>
      <c r="AJ210" s="259"/>
      <c r="AK210" s="259"/>
      <c r="AL210" s="259"/>
      <c r="AM210" s="259"/>
      <c r="AN210" s="259"/>
      <c r="AO210" s="411"/>
    </row>
    <row r="211" spans="1:41" s="319" customFormat="1" ht="78.75" customHeight="1" x14ac:dyDescent="0.25">
      <c r="A211" s="1398" t="s">
        <v>171</v>
      </c>
      <c r="B211" s="80" t="s">
        <v>172</v>
      </c>
      <c r="C211" s="330"/>
      <c r="D211" s="330"/>
      <c r="E211" s="330"/>
      <c r="F211" s="315"/>
      <c r="G211" s="331"/>
      <c r="H211" s="332"/>
      <c r="I211" s="1326" t="s">
        <v>19</v>
      </c>
      <c r="J211" s="328"/>
      <c r="K211" s="329"/>
      <c r="L211" s="284">
        <f>L212+L218</f>
        <v>204849.53</v>
      </c>
      <c r="M211" s="284">
        <f>M212+M218</f>
        <v>195485</v>
      </c>
      <c r="N211" s="284">
        <f>N212+N218</f>
        <v>203676.84</v>
      </c>
      <c r="O211" s="284">
        <f t="shared" ref="O211:AN211" si="227">O212</f>
        <v>1116.69</v>
      </c>
      <c r="P211" s="284">
        <f>P212+P218</f>
        <v>0</v>
      </c>
      <c r="Q211" s="284">
        <f t="shared" si="227"/>
        <v>0</v>
      </c>
      <c r="R211" s="284">
        <f t="shared" si="227"/>
        <v>0</v>
      </c>
      <c r="S211" s="284">
        <f t="shared" si="227"/>
        <v>0</v>
      </c>
      <c r="T211" s="284">
        <f t="shared" si="227"/>
        <v>0</v>
      </c>
      <c r="U211" s="284">
        <f t="shared" si="227"/>
        <v>0</v>
      </c>
      <c r="V211" s="284">
        <f t="shared" si="227"/>
        <v>0</v>
      </c>
      <c r="W211" s="284">
        <f t="shared" si="227"/>
        <v>0</v>
      </c>
      <c r="X211" s="284">
        <f t="shared" si="227"/>
        <v>0</v>
      </c>
      <c r="Y211" s="284">
        <f t="shared" si="227"/>
        <v>0</v>
      </c>
      <c r="Z211" s="284">
        <f t="shared" si="227"/>
        <v>0</v>
      </c>
      <c r="AA211" s="284">
        <f t="shared" si="227"/>
        <v>0</v>
      </c>
      <c r="AB211" s="284">
        <f t="shared" si="227"/>
        <v>0</v>
      </c>
      <c r="AC211" s="284">
        <f t="shared" si="227"/>
        <v>0</v>
      </c>
      <c r="AD211" s="284">
        <f t="shared" si="227"/>
        <v>0</v>
      </c>
      <c r="AE211" s="284">
        <f t="shared" si="227"/>
        <v>0</v>
      </c>
      <c r="AF211" s="284">
        <f t="shared" si="227"/>
        <v>0</v>
      </c>
      <c r="AG211" s="284">
        <f t="shared" si="227"/>
        <v>0</v>
      </c>
      <c r="AH211" s="284">
        <f t="shared" si="227"/>
        <v>0</v>
      </c>
      <c r="AI211" s="284">
        <f t="shared" si="227"/>
        <v>0</v>
      </c>
      <c r="AJ211" s="79">
        <f>P211-Q211</f>
        <v>0</v>
      </c>
      <c r="AK211" s="284">
        <f t="shared" si="227"/>
        <v>0</v>
      </c>
      <c r="AL211" s="284">
        <f t="shared" si="227"/>
        <v>0</v>
      </c>
      <c r="AM211" s="284">
        <f t="shared" si="227"/>
        <v>0</v>
      </c>
      <c r="AN211" s="284">
        <f t="shared" si="227"/>
        <v>0</v>
      </c>
      <c r="AO211" s="425" t="s">
        <v>418</v>
      </c>
    </row>
    <row r="212" spans="1:41" ht="18" customHeight="1" x14ac:dyDescent="0.25">
      <c r="A212" s="1399"/>
      <c r="B212" s="42" t="s">
        <v>15</v>
      </c>
      <c r="C212" s="334"/>
      <c r="D212" s="334"/>
      <c r="E212" s="334"/>
      <c r="F212" s="312"/>
      <c r="G212" s="335"/>
      <c r="H212" s="336"/>
      <c r="I212" s="1328"/>
      <c r="J212" s="275"/>
      <c r="K212" s="337"/>
      <c r="L212" s="848">
        <v>9364.5300000000007</v>
      </c>
      <c r="M212" s="83">
        <v>0</v>
      </c>
      <c r="N212" s="83">
        <v>8191.84</v>
      </c>
      <c r="O212" s="83">
        <v>1116.69</v>
      </c>
      <c r="P212" s="83">
        <v>0</v>
      </c>
      <c r="Q212" s="83">
        <f>SUM(Q213:Q217)</f>
        <v>0</v>
      </c>
      <c r="R212" s="83">
        <v>0</v>
      </c>
      <c r="S212" s="83">
        <f>SUM(S213:S217)</f>
        <v>0</v>
      </c>
      <c r="T212" s="83">
        <v>0</v>
      </c>
      <c r="U212" s="83">
        <v>0</v>
      </c>
      <c r="V212" s="83">
        <v>0</v>
      </c>
      <c r="W212" s="83">
        <v>0</v>
      </c>
      <c r="X212" s="83">
        <v>0</v>
      </c>
      <c r="Y212" s="83">
        <v>0</v>
      </c>
      <c r="Z212" s="83">
        <f>SUM(Z213:Z217)</f>
        <v>0</v>
      </c>
      <c r="AA212" s="83">
        <f t="shared" ref="AA212:AG212" si="228">SUM(AA213:AA215)</f>
        <v>0</v>
      </c>
      <c r="AB212" s="83">
        <f t="shared" si="228"/>
        <v>0</v>
      </c>
      <c r="AC212" s="83">
        <f t="shared" si="228"/>
        <v>0</v>
      </c>
      <c r="AD212" s="83">
        <f>SUM(AD213:AD217)</f>
        <v>0</v>
      </c>
      <c r="AE212" s="83">
        <f t="shared" si="228"/>
        <v>0</v>
      </c>
      <c r="AF212" s="83">
        <f t="shared" si="228"/>
        <v>0</v>
      </c>
      <c r="AG212" s="83">
        <f t="shared" si="228"/>
        <v>0</v>
      </c>
      <c r="AH212" s="83">
        <f>SUM(AH213:AH215)</f>
        <v>0</v>
      </c>
      <c r="AI212" s="83">
        <f>SUM(AI213:AI215)</f>
        <v>0</v>
      </c>
      <c r="AJ212" s="83">
        <v>0</v>
      </c>
      <c r="AK212" s="83">
        <v>0</v>
      </c>
      <c r="AL212" s="83">
        <v>0</v>
      </c>
      <c r="AM212" s="83">
        <v>0</v>
      </c>
      <c r="AN212" s="83">
        <v>0</v>
      </c>
      <c r="AO212" s="409"/>
    </row>
    <row r="213" spans="1:41" s="97" customFormat="1" ht="18" hidden="1" customHeight="1" x14ac:dyDescent="0.25">
      <c r="A213" s="1378"/>
      <c r="B213" s="252" t="s">
        <v>233</v>
      </c>
      <c r="C213" s="253"/>
      <c r="D213" s="253"/>
      <c r="E213" s="253"/>
      <c r="F213" s="254"/>
      <c r="G213" s="255"/>
      <c r="H213" s="256"/>
      <c r="I213" s="368"/>
      <c r="J213" s="98"/>
      <c r="K213" s="257"/>
      <c r="L213" s="848"/>
      <c r="M213" s="259"/>
      <c r="N213" s="259"/>
      <c r="O213" s="259"/>
      <c r="P213" s="83"/>
      <c r="Q213" s="259">
        <f>Y213</f>
        <v>0</v>
      </c>
      <c r="R213" s="259"/>
      <c r="S213" s="259"/>
      <c r="T213" s="259"/>
      <c r="U213" s="259"/>
      <c r="V213" s="259"/>
      <c r="W213" s="259"/>
      <c r="X213" s="259">
        <f>Y213</f>
        <v>0</v>
      </c>
      <c r="Y213" s="83"/>
      <c r="Z213" s="259"/>
      <c r="AA213" s="259"/>
      <c r="AB213" s="259"/>
      <c r="AC213" s="259"/>
      <c r="AD213" s="259"/>
      <c r="AE213" s="259"/>
      <c r="AF213" s="259"/>
      <c r="AG213" s="259"/>
      <c r="AH213" s="259"/>
      <c r="AI213" s="259"/>
      <c r="AJ213" s="259"/>
      <c r="AK213" s="259"/>
      <c r="AL213" s="259"/>
      <c r="AM213" s="259"/>
      <c r="AN213" s="259"/>
      <c r="AO213" s="411"/>
    </row>
    <row r="214" spans="1:41" s="97" customFormat="1" ht="18" hidden="1" customHeight="1" x14ac:dyDescent="0.25">
      <c r="A214" s="1378"/>
      <c r="B214" s="252" t="s">
        <v>262</v>
      </c>
      <c r="C214" s="253"/>
      <c r="D214" s="253"/>
      <c r="E214" s="253"/>
      <c r="F214" s="254"/>
      <c r="G214" s="255"/>
      <c r="H214" s="256"/>
      <c r="I214" s="368"/>
      <c r="J214" s="98"/>
      <c r="K214" s="257"/>
      <c r="L214" s="848"/>
      <c r="M214" s="259"/>
      <c r="N214" s="259"/>
      <c r="O214" s="259"/>
      <c r="P214" s="83"/>
      <c r="Q214" s="259">
        <f>S214+U214+W214</f>
        <v>0</v>
      </c>
      <c r="R214" s="259">
        <f>S214</f>
        <v>0</v>
      </c>
      <c r="S214" s="259">
        <v>0</v>
      </c>
      <c r="T214" s="259">
        <f>U214</f>
        <v>0</v>
      </c>
      <c r="U214" s="259">
        <v>0</v>
      </c>
      <c r="V214" s="259"/>
      <c r="W214" s="259">
        <v>0</v>
      </c>
      <c r="X214" s="259"/>
      <c r="Y214" s="259"/>
      <c r="Z214" s="259">
        <f>SUM(AA214:AB214)</f>
        <v>0</v>
      </c>
      <c r="AA214" s="259"/>
      <c r="AB214" s="259">
        <v>0</v>
      </c>
      <c r="AC214" s="259"/>
      <c r="AD214" s="259"/>
      <c r="AE214" s="259"/>
      <c r="AF214" s="259"/>
      <c r="AG214" s="259"/>
      <c r="AH214" s="259"/>
      <c r="AI214" s="259"/>
      <c r="AJ214" s="259"/>
      <c r="AK214" s="259"/>
      <c r="AL214" s="259"/>
      <c r="AM214" s="259"/>
      <c r="AN214" s="259"/>
      <c r="AO214" s="411"/>
    </row>
    <row r="215" spans="1:41" s="97" customFormat="1" ht="18" hidden="1" customHeight="1" x14ac:dyDescent="0.25">
      <c r="A215" s="1378"/>
      <c r="B215" s="252" t="s">
        <v>263</v>
      </c>
      <c r="C215" s="253"/>
      <c r="D215" s="253"/>
      <c r="E215" s="253"/>
      <c r="F215" s="254"/>
      <c r="G215" s="255"/>
      <c r="H215" s="256"/>
      <c r="I215" s="368"/>
      <c r="J215" s="98"/>
      <c r="K215" s="257"/>
      <c r="L215" s="848"/>
      <c r="M215" s="259"/>
      <c r="N215" s="259"/>
      <c r="O215" s="259"/>
      <c r="P215" s="83"/>
      <c r="Q215" s="259">
        <v>0</v>
      </c>
      <c r="R215" s="259">
        <v>0</v>
      </c>
      <c r="S215" s="259">
        <v>0</v>
      </c>
      <c r="T215" s="259">
        <v>0</v>
      </c>
      <c r="U215" s="259">
        <v>0</v>
      </c>
      <c r="V215" s="259"/>
      <c r="W215" s="259"/>
      <c r="X215" s="259"/>
      <c r="Y215" s="259"/>
      <c r="Z215" s="259">
        <f>SUM(AA215:AB215)</f>
        <v>0</v>
      </c>
      <c r="AA215" s="259"/>
      <c r="AB215" s="259">
        <v>0</v>
      </c>
      <c r="AC215" s="259"/>
      <c r="AD215" s="259"/>
      <c r="AE215" s="259"/>
      <c r="AF215" s="259"/>
      <c r="AG215" s="259"/>
      <c r="AH215" s="259"/>
      <c r="AI215" s="259"/>
      <c r="AJ215" s="259"/>
      <c r="AK215" s="259"/>
      <c r="AL215" s="259"/>
      <c r="AM215" s="259"/>
      <c r="AN215" s="259"/>
      <c r="AO215" s="411"/>
    </row>
    <row r="216" spans="1:41" s="97" customFormat="1" ht="18" hidden="1" customHeight="1" x14ac:dyDescent="0.25">
      <c r="A216" s="1378"/>
      <c r="B216" s="252" t="s">
        <v>292</v>
      </c>
      <c r="C216" s="253"/>
      <c r="D216" s="253"/>
      <c r="E216" s="253"/>
      <c r="F216" s="254"/>
      <c r="G216" s="255"/>
      <c r="H216" s="256"/>
      <c r="I216" s="368"/>
      <c r="J216" s="98"/>
      <c r="K216" s="257"/>
      <c r="L216" s="848"/>
      <c r="M216" s="259"/>
      <c r="N216" s="259"/>
      <c r="O216" s="259"/>
      <c r="P216" s="83"/>
      <c r="Q216" s="259">
        <f>Y216</f>
        <v>0</v>
      </c>
      <c r="R216" s="259"/>
      <c r="S216" s="259"/>
      <c r="T216" s="259"/>
      <c r="U216" s="259"/>
      <c r="V216" s="259"/>
      <c r="W216" s="259"/>
      <c r="X216" s="259">
        <f>Y216</f>
        <v>0</v>
      </c>
      <c r="Y216" s="259">
        <v>0</v>
      </c>
      <c r="Z216" s="259">
        <f>SUM(AA216:AD216)</f>
        <v>0</v>
      </c>
      <c r="AA216" s="259"/>
      <c r="AB216" s="259"/>
      <c r="AC216" s="259"/>
      <c r="AD216" s="259">
        <v>0</v>
      </c>
      <c r="AE216" s="259"/>
      <c r="AF216" s="259"/>
      <c r="AG216" s="259"/>
      <c r="AH216" s="259"/>
      <c r="AI216" s="259"/>
      <c r="AJ216" s="259"/>
      <c r="AK216" s="259"/>
      <c r="AL216" s="259"/>
      <c r="AM216" s="259"/>
      <c r="AN216" s="259"/>
      <c r="AO216" s="411"/>
    </row>
    <row r="217" spans="1:41" s="97" customFormat="1" ht="18" hidden="1" customHeight="1" x14ac:dyDescent="0.25">
      <c r="A217" s="1378"/>
      <c r="B217" s="252" t="s">
        <v>293</v>
      </c>
      <c r="C217" s="253"/>
      <c r="D217" s="253"/>
      <c r="E217" s="253"/>
      <c r="F217" s="254"/>
      <c r="G217" s="255"/>
      <c r="H217" s="256"/>
      <c r="I217" s="368"/>
      <c r="J217" s="98"/>
      <c r="K217" s="257"/>
      <c r="L217" s="848"/>
      <c r="M217" s="259"/>
      <c r="N217" s="259"/>
      <c r="O217" s="259"/>
      <c r="P217" s="83"/>
      <c r="Q217" s="259">
        <f>Y217</f>
        <v>0</v>
      </c>
      <c r="R217" s="259"/>
      <c r="S217" s="259"/>
      <c r="T217" s="259"/>
      <c r="U217" s="259"/>
      <c r="V217" s="259"/>
      <c r="W217" s="259"/>
      <c r="X217" s="259">
        <f>Y217</f>
        <v>0</v>
      </c>
      <c r="Y217" s="259">
        <v>0</v>
      </c>
      <c r="Z217" s="259">
        <f>SUM(AA217:AD217)</f>
        <v>0</v>
      </c>
      <c r="AA217" s="259"/>
      <c r="AB217" s="259"/>
      <c r="AC217" s="259"/>
      <c r="AD217" s="259">
        <v>0</v>
      </c>
      <c r="AE217" s="259"/>
      <c r="AF217" s="259"/>
      <c r="AG217" s="259"/>
      <c r="AH217" s="259"/>
      <c r="AI217" s="259"/>
      <c r="AJ217" s="259"/>
      <c r="AK217" s="259"/>
      <c r="AL217" s="259"/>
      <c r="AM217" s="259"/>
      <c r="AN217" s="259"/>
      <c r="AO217" s="411"/>
    </row>
    <row r="218" spans="1:41" ht="27" customHeight="1" x14ac:dyDescent="0.25">
      <c r="A218" s="1373"/>
      <c r="B218" s="42" t="s">
        <v>16</v>
      </c>
      <c r="C218" s="334"/>
      <c r="D218" s="334"/>
      <c r="E218" s="334"/>
      <c r="F218" s="312"/>
      <c r="G218" s="335"/>
      <c r="H218" s="336"/>
      <c r="I218" s="474" t="s">
        <v>10</v>
      </c>
      <c r="J218" s="475"/>
      <c r="K218" s="337"/>
      <c r="L218" s="848">
        <v>195485</v>
      </c>
      <c r="M218" s="72">
        <v>195485</v>
      </c>
      <c r="N218" s="72">
        <v>195485</v>
      </c>
      <c r="O218" s="72">
        <v>195485</v>
      </c>
      <c r="P218" s="848">
        <v>0</v>
      </c>
      <c r="Q218" s="705">
        <v>0</v>
      </c>
      <c r="R218" s="705">
        <v>0</v>
      </c>
      <c r="S218" s="705">
        <v>0</v>
      </c>
      <c r="T218" s="705">
        <v>0</v>
      </c>
      <c r="U218" s="705">
        <v>0</v>
      </c>
      <c r="V218" s="705">
        <v>0</v>
      </c>
      <c r="W218" s="705">
        <v>0</v>
      </c>
      <c r="X218" s="705">
        <v>0</v>
      </c>
      <c r="Y218" s="705">
        <v>0</v>
      </c>
      <c r="Z218" s="705">
        <v>0</v>
      </c>
      <c r="AA218" s="705">
        <v>0</v>
      </c>
      <c r="AB218" s="705">
        <v>0</v>
      </c>
      <c r="AC218" s="705">
        <v>0</v>
      </c>
      <c r="AD218" s="705">
        <v>0</v>
      </c>
      <c r="AE218" s="705">
        <v>0</v>
      </c>
      <c r="AF218" s="705">
        <v>0</v>
      </c>
      <c r="AG218" s="705">
        <v>0</v>
      </c>
      <c r="AH218" s="705">
        <v>0</v>
      </c>
      <c r="AI218" s="705">
        <v>0</v>
      </c>
      <c r="AJ218" s="705">
        <v>0</v>
      </c>
      <c r="AK218" s="705">
        <v>0</v>
      </c>
      <c r="AL218" s="705">
        <v>0</v>
      </c>
      <c r="AM218" s="705">
        <v>0</v>
      </c>
      <c r="AN218" s="705">
        <v>0</v>
      </c>
      <c r="AO218" s="409"/>
    </row>
    <row r="219" spans="1:41" s="319" customFormat="1" ht="54" customHeight="1" x14ac:dyDescent="0.25">
      <c r="A219" s="1490" t="s">
        <v>370</v>
      </c>
      <c r="B219" s="80" t="s">
        <v>427</v>
      </c>
      <c r="C219" s="330"/>
      <c r="D219" s="330"/>
      <c r="E219" s="330"/>
      <c r="F219" s="315"/>
      <c r="G219" s="331"/>
      <c r="H219" s="332"/>
      <c r="I219" s="1326" t="s">
        <v>19</v>
      </c>
      <c r="J219" s="328"/>
      <c r="K219" s="329"/>
      <c r="L219" s="284">
        <f>L220+L221</f>
        <v>12759.949999999999</v>
      </c>
      <c r="M219" s="284">
        <f t="shared" ref="M219" si="229">M220+M221</f>
        <v>0</v>
      </c>
      <c r="N219" s="284">
        <f t="shared" ref="N219" si="230">N220+N221</f>
        <v>8191.84</v>
      </c>
      <c r="O219" s="284">
        <f t="shared" ref="O219" si="231">O220+O221</f>
        <v>1116.69</v>
      </c>
      <c r="P219" s="284">
        <f t="shared" ref="P219" si="232">P220+P221</f>
        <v>12759.949999999999</v>
      </c>
      <c r="Q219" s="284">
        <f t="shared" ref="Q219" si="233">Q220+Q221</f>
        <v>0</v>
      </c>
      <c r="R219" s="284">
        <f t="shared" ref="R219" si="234">R220+R221</f>
        <v>0</v>
      </c>
      <c r="S219" s="284">
        <f t="shared" ref="S219" si="235">S220+S221</f>
        <v>0</v>
      </c>
      <c r="T219" s="284">
        <f t="shared" ref="T219" si="236">T220+T221</f>
        <v>0</v>
      </c>
      <c r="U219" s="284">
        <f t="shared" ref="U219" si="237">U220+U221</f>
        <v>0</v>
      </c>
      <c r="V219" s="284">
        <f t="shared" ref="V219" si="238">V220+V221</f>
        <v>30</v>
      </c>
      <c r="W219" s="284">
        <f t="shared" ref="W219" si="239">W220+W221</f>
        <v>0</v>
      </c>
      <c r="X219" s="284">
        <f t="shared" ref="X219" si="240">X220+X221</f>
        <v>0</v>
      </c>
      <c r="Y219" s="284">
        <f t="shared" ref="Y219" si="241">Y220+Y221</f>
        <v>0</v>
      </c>
      <c r="Z219" s="284">
        <f t="shared" ref="Z219" si="242">Z220+Z221</f>
        <v>0</v>
      </c>
      <c r="AA219" s="284">
        <f t="shared" ref="AA219" si="243">AA220+AA221</f>
        <v>0</v>
      </c>
      <c r="AB219" s="284">
        <f t="shared" ref="AB219" si="244">AB220+AB221</f>
        <v>0</v>
      </c>
      <c r="AC219" s="284">
        <f t="shared" ref="AC219" si="245">AC220+AC221</f>
        <v>0</v>
      </c>
      <c r="AD219" s="284">
        <f>AD220+AD221</f>
        <v>9990.7165800000002</v>
      </c>
      <c r="AE219" s="284">
        <f t="shared" ref="AE219" si="246">AE220+AE221</f>
        <v>0</v>
      </c>
      <c r="AF219" s="284">
        <f t="shared" ref="AF219" si="247">AF220+AF221</f>
        <v>0</v>
      </c>
      <c r="AG219" s="284">
        <f t="shared" ref="AG219" si="248">AG220+AG221</f>
        <v>0</v>
      </c>
      <c r="AH219" s="284">
        <f t="shared" ref="AH219" si="249">AH220+AH221</f>
        <v>0</v>
      </c>
      <c r="AI219" s="284">
        <f t="shared" ref="AI219" si="250">AI220+AI221</f>
        <v>0</v>
      </c>
      <c r="AJ219" s="284">
        <f t="shared" ref="AJ219" si="251">AJ220+AJ221</f>
        <v>0</v>
      </c>
      <c r="AK219" s="284">
        <f t="shared" ref="AK219" si="252">AK220+AK221</f>
        <v>0</v>
      </c>
      <c r="AL219" s="284">
        <f t="shared" ref="AL219" si="253">AL220+AL221</f>
        <v>0</v>
      </c>
      <c r="AM219" s="284">
        <f t="shared" ref="AM219" si="254">AM220+AM221</f>
        <v>0</v>
      </c>
      <c r="AN219" s="284">
        <f t="shared" ref="AN219" si="255">AN220+AN221</f>
        <v>0</v>
      </c>
      <c r="AO219" s="425"/>
    </row>
    <row r="220" spans="1:41" ht="18" customHeight="1" x14ac:dyDescent="0.25">
      <c r="A220" s="1378"/>
      <c r="B220" s="42" t="s">
        <v>15</v>
      </c>
      <c r="C220" s="334"/>
      <c r="D220" s="334"/>
      <c r="E220" s="334"/>
      <c r="F220" s="312"/>
      <c r="G220" s="335"/>
      <c r="H220" s="336"/>
      <c r="I220" s="1328"/>
      <c r="J220" s="694"/>
      <c r="K220" s="337"/>
      <c r="L220" s="848">
        <v>1652.72</v>
      </c>
      <c r="M220" s="83">
        <v>0</v>
      </c>
      <c r="N220" s="83">
        <v>8191.84</v>
      </c>
      <c r="O220" s="83">
        <v>1116.69</v>
      </c>
      <c r="P220" s="83">
        <v>1652.72</v>
      </c>
      <c r="Q220" s="83">
        <v>0</v>
      </c>
      <c r="R220" s="83">
        <v>0</v>
      </c>
      <c r="S220" s="83">
        <v>0</v>
      </c>
      <c r="T220" s="83">
        <v>0</v>
      </c>
      <c r="U220" s="83">
        <v>0</v>
      </c>
      <c r="V220" s="83">
        <v>30</v>
      </c>
      <c r="W220" s="83">
        <v>0</v>
      </c>
      <c r="X220" s="83">
        <v>0</v>
      </c>
      <c r="Y220" s="83">
        <v>0</v>
      </c>
      <c r="Z220" s="83">
        <v>0</v>
      </c>
      <c r="AA220" s="83">
        <v>0</v>
      </c>
      <c r="AB220" s="83">
        <v>0</v>
      </c>
      <c r="AC220" s="83">
        <v>0</v>
      </c>
      <c r="AD220" s="83">
        <f>SUM(AD221:AD229)</f>
        <v>9990.7165800000002</v>
      </c>
      <c r="AE220" s="83">
        <f t="shared" ref="AE220:AG220" si="256">SUM(AE221:AE227)</f>
        <v>0</v>
      </c>
      <c r="AF220" s="83">
        <f t="shared" si="256"/>
        <v>0</v>
      </c>
      <c r="AG220" s="83">
        <f t="shared" si="256"/>
        <v>0</v>
      </c>
      <c r="AH220" s="83">
        <f>SUM(AH221:AH227)</f>
        <v>0</v>
      </c>
      <c r="AI220" s="83">
        <f>SUM(AI221:AI227)</f>
        <v>0</v>
      </c>
      <c r="AJ220" s="83">
        <v>0</v>
      </c>
      <c r="AK220" s="83">
        <v>0</v>
      </c>
      <c r="AL220" s="83">
        <v>0</v>
      </c>
      <c r="AM220" s="83">
        <v>0</v>
      </c>
      <c r="AN220" s="83">
        <v>0</v>
      </c>
      <c r="AO220" s="409"/>
    </row>
    <row r="221" spans="1:41" ht="16.5" customHeight="1" x14ac:dyDescent="0.25">
      <c r="A221" s="1373"/>
      <c r="B221" s="42" t="s">
        <v>16</v>
      </c>
      <c r="C221" s="334"/>
      <c r="D221" s="334"/>
      <c r="E221" s="334"/>
      <c r="F221" s="312"/>
      <c r="G221" s="335"/>
      <c r="H221" s="336"/>
      <c r="I221" s="695"/>
      <c r="J221" s="694"/>
      <c r="K221" s="337"/>
      <c r="L221" s="848">
        <v>11107.23</v>
      </c>
      <c r="M221" s="701"/>
      <c r="N221" s="701"/>
      <c r="O221" s="701"/>
      <c r="P221" s="848">
        <v>11107.23</v>
      </c>
      <c r="Q221" s="705">
        <v>0</v>
      </c>
      <c r="R221" s="705">
        <v>0</v>
      </c>
      <c r="S221" s="705">
        <v>0</v>
      </c>
      <c r="T221" s="705">
        <v>0</v>
      </c>
      <c r="U221" s="705">
        <v>0</v>
      </c>
      <c r="V221" s="705">
        <v>0</v>
      </c>
      <c r="W221" s="705">
        <v>0</v>
      </c>
      <c r="X221" s="705">
        <v>0</v>
      </c>
      <c r="Y221" s="705">
        <v>0</v>
      </c>
      <c r="Z221" s="705">
        <v>0</v>
      </c>
      <c r="AA221" s="705">
        <v>0</v>
      </c>
      <c r="AB221" s="705">
        <v>0</v>
      </c>
      <c r="AC221" s="705">
        <v>0</v>
      </c>
      <c r="AD221" s="705">
        <v>0</v>
      </c>
      <c r="AE221" s="705">
        <v>0</v>
      </c>
      <c r="AF221" s="705">
        <v>0</v>
      </c>
      <c r="AG221" s="705">
        <v>0</v>
      </c>
      <c r="AH221" s="705">
        <v>0</v>
      </c>
      <c r="AI221" s="705">
        <v>0</v>
      </c>
      <c r="AJ221" s="705">
        <v>0</v>
      </c>
      <c r="AK221" s="705">
        <v>0</v>
      </c>
      <c r="AL221" s="705">
        <v>0</v>
      </c>
      <c r="AM221" s="705">
        <v>0</v>
      </c>
      <c r="AN221" s="705">
        <v>0</v>
      </c>
      <c r="AO221" s="409"/>
    </row>
    <row r="222" spans="1:41" s="319" customFormat="1" ht="42" customHeight="1" x14ac:dyDescent="0.25">
      <c r="A222" s="1490" t="s">
        <v>372</v>
      </c>
      <c r="B222" s="80" t="s">
        <v>371</v>
      </c>
      <c r="C222" s="330"/>
      <c r="D222" s="330"/>
      <c r="E222" s="330"/>
      <c r="F222" s="315"/>
      <c r="G222" s="331"/>
      <c r="H222" s="332"/>
      <c r="I222" s="1326" t="s">
        <v>19</v>
      </c>
      <c r="J222" s="328"/>
      <c r="K222" s="329"/>
      <c r="L222" s="284">
        <f>L223+L224</f>
        <v>21627.71</v>
      </c>
      <c r="M222" s="284">
        <f t="shared" ref="M222" si="257">M223+M224</f>
        <v>0</v>
      </c>
      <c r="N222" s="284">
        <f t="shared" ref="N222" si="258">N223+N224</f>
        <v>8191.84</v>
      </c>
      <c r="O222" s="284">
        <f t="shared" ref="O222" si="259">O223+O224</f>
        <v>1116.69</v>
      </c>
      <c r="P222" s="284">
        <f t="shared" ref="P222" si="260">P223+P224</f>
        <v>21627.71</v>
      </c>
      <c r="Q222" s="284">
        <f t="shared" ref="Q222" si="261">Q223+Q224</f>
        <v>0</v>
      </c>
      <c r="R222" s="284">
        <f t="shared" ref="R222" si="262">R223+R224</f>
        <v>0</v>
      </c>
      <c r="S222" s="284">
        <f t="shared" ref="S222" si="263">S223+S224</f>
        <v>0</v>
      </c>
      <c r="T222" s="284">
        <f t="shared" ref="T222" si="264">T223+T224</f>
        <v>0</v>
      </c>
      <c r="U222" s="284">
        <f t="shared" ref="U222" si="265">U223+U224</f>
        <v>0</v>
      </c>
      <c r="V222" s="284">
        <f t="shared" ref="V222" si="266">V223+V224</f>
        <v>0</v>
      </c>
      <c r="W222" s="284">
        <f t="shared" ref="W222" si="267">W223+W224</f>
        <v>0</v>
      </c>
      <c r="X222" s="284">
        <f t="shared" ref="X222" si="268">X223+X224</f>
        <v>0</v>
      </c>
      <c r="Y222" s="284">
        <f t="shared" ref="Y222" si="269">Y223+Y224</f>
        <v>0</v>
      </c>
      <c r="Z222" s="284">
        <f t="shared" ref="Z222" si="270">Z223+Z224</f>
        <v>0</v>
      </c>
      <c r="AA222" s="284">
        <f t="shared" ref="AA222" si="271">AA223+AA224</f>
        <v>0</v>
      </c>
      <c r="AB222" s="284">
        <f t="shared" ref="AB222" si="272">AB223+AB224</f>
        <v>0</v>
      </c>
      <c r="AC222" s="284">
        <f t="shared" ref="AC222" si="273">AC223+AC224</f>
        <v>0</v>
      </c>
      <c r="AD222" s="284">
        <f>AD223+AD224</f>
        <v>3330.2388599999999</v>
      </c>
      <c r="AE222" s="284">
        <f t="shared" ref="AE222" si="274">AE223+AE224</f>
        <v>0</v>
      </c>
      <c r="AF222" s="284">
        <f t="shared" ref="AF222" si="275">AF223+AF224</f>
        <v>0</v>
      </c>
      <c r="AG222" s="284">
        <f t="shared" ref="AG222" si="276">AG223+AG224</f>
        <v>0</v>
      </c>
      <c r="AH222" s="284">
        <f t="shared" ref="AH222" si="277">AH223+AH224</f>
        <v>0</v>
      </c>
      <c r="AI222" s="284">
        <f t="shared" ref="AI222" si="278">AI223+AI224</f>
        <v>0</v>
      </c>
      <c r="AJ222" s="284">
        <f t="shared" ref="AJ222" si="279">AJ223+AJ224</f>
        <v>0</v>
      </c>
      <c r="AK222" s="284">
        <f t="shared" ref="AK222" si="280">AK223+AK224</f>
        <v>0</v>
      </c>
      <c r="AL222" s="284">
        <f t="shared" ref="AL222" si="281">AL223+AL224</f>
        <v>0</v>
      </c>
      <c r="AM222" s="284">
        <f t="shared" ref="AM222" si="282">AM223+AM224</f>
        <v>0</v>
      </c>
      <c r="AN222" s="284">
        <f t="shared" ref="AN222" si="283">AN223+AN224</f>
        <v>0</v>
      </c>
      <c r="AO222" s="425"/>
    </row>
    <row r="223" spans="1:41" ht="18" customHeight="1" x14ac:dyDescent="0.25">
      <c r="A223" s="1378"/>
      <c r="B223" s="42" t="s">
        <v>15</v>
      </c>
      <c r="C223" s="334"/>
      <c r="D223" s="334"/>
      <c r="E223" s="334"/>
      <c r="F223" s="312"/>
      <c r="G223" s="335"/>
      <c r="H223" s="336"/>
      <c r="I223" s="1328"/>
      <c r="J223" s="694"/>
      <c r="K223" s="337"/>
      <c r="L223" s="848">
        <v>1821.34</v>
      </c>
      <c r="M223" s="83">
        <v>0</v>
      </c>
      <c r="N223" s="83">
        <v>8191.84</v>
      </c>
      <c r="O223" s="83">
        <v>1116.69</v>
      </c>
      <c r="P223" s="83">
        <v>1821.34</v>
      </c>
      <c r="Q223" s="83">
        <v>0</v>
      </c>
      <c r="R223" s="83">
        <v>0</v>
      </c>
      <c r="S223" s="83">
        <v>0</v>
      </c>
      <c r="T223" s="83">
        <v>0</v>
      </c>
      <c r="U223" s="83">
        <v>0</v>
      </c>
      <c r="V223" s="83">
        <v>0</v>
      </c>
      <c r="W223" s="83">
        <v>0</v>
      </c>
      <c r="X223" s="83">
        <v>0</v>
      </c>
      <c r="Y223" s="83">
        <v>0</v>
      </c>
      <c r="Z223" s="83">
        <v>0</v>
      </c>
      <c r="AA223" s="83">
        <v>0</v>
      </c>
      <c r="AB223" s="83">
        <v>0</v>
      </c>
      <c r="AC223" s="83">
        <v>0</v>
      </c>
      <c r="AD223" s="83">
        <f>SUM(AD224:AD232)</f>
        <v>3330.2388599999999</v>
      </c>
      <c r="AE223" s="83">
        <f t="shared" ref="AE223:AG223" si="284">SUM(AE224:AE230)</f>
        <v>0</v>
      </c>
      <c r="AF223" s="83">
        <f t="shared" si="284"/>
        <v>0</v>
      </c>
      <c r="AG223" s="83">
        <f t="shared" si="284"/>
        <v>0</v>
      </c>
      <c r="AH223" s="83">
        <f>SUM(AH224:AH230)</f>
        <v>0</v>
      </c>
      <c r="AI223" s="83">
        <f>SUM(AI224:AI230)</f>
        <v>0</v>
      </c>
      <c r="AJ223" s="83">
        <v>0</v>
      </c>
      <c r="AK223" s="83">
        <v>0</v>
      </c>
      <c r="AL223" s="83">
        <v>0</v>
      </c>
      <c r="AM223" s="83">
        <v>0</v>
      </c>
      <c r="AN223" s="83">
        <v>0</v>
      </c>
      <c r="AO223" s="409"/>
    </row>
    <row r="224" spans="1:41" ht="16.5" customHeight="1" x14ac:dyDescent="0.25">
      <c r="A224" s="1373"/>
      <c r="B224" s="42" t="s">
        <v>16</v>
      </c>
      <c r="C224" s="334"/>
      <c r="D224" s="334"/>
      <c r="E224" s="334"/>
      <c r="F224" s="312"/>
      <c r="G224" s="335"/>
      <c r="H224" s="336"/>
      <c r="I224" s="695"/>
      <c r="J224" s="694"/>
      <c r="K224" s="337"/>
      <c r="L224" s="848">
        <v>19806.37</v>
      </c>
      <c r="M224" s="701"/>
      <c r="N224" s="701"/>
      <c r="O224" s="701"/>
      <c r="P224" s="848">
        <v>19806.37</v>
      </c>
      <c r="Q224" s="705">
        <v>0</v>
      </c>
      <c r="R224" s="705">
        <v>0</v>
      </c>
      <c r="S224" s="705">
        <v>0</v>
      </c>
      <c r="T224" s="705">
        <v>0</v>
      </c>
      <c r="U224" s="705">
        <v>0</v>
      </c>
      <c r="V224" s="705">
        <v>0</v>
      </c>
      <c r="W224" s="705">
        <v>0</v>
      </c>
      <c r="X224" s="705">
        <v>0</v>
      </c>
      <c r="Y224" s="705">
        <v>0</v>
      </c>
      <c r="Z224" s="705">
        <v>0</v>
      </c>
      <c r="AA224" s="705">
        <v>0</v>
      </c>
      <c r="AB224" s="705">
        <v>0</v>
      </c>
      <c r="AC224" s="705">
        <v>0</v>
      </c>
      <c r="AD224" s="705">
        <v>0</v>
      </c>
      <c r="AE224" s="705">
        <v>0</v>
      </c>
      <c r="AF224" s="705">
        <v>0</v>
      </c>
      <c r="AG224" s="705">
        <v>0</v>
      </c>
      <c r="AH224" s="705">
        <v>0</v>
      </c>
      <c r="AI224" s="705">
        <v>0</v>
      </c>
      <c r="AJ224" s="705">
        <v>0</v>
      </c>
      <c r="AK224" s="705">
        <v>0</v>
      </c>
      <c r="AL224" s="705">
        <v>0</v>
      </c>
      <c r="AM224" s="705">
        <v>0</v>
      </c>
      <c r="AN224" s="705">
        <v>0</v>
      </c>
      <c r="AO224" s="409"/>
    </row>
    <row r="225" spans="1:41" s="319" customFormat="1" ht="54.75" customHeight="1" x14ac:dyDescent="0.25">
      <c r="A225" s="1490" t="s">
        <v>370</v>
      </c>
      <c r="B225" s="80" t="s">
        <v>373</v>
      </c>
      <c r="C225" s="330"/>
      <c r="D225" s="330"/>
      <c r="E225" s="330"/>
      <c r="F225" s="315"/>
      <c r="G225" s="331"/>
      <c r="H225" s="332"/>
      <c r="I225" s="1326" t="s">
        <v>19</v>
      </c>
      <c r="J225" s="328"/>
      <c r="K225" s="329"/>
      <c r="L225" s="284">
        <f>L226+L227</f>
        <v>12759.59</v>
      </c>
      <c r="M225" s="284">
        <f t="shared" ref="M225" si="285">M226+M227</f>
        <v>0</v>
      </c>
      <c r="N225" s="284">
        <f t="shared" ref="N225" si="286">N226+N227</f>
        <v>8191.84</v>
      </c>
      <c r="O225" s="284">
        <f t="shared" ref="O225" si="287">O226+O227</f>
        <v>1116.69</v>
      </c>
      <c r="P225" s="284">
        <f t="shared" ref="P225" si="288">P226+P227</f>
        <v>12759.59</v>
      </c>
      <c r="Q225" s="284">
        <f t="shared" ref="Q225" si="289">Q226+Q227</f>
        <v>0</v>
      </c>
      <c r="R225" s="284">
        <f t="shared" ref="R225" si="290">R226+R227</f>
        <v>0</v>
      </c>
      <c r="S225" s="284">
        <f t="shared" ref="S225" si="291">S226+S227</f>
        <v>0</v>
      </c>
      <c r="T225" s="284">
        <f t="shared" ref="T225" si="292">T226+T227</f>
        <v>0</v>
      </c>
      <c r="U225" s="284">
        <f t="shared" ref="U225" si="293">U226+U227</f>
        <v>0</v>
      </c>
      <c r="V225" s="284">
        <f t="shared" ref="V225" si="294">V226+V227</f>
        <v>0</v>
      </c>
      <c r="W225" s="284">
        <f t="shared" ref="W225" si="295">W226+W227</f>
        <v>0</v>
      </c>
      <c r="X225" s="284">
        <f t="shared" ref="X225" si="296">X226+X227</f>
        <v>0</v>
      </c>
      <c r="Y225" s="284">
        <f t="shared" ref="Y225" si="297">Y226+Y227</f>
        <v>0</v>
      </c>
      <c r="Z225" s="284">
        <f t="shared" ref="Z225" si="298">Z226+Z227</f>
        <v>0</v>
      </c>
      <c r="AA225" s="284">
        <f t="shared" ref="AA225" si="299">AA226+AA227</f>
        <v>0</v>
      </c>
      <c r="AB225" s="284">
        <f t="shared" ref="AB225" si="300">AB226+AB227</f>
        <v>0</v>
      </c>
      <c r="AC225" s="284">
        <f t="shared" ref="AC225" si="301">AC226+AC227</f>
        <v>0</v>
      </c>
      <c r="AD225" s="284">
        <f>AD226+AD227</f>
        <v>1110.07962</v>
      </c>
      <c r="AE225" s="284">
        <f t="shared" ref="AE225" si="302">AE226+AE227</f>
        <v>0</v>
      </c>
      <c r="AF225" s="284">
        <f t="shared" ref="AF225" si="303">AF226+AF227</f>
        <v>0</v>
      </c>
      <c r="AG225" s="284">
        <f t="shared" ref="AG225" si="304">AG226+AG227</f>
        <v>0</v>
      </c>
      <c r="AH225" s="284">
        <f t="shared" ref="AH225" si="305">AH226+AH227</f>
        <v>0</v>
      </c>
      <c r="AI225" s="284">
        <f t="shared" ref="AI225" si="306">AI226+AI227</f>
        <v>0</v>
      </c>
      <c r="AJ225" s="284">
        <f t="shared" ref="AJ225" si="307">AJ226+AJ227</f>
        <v>0</v>
      </c>
      <c r="AK225" s="284">
        <f t="shared" ref="AK225" si="308">AK226+AK227</f>
        <v>0</v>
      </c>
      <c r="AL225" s="284">
        <f t="shared" ref="AL225" si="309">AL226+AL227</f>
        <v>0</v>
      </c>
      <c r="AM225" s="284">
        <f t="shared" ref="AM225" si="310">AM226+AM227</f>
        <v>0</v>
      </c>
      <c r="AN225" s="284">
        <f t="shared" ref="AN225" si="311">AN226+AN227</f>
        <v>0</v>
      </c>
      <c r="AO225" s="425"/>
    </row>
    <row r="226" spans="1:41" ht="18" customHeight="1" x14ac:dyDescent="0.25">
      <c r="A226" s="1378"/>
      <c r="B226" s="42" t="s">
        <v>15</v>
      </c>
      <c r="C226" s="334"/>
      <c r="D226" s="334"/>
      <c r="E226" s="334"/>
      <c r="F226" s="312"/>
      <c r="G226" s="335"/>
      <c r="H226" s="336"/>
      <c r="I226" s="1328"/>
      <c r="J226" s="694"/>
      <c r="K226" s="337"/>
      <c r="L226" s="848">
        <v>1652.36</v>
      </c>
      <c r="M226" s="83">
        <v>0</v>
      </c>
      <c r="N226" s="83">
        <v>8191.84</v>
      </c>
      <c r="O226" s="83">
        <v>1116.69</v>
      </c>
      <c r="P226" s="83">
        <v>1652.36</v>
      </c>
      <c r="Q226" s="83">
        <v>0</v>
      </c>
      <c r="R226" s="83">
        <v>0</v>
      </c>
      <c r="S226" s="83">
        <v>0</v>
      </c>
      <c r="T226" s="83">
        <v>0</v>
      </c>
      <c r="U226" s="83">
        <v>0</v>
      </c>
      <c r="V226" s="83">
        <v>0</v>
      </c>
      <c r="W226" s="83">
        <v>0</v>
      </c>
      <c r="X226" s="83">
        <v>0</v>
      </c>
      <c r="Y226" s="83">
        <v>0</v>
      </c>
      <c r="Z226" s="83">
        <v>0</v>
      </c>
      <c r="AA226" s="83">
        <v>0</v>
      </c>
      <c r="AB226" s="83">
        <v>0</v>
      </c>
      <c r="AC226" s="83">
        <v>0</v>
      </c>
      <c r="AD226" s="83">
        <f>SUM(AD227:AD235)</f>
        <v>1110.07962</v>
      </c>
      <c r="AE226" s="83">
        <f t="shared" ref="AE226:AG226" si="312">SUM(AE227:AE233)</f>
        <v>0</v>
      </c>
      <c r="AF226" s="83">
        <f t="shared" si="312"/>
        <v>0</v>
      </c>
      <c r="AG226" s="83">
        <f t="shared" si="312"/>
        <v>0</v>
      </c>
      <c r="AH226" s="83">
        <f>SUM(AH227:AH233)</f>
        <v>0</v>
      </c>
      <c r="AI226" s="83">
        <f>SUM(AI227:AI233)</f>
        <v>0</v>
      </c>
      <c r="AJ226" s="83">
        <v>0</v>
      </c>
      <c r="AK226" s="83">
        <v>0</v>
      </c>
      <c r="AL226" s="83">
        <v>0</v>
      </c>
      <c r="AM226" s="83">
        <v>0</v>
      </c>
      <c r="AN226" s="83">
        <v>0</v>
      </c>
      <c r="AO226" s="409"/>
    </row>
    <row r="227" spans="1:41" ht="17.25" customHeight="1" x14ac:dyDescent="0.25">
      <c r="A227" s="1373"/>
      <c r="B227" s="42" t="s">
        <v>16</v>
      </c>
      <c r="C227" s="334"/>
      <c r="D227" s="334"/>
      <c r="E227" s="334"/>
      <c r="F227" s="312"/>
      <c r="G227" s="335"/>
      <c r="H227" s="336"/>
      <c r="I227" s="695"/>
      <c r="J227" s="694"/>
      <c r="K227" s="337"/>
      <c r="L227" s="848">
        <v>11107.23</v>
      </c>
      <c r="M227" s="701"/>
      <c r="N227" s="701"/>
      <c r="O227" s="701"/>
      <c r="P227" s="848">
        <v>11107.23</v>
      </c>
      <c r="Q227" s="705">
        <v>0</v>
      </c>
      <c r="R227" s="705">
        <v>0</v>
      </c>
      <c r="S227" s="705">
        <v>0</v>
      </c>
      <c r="T227" s="705">
        <v>0</v>
      </c>
      <c r="U227" s="705">
        <v>0</v>
      </c>
      <c r="V227" s="705">
        <v>0</v>
      </c>
      <c r="W227" s="705">
        <v>0</v>
      </c>
      <c r="X227" s="705">
        <v>0</v>
      </c>
      <c r="Y227" s="705">
        <v>0</v>
      </c>
      <c r="Z227" s="705">
        <v>0</v>
      </c>
      <c r="AA227" s="705">
        <v>0</v>
      </c>
      <c r="AB227" s="705">
        <v>0</v>
      </c>
      <c r="AC227" s="705">
        <v>0</v>
      </c>
      <c r="AD227" s="705">
        <v>0</v>
      </c>
      <c r="AE227" s="705">
        <v>0</v>
      </c>
      <c r="AF227" s="705">
        <v>0</v>
      </c>
      <c r="AG227" s="705">
        <v>0</v>
      </c>
      <c r="AH227" s="705">
        <v>0</v>
      </c>
      <c r="AI227" s="705">
        <v>0</v>
      </c>
      <c r="AJ227" s="705">
        <v>0</v>
      </c>
      <c r="AK227" s="705">
        <v>0</v>
      </c>
      <c r="AL227" s="705">
        <v>0</v>
      </c>
      <c r="AM227" s="705">
        <v>0</v>
      </c>
      <c r="AN227" s="705">
        <v>0</v>
      </c>
      <c r="AO227" s="409"/>
    </row>
    <row r="228" spans="1:41" ht="43.5" customHeight="1" x14ac:dyDescent="0.25">
      <c r="A228" s="1535" t="s">
        <v>24</v>
      </c>
      <c r="B228" s="1335" t="s">
        <v>206</v>
      </c>
      <c r="C228" s="1336"/>
      <c r="D228" s="1336"/>
      <c r="E228" s="1336"/>
      <c r="F228" s="1336"/>
      <c r="G228" s="1336"/>
      <c r="H228" s="1337"/>
      <c r="I228" s="23" t="s">
        <v>19</v>
      </c>
      <c r="J228" s="49">
        <v>0</v>
      </c>
      <c r="K228" s="49">
        <v>0</v>
      </c>
      <c r="L228" s="22">
        <v>0</v>
      </c>
      <c r="M228" s="47">
        <v>0</v>
      </c>
      <c r="N228" s="47">
        <v>0</v>
      </c>
      <c r="O228" s="47">
        <v>1</v>
      </c>
      <c r="P228" s="47">
        <v>0</v>
      </c>
      <c r="Q228" s="47">
        <f>Q251</f>
        <v>1209.9796200000001</v>
      </c>
      <c r="R228" s="47">
        <f t="shared" ref="R228:AF228" si="313">R251</f>
        <v>0</v>
      </c>
      <c r="S228" s="47">
        <f t="shared" si="313"/>
        <v>99.9</v>
      </c>
      <c r="T228" s="47">
        <f t="shared" si="313"/>
        <v>0</v>
      </c>
      <c r="U228" s="47">
        <f t="shared" si="313"/>
        <v>0</v>
      </c>
      <c r="V228" s="47">
        <f t="shared" si="313"/>
        <v>0</v>
      </c>
      <c r="W228" s="47">
        <f t="shared" si="313"/>
        <v>0</v>
      </c>
      <c r="X228" s="47">
        <f t="shared" si="313"/>
        <v>0</v>
      </c>
      <c r="Y228" s="47">
        <f t="shared" si="313"/>
        <v>1110.07962</v>
      </c>
      <c r="Z228" s="47">
        <f t="shared" si="313"/>
        <v>1209.9796200000001</v>
      </c>
      <c r="AA228" s="47">
        <f t="shared" si="313"/>
        <v>99.9</v>
      </c>
      <c r="AB228" s="47">
        <f t="shared" si="313"/>
        <v>0</v>
      </c>
      <c r="AC228" s="47">
        <f t="shared" si="313"/>
        <v>0</v>
      </c>
      <c r="AD228" s="47">
        <f t="shared" si="313"/>
        <v>1110.07962</v>
      </c>
      <c r="AE228" s="47">
        <f t="shared" si="313"/>
        <v>0</v>
      </c>
      <c r="AF228" s="47">
        <f t="shared" si="313"/>
        <v>0</v>
      </c>
      <c r="AG228" s="47">
        <v>0</v>
      </c>
      <c r="AH228" s="47">
        <v>0</v>
      </c>
      <c r="AI228" s="47">
        <v>0</v>
      </c>
      <c r="AJ228" s="47">
        <v>0</v>
      </c>
      <c r="AK228" s="47">
        <v>0</v>
      </c>
      <c r="AL228" s="47">
        <v>0</v>
      </c>
      <c r="AM228" s="47">
        <v>0</v>
      </c>
      <c r="AN228" s="47">
        <v>0</v>
      </c>
      <c r="AO228" s="397"/>
    </row>
    <row r="229" spans="1:41" ht="41.25" customHeight="1" x14ac:dyDescent="0.25">
      <c r="A229" s="1535"/>
      <c r="B229" s="1338"/>
      <c r="C229" s="1339"/>
      <c r="D229" s="1339"/>
      <c r="E229" s="1339"/>
      <c r="F229" s="1339"/>
      <c r="G229" s="1339"/>
      <c r="H229" s="1340"/>
      <c r="I229" s="23" t="s">
        <v>20</v>
      </c>
      <c r="J229" s="49">
        <f>J232</f>
        <v>6379.79</v>
      </c>
      <c r="K229" s="49">
        <f>K232</f>
        <v>0</v>
      </c>
      <c r="L229" s="47">
        <f>L232+L237+L243+L256</f>
        <v>91268.12000000001</v>
      </c>
      <c r="M229" s="47">
        <f t="shared" ref="M229:O229" si="314">M232+M237+M243</f>
        <v>4269.0300000000007</v>
      </c>
      <c r="N229" s="47">
        <f t="shared" si="314"/>
        <v>5370.84</v>
      </c>
      <c r="O229" s="47">
        <f t="shared" si="314"/>
        <v>3372.5</v>
      </c>
      <c r="P229" s="47">
        <f>P232+P237+P243+P256</f>
        <v>81434.720000000001</v>
      </c>
      <c r="Q229" s="47">
        <f t="shared" ref="Q229:U229" si="315">Q232+Q237+Q243+Q256</f>
        <v>398</v>
      </c>
      <c r="R229" s="47">
        <f t="shared" si="315"/>
        <v>0</v>
      </c>
      <c r="S229" s="47">
        <f t="shared" si="315"/>
        <v>0</v>
      </c>
      <c r="T229" s="47">
        <f t="shared" si="315"/>
        <v>0</v>
      </c>
      <c r="U229" s="47">
        <f t="shared" si="315"/>
        <v>0</v>
      </c>
      <c r="V229" s="47">
        <f t="shared" ref="V229:Y229" si="316">V232+V237+V243+V256</f>
        <v>398</v>
      </c>
      <c r="W229" s="47">
        <f t="shared" si="316"/>
        <v>398</v>
      </c>
      <c r="X229" s="47">
        <f t="shared" si="316"/>
        <v>0</v>
      </c>
      <c r="Y229" s="47">
        <f t="shared" si="316"/>
        <v>0</v>
      </c>
      <c r="Z229" s="47">
        <f>Z232+Z237+Z243+Z256</f>
        <v>398</v>
      </c>
      <c r="AA229" s="47">
        <f t="shared" ref="AA229:AC229" si="317">AA232+AA237+AA243+AA256</f>
        <v>0</v>
      </c>
      <c r="AB229" s="47">
        <f t="shared" si="317"/>
        <v>0</v>
      </c>
      <c r="AC229" s="47">
        <f t="shared" si="317"/>
        <v>398</v>
      </c>
      <c r="AD229" s="47">
        <f>AD232+AD237+AD243</f>
        <v>0</v>
      </c>
      <c r="AE229" s="47">
        <f t="shared" ref="AE229:AJ229" si="318">AE232+AE237+AE243</f>
        <v>0</v>
      </c>
      <c r="AF229" s="47">
        <f>AF232+AF237+AF243</f>
        <v>0</v>
      </c>
      <c r="AG229" s="47">
        <f>AG232+AG237+AG243</f>
        <v>0</v>
      </c>
      <c r="AH229" s="47">
        <f>AH232+AH237+AH243</f>
        <v>0</v>
      </c>
      <c r="AI229" s="47">
        <f>AI232+AI237+AI243</f>
        <v>0</v>
      </c>
      <c r="AJ229" s="47">
        <f t="shared" si="318"/>
        <v>78556.570000000007</v>
      </c>
      <c r="AK229" s="47">
        <f>AK232</f>
        <v>78556.570000000007</v>
      </c>
      <c r="AL229" s="47">
        <f>AL232</f>
        <v>0</v>
      </c>
      <c r="AM229" s="47">
        <f>AM232</f>
        <v>0</v>
      </c>
      <c r="AN229" s="47">
        <f>AN232</f>
        <v>0</v>
      </c>
      <c r="AO229" s="397"/>
    </row>
    <row r="230" spans="1:41" ht="38.25" customHeight="1" x14ac:dyDescent="0.25">
      <c r="A230" s="1535"/>
      <c r="B230" s="1338"/>
      <c r="C230" s="1339"/>
      <c r="D230" s="1339"/>
      <c r="E230" s="1339"/>
      <c r="F230" s="1339"/>
      <c r="G230" s="1339"/>
      <c r="H230" s="1340"/>
      <c r="I230" s="15" t="s">
        <v>10</v>
      </c>
      <c r="J230" s="49">
        <v>0</v>
      </c>
      <c r="K230" s="49">
        <v>0</v>
      </c>
      <c r="L230" s="22">
        <f>L249+L254</f>
        <v>1650.1</v>
      </c>
      <c r="M230" s="22">
        <f t="shared" ref="M230:AN230" si="319">M249+M254</f>
        <v>1650.1</v>
      </c>
      <c r="N230" s="22">
        <f t="shared" si="319"/>
        <v>0</v>
      </c>
      <c r="O230" s="22">
        <f t="shared" si="319"/>
        <v>0</v>
      </c>
      <c r="P230" s="22">
        <f t="shared" si="319"/>
        <v>0</v>
      </c>
      <c r="Q230" s="22">
        <f>Q250</f>
        <v>0</v>
      </c>
      <c r="R230" s="22">
        <f t="shared" ref="R230:AF230" si="320">R250</f>
        <v>0</v>
      </c>
      <c r="S230" s="22">
        <f t="shared" si="320"/>
        <v>0</v>
      </c>
      <c r="T230" s="22">
        <f t="shared" si="320"/>
        <v>0</v>
      </c>
      <c r="U230" s="22">
        <f t="shared" si="320"/>
        <v>0</v>
      </c>
      <c r="V230" s="22">
        <f t="shared" si="320"/>
        <v>0</v>
      </c>
      <c r="W230" s="22">
        <f t="shared" si="320"/>
        <v>0</v>
      </c>
      <c r="X230" s="22">
        <f t="shared" si="320"/>
        <v>0</v>
      </c>
      <c r="Y230" s="22">
        <f t="shared" si="320"/>
        <v>0</v>
      </c>
      <c r="Z230" s="22">
        <f t="shared" si="320"/>
        <v>0</v>
      </c>
      <c r="AA230" s="22">
        <f t="shared" si="320"/>
        <v>0</v>
      </c>
      <c r="AB230" s="22">
        <f t="shared" si="320"/>
        <v>0</v>
      </c>
      <c r="AC230" s="22">
        <f t="shared" si="320"/>
        <v>0</v>
      </c>
      <c r="AD230" s="22">
        <f t="shared" si="320"/>
        <v>0</v>
      </c>
      <c r="AE230" s="22">
        <f t="shared" si="320"/>
        <v>0</v>
      </c>
      <c r="AF230" s="22">
        <f t="shared" si="320"/>
        <v>0</v>
      </c>
      <c r="AG230" s="22">
        <f t="shared" si="319"/>
        <v>0</v>
      </c>
      <c r="AH230" s="22">
        <f t="shared" si="319"/>
        <v>0</v>
      </c>
      <c r="AI230" s="22">
        <f t="shared" si="319"/>
        <v>0</v>
      </c>
      <c r="AJ230" s="22">
        <f t="shared" si="319"/>
        <v>0</v>
      </c>
      <c r="AK230" s="22">
        <f t="shared" si="319"/>
        <v>0</v>
      </c>
      <c r="AL230" s="22">
        <f t="shared" si="319"/>
        <v>0</v>
      </c>
      <c r="AM230" s="22">
        <f t="shared" si="319"/>
        <v>0</v>
      </c>
      <c r="AN230" s="22">
        <f t="shared" si="319"/>
        <v>0</v>
      </c>
      <c r="AO230" s="398"/>
    </row>
    <row r="231" spans="1:41" ht="25.5" x14ac:dyDescent="0.25">
      <c r="A231" s="1535"/>
      <c r="B231" s="1341"/>
      <c r="C231" s="1342"/>
      <c r="D231" s="1342"/>
      <c r="E231" s="1342"/>
      <c r="F231" s="1342"/>
      <c r="G231" s="1342"/>
      <c r="H231" s="1343"/>
      <c r="I231" s="15" t="s">
        <v>9</v>
      </c>
      <c r="J231" s="49">
        <v>0</v>
      </c>
      <c r="K231" s="49">
        <v>0</v>
      </c>
      <c r="L231" s="22">
        <v>0</v>
      </c>
      <c r="M231" s="22">
        <v>0</v>
      </c>
      <c r="N231" s="22">
        <v>0</v>
      </c>
      <c r="O231" s="22">
        <v>1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398"/>
    </row>
    <row r="232" spans="1:41" ht="57" customHeight="1" x14ac:dyDescent="0.25">
      <c r="A232" s="1450" t="s">
        <v>30</v>
      </c>
      <c r="B232" s="77" t="s">
        <v>173</v>
      </c>
      <c r="C232" s="1350">
        <v>300</v>
      </c>
      <c r="D232" s="1350">
        <v>570</v>
      </c>
      <c r="E232" s="1350"/>
      <c r="F232" s="1350"/>
      <c r="G232" s="2"/>
      <c r="H232" s="2"/>
      <c r="I232" s="1463" t="s">
        <v>20</v>
      </c>
      <c r="J232" s="1384">
        <v>6379.79</v>
      </c>
      <c r="K232" s="3">
        <v>0</v>
      </c>
      <c r="L232" s="79">
        <f t="shared" ref="L232:AG232" si="321">L233+L236</f>
        <v>84120.950000000012</v>
      </c>
      <c r="M232" s="79">
        <f t="shared" si="321"/>
        <v>0</v>
      </c>
      <c r="N232" s="79">
        <f t="shared" si="321"/>
        <v>5370.84</v>
      </c>
      <c r="O232" s="79">
        <f t="shared" si="321"/>
        <v>3372.5</v>
      </c>
      <c r="P232" s="79">
        <f t="shared" si="321"/>
        <v>78556.570000000007</v>
      </c>
      <c r="Q232" s="79">
        <f t="shared" si="321"/>
        <v>0</v>
      </c>
      <c r="R232" s="79">
        <f t="shared" si="321"/>
        <v>0</v>
      </c>
      <c r="S232" s="79">
        <f t="shared" si="321"/>
        <v>0</v>
      </c>
      <c r="T232" s="79">
        <f t="shared" si="321"/>
        <v>0</v>
      </c>
      <c r="U232" s="79">
        <f t="shared" si="321"/>
        <v>0</v>
      </c>
      <c r="V232" s="79">
        <f t="shared" si="321"/>
        <v>0</v>
      </c>
      <c r="W232" s="79">
        <f t="shared" si="321"/>
        <v>0</v>
      </c>
      <c r="X232" s="79">
        <f t="shared" si="321"/>
        <v>0</v>
      </c>
      <c r="Y232" s="79">
        <f t="shared" si="321"/>
        <v>0</v>
      </c>
      <c r="Z232" s="79">
        <f t="shared" si="321"/>
        <v>0</v>
      </c>
      <c r="AA232" s="79">
        <f t="shared" si="321"/>
        <v>0</v>
      </c>
      <c r="AB232" s="79">
        <f t="shared" si="321"/>
        <v>0</v>
      </c>
      <c r="AC232" s="79">
        <f>AC233+AC236</f>
        <v>0</v>
      </c>
      <c r="AD232" s="79">
        <f>AD233+AD236</f>
        <v>0</v>
      </c>
      <c r="AE232" s="79">
        <f t="shared" si="321"/>
        <v>0</v>
      </c>
      <c r="AF232" s="79">
        <f t="shared" si="321"/>
        <v>0</v>
      </c>
      <c r="AG232" s="79">
        <f t="shared" si="321"/>
        <v>0</v>
      </c>
      <c r="AH232" s="79">
        <f>AH233+AH236</f>
        <v>0</v>
      </c>
      <c r="AI232" s="79">
        <f>AI233+AI236</f>
        <v>0</v>
      </c>
      <c r="AJ232" s="79">
        <f>P232-Q232</f>
        <v>78556.570000000007</v>
      </c>
      <c r="AK232" s="79">
        <f>AJ232</f>
        <v>78556.570000000007</v>
      </c>
      <c r="AL232" s="76">
        <f>ROUND((Q232*100%/P232*100),2)</f>
        <v>0</v>
      </c>
      <c r="AM232" s="79">
        <f>AM233+AM236</f>
        <v>0</v>
      </c>
      <c r="AN232" s="79">
        <f>AN233+AN236</f>
        <v>0</v>
      </c>
      <c r="AO232" s="404" t="s">
        <v>418</v>
      </c>
    </row>
    <row r="233" spans="1:41" x14ac:dyDescent="0.25">
      <c r="A233" s="1399"/>
      <c r="B233" s="1" t="s">
        <v>15</v>
      </c>
      <c r="C233" s="1351"/>
      <c r="D233" s="1351"/>
      <c r="E233" s="1351"/>
      <c r="F233" s="1351"/>
      <c r="G233" s="39">
        <v>2019</v>
      </c>
      <c r="H233" s="39">
        <v>2019</v>
      </c>
      <c r="I233" s="1464"/>
      <c r="J233" s="1468"/>
      <c r="K233" s="3"/>
      <c r="L233" s="47">
        <v>5653.46</v>
      </c>
      <c r="M233" s="50">
        <v>0</v>
      </c>
      <c r="N233" s="50">
        <v>5370.84</v>
      </c>
      <c r="O233" s="50">
        <v>0</v>
      </c>
      <c r="P233" s="447">
        <v>89.08</v>
      </c>
      <c r="Q233" s="447">
        <f>SUM(Q234:Q235)</f>
        <v>0</v>
      </c>
      <c r="R233" s="447">
        <f t="shared" ref="R233:AC233" si="322">SUM(R234:R235)</f>
        <v>0</v>
      </c>
      <c r="S233" s="447">
        <f t="shared" si="322"/>
        <v>0</v>
      </c>
      <c r="T233" s="447">
        <f t="shared" si="322"/>
        <v>0</v>
      </c>
      <c r="U233" s="447">
        <f t="shared" si="322"/>
        <v>0</v>
      </c>
      <c r="V233" s="447">
        <f t="shared" si="322"/>
        <v>0</v>
      </c>
      <c r="W233" s="447">
        <f t="shared" si="322"/>
        <v>0</v>
      </c>
      <c r="X233" s="447">
        <f t="shared" si="322"/>
        <v>0</v>
      </c>
      <c r="Y233" s="447">
        <f t="shared" si="322"/>
        <v>0</v>
      </c>
      <c r="Z233" s="447">
        <f t="shared" si="322"/>
        <v>0</v>
      </c>
      <c r="AA233" s="447">
        <f t="shared" si="322"/>
        <v>0</v>
      </c>
      <c r="AB233" s="447">
        <f t="shared" si="322"/>
        <v>0</v>
      </c>
      <c r="AC233" s="447">
        <f t="shared" si="322"/>
        <v>0</v>
      </c>
      <c r="AD233" s="50">
        <f t="shared" ref="AD233:AN233" si="323">SUM(AD235)</f>
        <v>0</v>
      </c>
      <c r="AE233" s="50">
        <f>SUM(AE235)</f>
        <v>0</v>
      </c>
      <c r="AF233" s="50">
        <f>SUM(AF235)</f>
        <v>0</v>
      </c>
      <c r="AG233" s="50">
        <f>SUM(AG235)</f>
        <v>0</v>
      </c>
      <c r="AH233" s="50">
        <f>SUM(AH235)</f>
        <v>0</v>
      </c>
      <c r="AI233" s="50">
        <f>SUM(AI235)</f>
        <v>0</v>
      </c>
      <c r="AJ233" s="50">
        <f t="shared" si="323"/>
        <v>0</v>
      </c>
      <c r="AK233" s="50">
        <f t="shared" si="323"/>
        <v>0</v>
      </c>
      <c r="AL233" s="50">
        <f t="shared" si="323"/>
        <v>0</v>
      </c>
      <c r="AM233" s="50">
        <f t="shared" si="323"/>
        <v>0</v>
      </c>
      <c r="AN233" s="50">
        <f t="shared" si="323"/>
        <v>0</v>
      </c>
      <c r="AO233" s="412"/>
    </row>
    <row r="234" spans="1:41" s="97" customFormat="1" ht="25.5" hidden="1" x14ac:dyDescent="0.25">
      <c r="A234" s="1399"/>
      <c r="B234" s="92" t="s">
        <v>322</v>
      </c>
      <c r="C234" s="1351"/>
      <c r="D234" s="1351"/>
      <c r="E234" s="1351"/>
      <c r="F234" s="1351"/>
      <c r="G234" s="104"/>
      <c r="H234" s="104"/>
      <c r="I234" s="1464"/>
      <c r="J234" s="1468"/>
      <c r="K234" s="95"/>
      <c r="L234" s="47"/>
      <c r="M234" s="263"/>
      <c r="N234" s="263"/>
      <c r="O234" s="263"/>
      <c r="P234" s="447"/>
      <c r="Q234" s="584">
        <f>V234</f>
        <v>0</v>
      </c>
      <c r="R234" s="584"/>
      <c r="S234" s="584"/>
      <c r="T234" s="584"/>
      <c r="U234" s="584"/>
      <c r="V234" s="584">
        <f>W234</f>
        <v>0</v>
      </c>
      <c r="W234" s="584">
        <v>0</v>
      </c>
      <c r="X234" s="584"/>
      <c r="Y234" s="584"/>
      <c r="Z234" s="584">
        <f>AC234</f>
        <v>0</v>
      </c>
      <c r="AA234" s="584"/>
      <c r="AB234" s="584"/>
      <c r="AC234" s="584">
        <v>0</v>
      </c>
      <c r="AD234" s="263"/>
      <c r="AE234" s="263"/>
      <c r="AF234" s="263"/>
      <c r="AG234" s="263"/>
      <c r="AH234" s="263"/>
      <c r="AI234" s="263"/>
      <c r="AJ234" s="263"/>
      <c r="AK234" s="263"/>
      <c r="AL234" s="263"/>
      <c r="AM234" s="263"/>
      <c r="AN234" s="263"/>
      <c r="AO234" s="413"/>
    </row>
    <row r="235" spans="1:41" s="266" customFormat="1" ht="25.5" hidden="1" x14ac:dyDescent="0.25">
      <c r="A235" s="1399"/>
      <c r="B235" s="92" t="s">
        <v>267</v>
      </c>
      <c r="C235" s="1351"/>
      <c r="D235" s="1351"/>
      <c r="E235" s="1351"/>
      <c r="F235" s="1351"/>
      <c r="G235" s="104"/>
      <c r="H235" s="104"/>
      <c r="I235" s="1464"/>
      <c r="J235" s="1468"/>
      <c r="K235" s="95"/>
      <c r="L235" s="47"/>
      <c r="M235" s="263"/>
      <c r="N235" s="263"/>
      <c r="O235" s="263"/>
      <c r="P235" s="50"/>
      <c r="Q235" s="263">
        <f>S235+U235</f>
        <v>0</v>
      </c>
      <c r="R235" s="263"/>
      <c r="S235" s="263"/>
      <c r="T235" s="263">
        <f>U235</f>
        <v>0</v>
      </c>
      <c r="U235" s="263">
        <v>0</v>
      </c>
      <c r="V235" s="263"/>
      <c r="W235" s="263"/>
      <c r="X235" s="263"/>
      <c r="Y235" s="263"/>
      <c r="Z235" s="263">
        <f>AB235</f>
        <v>0</v>
      </c>
      <c r="AA235" s="263"/>
      <c r="AB235" s="263">
        <v>0</v>
      </c>
      <c r="AC235" s="263"/>
      <c r="AD235" s="263"/>
      <c r="AE235" s="263">
        <f>SUM(AF235:AF235)</f>
        <v>0</v>
      </c>
      <c r="AF235" s="263"/>
      <c r="AG235" s="263"/>
      <c r="AH235" s="263"/>
      <c r="AI235" s="263"/>
      <c r="AJ235" s="263"/>
      <c r="AK235" s="263"/>
      <c r="AL235" s="263"/>
      <c r="AM235" s="263"/>
      <c r="AN235" s="263"/>
      <c r="AO235" s="413"/>
    </row>
    <row r="236" spans="1:41" ht="15.75" customHeight="1" x14ac:dyDescent="0.25">
      <c r="A236" s="1488"/>
      <c r="B236" s="2" t="s">
        <v>16</v>
      </c>
      <c r="C236" s="1352"/>
      <c r="D236" s="1352"/>
      <c r="E236" s="1352"/>
      <c r="F236" s="1352"/>
      <c r="G236" s="39">
        <v>2021</v>
      </c>
      <c r="H236" s="39">
        <v>2021</v>
      </c>
      <c r="I236" s="1465"/>
      <c r="J236" s="1385"/>
      <c r="K236" s="3"/>
      <c r="L236" s="47">
        <v>78467.490000000005</v>
      </c>
      <c r="M236" s="50">
        <v>0</v>
      </c>
      <c r="N236" s="50">
        <v>0</v>
      </c>
      <c r="O236" s="50">
        <v>3372.5</v>
      </c>
      <c r="P236" s="50">
        <v>78467.490000000005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50">
        <v>0</v>
      </c>
      <c r="Y236" s="50">
        <v>0</v>
      </c>
      <c r="Z236" s="50">
        <v>0</v>
      </c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412"/>
    </row>
    <row r="237" spans="1:41" ht="105.75" customHeight="1" x14ac:dyDescent="0.25">
      <c r="A237" s="1450" t="s">
        <v>174</v>
      </c>
      <c r="B237" s="77" t="s">
        <v>175</v>
      </c>
      <c r="C237" s="133"/>
      <c r="D237" s="133"/>
      <c r="E237" s="133"/>
      <c r="F237" s="133"/>
      <c r="G237" s="2"/>
      <c r="H237" s="2"/>
      <c r="I237" s="1463" t="s">
        <v>20</v>
      </c>
      <c r="J237" s="278"/>
      <c r="K237" s="3"/>
      <c r="L237" s="79">
        <f>L238</f>
        <v>1639</v>
      </c>
      <c r="M237" s="79">
        <f>M238</f>
        <v>1639</v>
      </c>
      <c r="N237" s="79">
        <f t="shared" ref="N237:AN237" si="324">N238</f>
        <v>0</v>
      </c>
      <c r="O237" s="79">
        <f t="shared" si="324"/>
        <v>0</v>
      </c>
      <c r="P237" s="79">
        <f t="shared" si="324"/>
        <v>0</v>
      </c>
      <c r="Q237" s="79">
        <f t="shared" si="324"/>
        <v>0</v>
      </c>
      <c r="R237" s="79">
        <f t="shared" si="324"/>
        <v>0</v>
      </c>
      <c r="S237" s="79">
        <f t="shared" si="324"/>
        <v>0</v>
      </c>
      <c r="T237" s="79">
        <f t="shared" si="324"/>
        <v>0</v>
      </c>
      <c r="U237" s="79">
        <f t="shared" si="324"/>
        <v>0</v>
      </c>
      <c r="V237" s="79">
        <f t="shared" si="324"/>
        <v>0</v>
      </c>
      <c r="W237" s="79">
        <f t="shared" si="324"/>
        <v>0</v>
      </c>
      <c r="X237" s="79">
        <f t="shared" si="324"/>
        <v>0</v>
      </c>
      <c r="Y237" s="79">
        <f t="shared" si="324"/>
        <v>0</v>
      </c>
      <c r="Z237" s="79">
        <f t="shared" si="324"/>
        <v>0</v>
      </c>
      <c r="AA237" s="79">
        <f t="shared" si="324"/>
        <v>0</v>
      </c>
      <c r="AB237" s="79">
        <f t="shared" si="324"/>
        <v>0</v>
      </c>
      <c r="AC237" s="79">
        <f t="shared" si="324"/>
        <v>0</v>
      </c>
      <c r="AD237" s="79">
        <f t="shared" si="324"/>
        <v>0</v>
      </c>
      <c r="AE237" s="79">
        <f t="shared" si="324"/>
        <v>0</v>
      </c>
      <c r="AF237" s="79">
        <f t="shared" si="324"/>
        <v>0</v>
      </c>
      <c r="AG237" s="79">
        <f t="shared" si="324"/>
        <v>0</v>
      </c>
      <c r="AH237" s="79">
        <f t="shared" si="324"/>
        <v>0</v>
      </c>
      <c r="AI237" s="79">
        <f t="shared" si="324"/>
        <v>0</v>
      </c>
      <c r="AJ237" s="79">
        <f t="shared" si="324"/>
        <v>0</v>
      </c>
      <c r="AK237" s="79">
        <f t="shared" si="324"/>
        <v>0</v>
      </c>
      <c r="AL237" s="79">
        <f t="shared" si="324"/>
        <v>0</v>
      </c>
      <c r="AM237" s="79">
        <f t="shared" si="324"/>
        <v>0</v>
      </c>
      <c r="AN237" s="79">
        <f t="shared" si="324"/>
        <v>0</v>
      </c>
      <c r="AO237" s="404" t="s">
        <v>420</v>
      </c>
    </row>
    <row r="238" spans="1:41" ht="15.75" customHeight="1" x14ac:dyDescent="0.25">
      <c r="A238" s="1488"/>
      <c r="B238" s="42" t="s">
        <v>15</v>
      </c>
      <c r="C238" s="133"/>
      <c r="D238" s="133"/>
      <c r="E238" s="133"/>
      <c r="F238" s="133"/>
      <c r="G238" s="313"/>
      <c r="H238" s="314"/>
      <c r="I238" s="1465"/>
      <c r="J238" s="278"/>
      <c r="K238" s="318"/>
      <c r="L238" s="47">
        <v>1639</v>
      </c>
      <c r="M238" s="47">
        <v>1639</v>
      </c>
      <c r="N238" s="47">
        <v>0</v>
      </c>
      <c r="O238" s="47">
        <v>0</v>
      </c>
      <c r="P238" s="47">
        <v>0</v>
      </c>
      <c r="Q238" s="50">
        <f>SUM(Q239:Q242)</f>
        <v>0</v>
      </c>
      <c r="R238" s="50">
        <f t="shared" ref="R238:AG238" si="325">SUM(R239:R242)</f>
        <v>0</v>
      </c>
      <c r="S238" s="50">
        <f t="shared" si="325"/>
        <v>0</v>
      </c>
      <c r="T238" s="50">
        <f t="shared" si="325"/>
        <v>0</v>
      </c>
      <c r="U238" s="50">
        <f t="shared" si="325"/>
        <v>0</v>
      </c>
      <c r="V238" s="50">
        <f t="shared" si="325"/>
        <v>0</v>
      </c>
      <c r="W238" s="50">
        <f t="shared" si="325"/>
        <v>0</v>
      </c>
      <c r="X238" s="47">
        <v>0</v>
      </c>
      <c r="Y238" s="50">
        <f t="shared" si="325"/>
        <v>0</v>
      </c>
      <c r="Z238" s="50">
        <f t="shared" si="325"/>
        <v>0</v>
      </c>
      <c r="AA238" s="50">
        <f t="shared" si="325"/>
        <v>0</v>
      </c>
      <c r="AB238" s="50">
        <f>SUM(AB239:AB242)</f>
        <v>0</v>
      </c>
      <c r="AC238" s="50">
        <f>SUM(AC239:AC242)</f>
        <v>0</v>
      </c>
      <c r="AD238" s="50">
        <f>SUM(AD239:AD242)</f>
        <v>0</v>
      </c>
      <c r="AE238" s="50">
        <f t="shared" si="325"/>
        <v>0</v>
      </c>
      <c r="AF238" s="50">
        <f t="shared" si="325"/>
        <v>0</v>
      </c>
      <c r="AG238" s="50">
        <f t="shared" si="325"/>
        <v>0</v>
      </c>
      <c r="AH238" s="50">
        <f t="shared" ref="AH238:AN238" si="326">SUM(AH239:AH242)</f>
        <v>0</v>
      </c>
      <c r="AI238" s="50">
        <f t="shared" si="326"/>
        <v>0</v>
      </c>
      <c r="AJ238" s="50">
        <f t="shared" si="326"/>
        <v>0</v>
      </c>
      <c r="AK238" s="50">
        <f t="shared" si="326"/>
        <v>0</v>
      </c>
      <c r="AL238" s="50">
        <f t="shared" si="326"/>
        <v>0</v>
      </c>
      <c r="AM238" s="50">
        <f t="shared" si="326"/>
        <v>0</v>
      </c>
      <c r="AN238" s="50">
        <f t="shared" si="326"/>
        <v>0</v>
      </c>
      <c r="AO238" s="412"/>
    </row>
    <row r="239" spans="1:41" s="97" customFormat="1" ht="15.75" hidden="1" customHeight="1" x14ac:dyDescent="0.25">
      <c r="A239" s="366"/>
      <c r="B239" s="252" t="s">
        <v>234</v>
      </c>
      <c r="C239" s="369"/>
      <c r="D239" s="369"/>
      <c r="E239" s="369"/>
      <c r="F239" s="369"/>
      <c r="G239" s="363"/>
      <c r="H239" s="364"/>
      <c r="I239" s="370"/>
      <c r="J239" s="371"/>
      <c r="K239" s="372"/>
      <c r="L239" s="47"/>
      <c r="M239" s="96"/>
      <c r="N239" s="96"/>
      <c r="O239" s="96"/>
      <c r="P239" s="47"/>
      <c r="Q239" s="263">
        <f>Y239</f>
        <v>0</v>
      </c>
      <c r="R239" s="263"/>
      <c r="S239" s="263"/>
      <c r="T239" s="263"/>
      <c r="U239" s="263"/>
      <c r="V239" s="263"/>
      <c r="W239" s="263"/>
      <c r="X239" s="263">
        <v>0</v>
      </c>
      <c r="Y239" s="263">
        <v>0</v>
      </c>
      <c r="Z239" s="263">
        <v>0</v>
      </c>
      <c r="AA239" s="263">
        <v>0</v>
      </c>
      <c r="AB239" s="263"/>
      <c r="AC239" s="263"/>
      <c r="AD239" s="263"/>
      <c r="AE239" s="263"/>
      <c r="AF239" s="263"/>
      <c r="AG239" s="263"/>
      <c r="AH239" s="263"/>
      <c r="AI239" s="263"/>
      <c r="AJ239" s="263"/>
      <c r="AK239" s="263"/>
      <c r="AL239" s="263"/>
      <c r="AM239" s="263"/>
      <c r="AN239" s="263"/>
      <c r="AO239" s="413"/>
    </row>
    <row r="240" spans="1:41" s="97" customFormat="1" ht="15.75" hidden="1" customHeight="1" x14ac:dyDescent="0.25">
      <c r="A240" s="366"/>
      <c r="B240" s="252" t="s">
        <v>235</v>
      </c>
      <c r="C240" s="369"/>
      <c r="D240" s="369"/>
      <c r="E240" s="369"/>
      <c r="F240" s="369"/>
      <c r="G240" s="363"/>
      <c r="H240" s="364"/>
      <c r="I240" s="370"/>
      <c r="J240" s="371"/>
      <c r="K240" s="372"/>
      <c r="L240" s="47"/>
      <c r="M240" s="96"/>
      <c r="N240" s="96"/>
      <c r="O240" s="96"/>
      <c r="P240" s="47"/>
      <c r="Q240" s="263">
        <f>Y240</f>
        <v>0</v>
      </c>
      <c r="R240" s="263"/>
      <c r="S240" s="263"/>
      <c r="T240" s="263"/>
      <c r="U240" s="263"/>
      <c r="V240" s="263"/>
      <c r="W240" s="263"/>
      <c r="X240" s="263">
        <v>0</v>
      </c>
      <c r="Y240" s="263">
        <v>0</v>
      </c>
      <c r="Z240" s="263">
        <v>0</v>
      </c>
      <c r="AA240" s="263">
        <v>0</v>
      </c>
      <c r="AB240" s="263"/>
      <c r="AC240" s="263"/>
      <c r="AD240" s="263"/>
      <c r="AE240" s="263"/>
      <c r="AF240" s="263"/>
      <c r="AG240" s="263"/>
      <c r="AH240" s="263"/>
      <c r="AI240" s="263"/>
      <c r="AJ240" s="263"/>
      <c r="AK240" s="263"/>
      <c r="AL240" s="263"/>
      <c r="AM240" s="263"/>
      <c r="AN240" s="263"/>
      <c r="AO240" s="413"/>
    </row>
    <row r="241" spans="1:41" s="97" customFormat="1" ht="15.75" hidden="1" customHeight="1" x14ac:dyDescent="0.25">
      <c r="A241" s="366"/>
      <c r="B241" s="252" t="s">
        <v>236</v>
      </c>
      <c r="C241" s="369"/>
      <c r="D241" s="369"/>
      <c r="E241" s="369"/>
      <c r="F241" s="369"/>
      <c r="G241" s="363"/>
      <c r="H241" s="364"/>
      <c r="I241" s="370"/>
      <c r="J241" s="371"/>
      <c r="K241" s="372"/>
      <c r="L241" s="47"/>
      <c r="M241" s="96"/>
      <c r="N241" s="96"/>
      <c r="O241" s="96"/>
      <c r="P241" s="47"/>
      <c r="Q241" s="263">
        <f>Y241</f>
        <v>0</v>
      </c>
      <c r="R241" s="263"/>
      <c r="S241" s="263"/>
      <c r="T241" s="263"/>
      <c r="U241" s="263"/>
      <c r="V241" s="263"/>
      <c r="W241" s="263"/>
      <c r="X241" s="263">
        <v>0</v>
      </c>
      <c r="Y241" s="263">
        <v>0</v>
      </c>
      <c r="Z241" s="263">
        <v>0</v>
      </c>
      <c r="AA241" s="263">
        <v>0</v>
      </c>
      <c r="AB241" s="263"/>
      <c r="AC241" s="263"/>
      <c r="AD241" s="263"/>
      <c r="AE241" s="263"/>
      <c r="AF241" s="263"/>
      <c r="AG241" s="263"/>
      <c r="AH241" s="263"/>
      <c r="AI241" s="263"/>
      <c r="AJ241" s="263"/>
      <c r="AK241" s="263"/>
      <c r="AL241" s="263"/>
      <c r="AM241" s="263"/>
      <c r="AN241" s="263"/>
      <c r="AO241" s="413"/>
    </row>
    <row r="242" spans="1:41" s="97" customFormat="1" ht="15.75" hidden="1" customHeight="1" x14ac:dyDescent="0.25">
      <c r="A242" s="366"/>
      <c r="B242" s="252" t="s">
        <v>237</v>
      </c>
      <c r="C242" s="369"/>
      <c r="D242" s="369"/>
      <c r="E242" s="369"/>
      <c r="F242" s="369"/>
      <c r="G242" s="363"/>
      <c r="H242" s="364"/>
      <c r="I242" s="370"/>
      <c r="J242" s="371"/>
      <c r="K242" s="372"/>
      <c r="L242" s="47"/>
      <c r="M242" s="96"/>
      <c r="N242" s="96"/>
      <c r="O242" s="96"/>
      <c r="P242" s="47"/>
      <c r="Q242" s="263">
        <f>Y242</f>
        <v>0</v>
      </c>
      <c r="R242" s="263"/>
      <c r="S242" s="263"/>
      <c r="T242" s="263"/>
      <c r="U242" s="263"/>
      <c r="V242" s="263"/>
      <c r="W242" s="263"/>
      <c r="X242" s="263">
        <v>0</v>
      </c>
      <c r="Y242" s="263">
        <v>0</v>
      </c>
      <c r="Z242" s="263">
        <v>0</v>
      </c>
      <c r="AA242" s="263">
        <v>0</v>
      </c>
      <c r="AB242" s="263"/>
      <c r="AC242" s="263"/>
      <c r="AD242" s="263"/>
      <c r="AE242" s="263"/>
      <c r="AF242" s="263"/>
      <c r="AG242" s="263"/>
      <c r="AH242" s="263"/>
      <c r="AI242" s="263"/>
      <c r="AJ242" s="263"/>
      <c r="AK242" s="263"/>
      <c r="AL242" s="263"/>
      <c r="AM242" s="263"/>
      <c r="AN242" s="263"/>
      <c r="AO242" s="413"/>
    </row>
    <row r="243" spans="1:41" ht="120" customHeight="1" x14ac:dyDescent="0.25">
      <c r="A243" s="339" t="s">
        <v>176</v>
      </c>
      <c r="B243" s="77" t="s">
        <v>177</v>
      </c>
      <c r="C243" s="133"/>
      <c r="D243" s="133"/>
      <c r="E243" s="133"/>
      <c r="F243" s="133"/>
      <c r="G243" s="2"/>
      <c r="H243" s="2"/>
      <c r="I243" s="1463" t="s">
        <v>20</v>
      </c>
      <c r="J243" s="278"/>
      <c r="K243" s="3"/>
      <c r="L243" s="79">
        <f>L244</f>
        <v>2630.02</v>
      </c>
      <c r="M243" s="79">
        <f>M244</f>
        <v>2630.03</v>
      </c>
      <c r="N243" s="79">
        <f t="shared" ref="N243:AN243" si="327">N244</f>
        <v>0</v>
      </c>
      <c r="O243" s="79">
        <f t="shared" si="327"/>
        <v>0</v>
      </c>
      <c r="P243" s="79">
        <f t="shared" si="327"/>
        <v>0</v>
      </c>
      <c r="Q243" s="79">
        <f t="shared" si="327"/>
        <v>0</v>
      </c>
      <c r="R243" s="79">
        <f t="shared" si="327"/>
        <v>0</v>
      </c>
      <c r="S243" s="79">
        <f t="shared" si="327"/>
        <v>0</v>
      </c>
      <c r="T243" s="79">
        <f t="shared" si="327"/>
        <v>0</v>
      </c>
      <c r="U243" s="79">
        <f t="shared" si="327"/>
        <v>0</v>
      </c>
      <c r="V243" s="79">
        <f t="shared" si="327"/>
        <v>0</v>
      </c>
      <c r="W243" s="79">
        <f t="shared" si="327"/>
        <v>0</v>
      </c>
      <c r="X243" s="79">
        <f t="shared" si="327"/>
        <v>0</v>
      </c>
      <c r="Y243" s="79">
        <f t="shared" si="327"/>
        <v>0</v>
      </c>
      <c r="Z243" s="79">
        <f t="shared" si="327"/>
        <v>0</v>
      </c>
      <c r="AA243" s="79">
        <f t="shared" si="327"/>
        <v>0</v>
      </c>
      <c r="AB243" s="79">
        <f t="shared" si="327"/>
        <v>0</v>
      </c>
      <c r="AC243" s="79">
        <f t="shared" si="327"/>
        <v>0</v>
      </c>
      <c r="AD243" s="79">
        <f t="shared" si="327"/>
        <v>0</v>
      </c>
      <c r="AE243" s="79">
        <f t="shared" si="327"/>
        <v>0</v>
      </c>
      <c r="AF243" s="79">
        <f t="shared" si="327"/>
        <v>0</v>
      </c>
      <c r="AG243" s="79">
        <f t="shared" si="327"/>
        <v>0</v>
      </c>
      <c r="AH243" s="79">
        <f t="shared" si="327"/>
        <v>0</v>
      </c>
      <c r="AI243" s="79">
        <f t="shared" si="327"/>
        <v>0</v>
      </c>
      <c r="AJ243" s="79">
        <f t="shared" si="327"/>
        <v>0</v>
      </c>
      <c r="AK243" s="79">
        <f t="shared" si="327"/>
        <v>0</v>
      </c>
      <c r="AL243" s="79">
        <f t="shared" si="327"/>
        <v>0</v>
      </c>
      <c r="AM243" s="79">
        <f t="shared" si="327"/>
        <v>0</v>
      </c>
      <c r="AN243" s="79">
        <f t="shared" si="327"/>
        <v>0</v>
      </c>
      <c r="AO243" s="404" t="s">
        <v>420</v>
      </c>
    </row>
    <row r="244" spans="1:41" ht="15.75" customHeight="1" x14ac:dyDescent="0.25">
      <c r="A244" s="338"/>
      <c r="B244" s="42" t="s">
        <v>15</v>
      </c>
      <c r="C244" s="133"/>
      <c r="D244" s="133"/>
      <c r="E244" s="133"/>
      <c r="F244" s="133"/>
      <c r="G244" s="313"/>
      <c r="H244" s="314"/>
      <c r="I244" s="1465"/>
      <c r="J244" s="278"/>
      <c r="K244" s="318"/>
      <c r="L244" s="47">
        <v>2630.02</v>
      </c>
      <c r="M244" s="47">
        <v>2630.03</v>
      </c>
      <c r="N244" s="47">
        <v>0</v>
      </c>
      <c r="O244" s="47">
        <v>0</v>
      </c>
      <c r="P244" s="47">
        <v>0</v>
      </c>
      <c r="Q244" s="50">
        <f t="shared" ref="Q244:W244" si="328">SUM(Q245:Q248)</f>
        <v>0</v>
      </c>
      <c r="R244" s="50">
        <f t="shared" si="328"/>
        <v>0</v>
      </c>
      <c r="S244" s="50">
        <f t="shared" si="328"/>
        <v>0</v>
      </c>
      <c r="T244" s="50">
        <f t="shared" si="328"/>
        <v>0</v>
      </c>
      <c r="U244" s="50">
        <f t="shared" si="328"/>
        <v>0</v>
      </c>
      <c r="V244" s="50">
        <f t="shared" si="328"/>
        <v>0</v>
      </c>
      <c r="W244" s="50">
        <f t="shared" si="328"/>
        <v>0</v>
      </c>
      <c r="X244" s="47">
        <v>0</v>
      </c>
      <c r="Y244" s="50">
        <f t="shared" ref="Y244:AI244" si="329">SUM(Y245:Y248)</f>
        <v>0</v>
      </c>
      <c r="Z244" s="50">
        <f t="shared" si="329"/>
        <v>0</v>
      </c>
      <c r="AA244" s="50">
        <f t="shared" si="329"/>
        <v>0</v>
      </c>
      <c r="AB244" s="50">
        <f t="shared" si="329"/>
        <v>0</v>
      </c>
      <c r="AC244" s="50">
        <f t="shared" si="329"/>
        <v>0</v>
      </c>
      <c r="AD244" s="50">
        <f t="shared" si="329"/>
        <v>0</v>
      </c>
      <c r="AE244" s="50">
        <f t="shared" si="329"/>
        <v>0</v>
      </c>
      <c r="AF244" s="50">
        <f t="shared" si="329"/>
        <v>0</v>
      </c>
      <c r="AG244" s="50">
        <f t="shared" si="329"/>
        <v>0</v>
      </c>
      <c r="AH244" s="50">
        <f t="shared" si="329"/>
        <v>0</v>
      </c>
      <c r="AI244" s="50">
        <f t="shared" si="329"/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412"/>
    </row>
    <row r="245" spans="1:41" s="97" customFormat="1" ht="15.75" hidden="1" customHeight="1" x14ac:dyDescent="0.25">
      <c r="A245" s="366"/>
      <c r="B245" s="252" t="s">
        <v>238</v>
      </c>
      <c r="C245" s="369"/>
      <c r="D245" s="369"/>
      <c r="E245" s="369"/>
      <c r="F245" s="369"/>
      <c r="G245" s="363"/>
      <c r="H245" s="364"/>
      <c r="I245" s="370"/>
      <c r="J245" s="371"/>
      <c r="K245" s="372"/>
      <c r="L245" s="47"/>
      <c r="M245" s="96"/>
      <c r="N245" s="96"/>
      <c r="O245" s="96"/>
      <c r="P245" s="47"/>
      <c r="Q245" s="263">
        <f>Y245</f>
        <v>0</v>
      </c>
      <c r="R245" s="263"/>
      <c r="S245" s="263"/>
      <c r="T245" s="263"/>
      <c r="U245" s="263"/>
      <c r="V245" s="263"/>
      <c r="W245" s="263"/>
      <c r="X245" s="263">
        <v>0</v>
      </c>
      <c r="Y245" s="263">
        <v>0</v>
      </c>
      <c r="Z245" s="263">
        <v>0</v>
      </c>
      <c r="AA245" s="263">
        <v>0</v>
      </c>
      <c r="AB245" s="263"/>
      <c r="AC245" s="263"/>
      <c r="AD245" s="263"/>
      <c r="AE245" s="263"/>
      <c r="AF245" s="263"/>
      <c r="AG245" s="263"/>
      <c r="AH245" s="263"/>
      <c r="AI245" s="263"/>
      <c r="AJ245" s="263"/>
      <c r="AK245" s="263"/>
      <c r="AL245" s="263"/>
      <c r="AM245" s="263"/>
      <c r="AN245" s="263"/>
      <c r="AO245" s="413"/>
    </row>
    <row r="246" spans="1:41" s="97" customFormat="1" ht="15.75" hidden="1" customHeight="1" x14ac:dyDescent="0.25">
      <c r="A246" s="366"/>
      <c r="B246" s="252" t="s">
        <v>239</v>
      </c>
      <c r="C246" s="369"/>
      <c r="D246" s="369"/>
      <c r="E246" s="369"/>
      <c r="F246" s="369"/>
      <c r="G246" s="363"/>
      <c r="H246" s="364"/>
      <c r="I246" s="370"/>
      <c r="J246" s="371"/>
      <c r="K246" s="372"/>
      <c r="L246" s="47"/>
      <c r="M246" s="96"/>
      <c r="N246" s="96"/>
      <c r="O246" s="96"/>
      <c r="P246" s="47"/>
      <c r="Q246" s="263">
        <f>Y246</f>
        <v>0</v>
      </c>
      <c r="R246" s="263"/>
      <c r="S246" s="263"/>
      <c r="T246" s="263"/>
      <c r="U246" s="263"/>
      <c r="V246" s="263"/>
      <c r="W246" s="263"/>
      <c r="X246" s="263">
        <v>0</v>
      </c>
      <c r="Y246" s="263">
        <v>0</v>
      </c>
      <c r="Z246" s="263">
        <v>0</v>
      </c>
      <c r="AA246" s="263">
        <v>0</v>
      </c>
      <c r="AB246" s="263"/>
      <c r="AC246" s="263"/>
      <c r="AD246" s="263"/>
      <c r="AE246" s="263"/>
      <c r="AF246" s="263"/>
      <c r="AG246" s="263"/>
      <c r="AH246" s="263"/>
      <c r="AI246" s="263"/>
      <c r="AJ246" s="263"/>
      <c r="AK246" s="263"/>
      <c r="AL246" s="263"/>
      <c r="AM246" s="263"/>
      <c r="AN246" s="263"/>
      <c r="AO246" s="413"/>
    </row>
    <row r="247" spans="1:41" s="97" customFormat="1" ht="15.75" hidden="1" customHeight="1" x14ac:dyDescent="0.25">
      <c r="A247" s="366"/>
      <c r="B247" s="252" t="s">
        <v>234</v>
      </c>
      <c r="C247" s="369"/>
      <c r="D247" s="369"/>
      <c r="E247" s="369"/>
      <c r="F247" s="369"/>
      <c r="G247" s="363"/>
      <c r="H247" s="364"/>
      <c r="I247" s="370"/>
      <c r="J247" s="371"/>
      <c r="K247" s="372"/>
      <c r="L247" s="47"/>
      <c r="M247" s="96"/>
      <c r="N247" s="96"/>
      <c r="O247" s="96"/>
      <c r="P247" s="47"/>
      <c r="Q247" s="263">
        <f>Y247</f>
        <v>0</v>
      </c>
      <c r="R247" s="263"/>
      <c r="S247" s="263"/>
      <c r="T247" s="263"/>
      <c r="U247" s="263"/>
      <c r="V247" s="263"/>
      <c r="W247" s="263"/>
      <c r="X247" s="263">
        <v>0</v>
      </c>
      <c r="Y247" s="263">
        <v>0</v>
      </c>
      <c r="Z247" s="263">
        <v>0</v>
      </c>
      <c r="AA247" s="263">
        <v>0</v>
      </c>
      <c r="AB247" s="263"/>
      <c r="AC247" s="263"/>
      <c r="AD247" s="263"/>
      <c r="AE247" s="263"/>
      <c r="AF247" s="263"/>
      <c r="AG247" s="263"/>
      <c r="AH247" s="263"/>
      <c r="AI247" s="263"/>
      <c r="AJ247" s="263"/>
      <c r="AK247" s="263"/>
      <c r="AL247" s="263"/>
      <c r="AM247" s="263"/>
      <c r="AN247" s="263"/>
      <c r="AO247" s="413"/>
    </row>
    <row r="248" spans="1:41" s="97" customFormat="1" ht="15.75" hidden="1" customHeight="1" x14ac:dyDescent="0.25">
      <c r="A248" s="366"/>
      <c r="B248" s="252" t="s">
        <v>237</v>
      </c>
      <c r="C248" s="369"/>
      <c r="D248" s="369"/>
      <c r="E248" s="369"/>
      <c r="F248" s="369"/>
      <c r="G248" s="363"/>
      <c r="H248" s="364"/>
      <c r="I248" s="370"/>
      <c r="J248" s="371"/>
      <c r="K248" s="372"/>
      <c r="L248" s="47"/>
      <c r="M248" s="96"/>
      <c r="N248" s="96"/>
      <c r="O248" s="96"/>
      <c r="P248" s="47"/>
      <c r="Q248" s="263">
        <f>Y248</f>
        <v>0</v>
      </c>
      <c r="R248" s="263"/>
      <c r="S248" s="263"/>
      <c r="T248" s="263"/>
      <c r="U248" s="263"/>
      <c r="V248" s="263"/>
      <c r="W248" s="263"/>
      <c r="X248" s="263">
        <v>0</v>
      </c>
      <c r="Y248" s="263">
        <v>0</v>
      </c>
      <c r="Z248" s="263">
        <v>0</v>
      </c>
      <c r="AA248" s="263">
        <v>0</v>
      </c>
      <c r="AB248" s="263"/>
      <c r="AC248" s="263"/>
      <c r="AD248" s="263"/>
      <c r="AE248" s="263"/>
      <c r="AF248" s="263"/>
      <c r="AG248" s="263"/>
      <c r="AH248" s="263"/>
      <c r="AI248" s="263"/>
      <c r="AJ248" s="263"/>
      <c r="AK248" s="263"/>
      <c r="AL248" s="263"/>
      <c r="AM248" s="263"/>
      <c r="AN248" s="263"/>
      <c r="AO248" s="413"/>
    </row>
    <row r="249" spans="1:41" ht="132" customHeight="1" x14ac:dyDescent="0.25">
      <c r="A249" s="339" t="s">
        <v>178</v>
      </c>
      <c r="B249" s="77" t="s">
        <v>180</v>
      </c>
      <c r="C249" s="133"/>
      <c r="D249" s="133"/>
      <c r="E249" s="133"/>
      <c r="F249" s="133"/>
      <c r="G249" s="2"/>
      <c r="H249" s="2"/>
      <c r="I249" s="1463" t="s">
        <v>181</v>
      </c>
      <c r="J249" s="278"/>
      <c r="K249" s="3"/>
      <c r="L249" s="79">
        <f>L250</f>
        <v>403.33</v>
      </c>
      <c r="M249" s="79">
        <f>M250</f>
        <v>403.33</v>
      </c>
      <c r="N249" s="79">
        <f t="shared" ref="N249:AN249" si="330">N250</f>
        <v>0</v>
      </c>
      <c r="O249" s="79">
        <f t="shared" si="330"/>
        <v>0</v>
      </c>
      <c r="P249" s="79">
        <f>P250</f>
        <v>0</v>
      </c>
      <c r="Q249" s="79">
        <f>Q250+Q251</f>
        <v>1209.9796200000001</v>
      </c>
      <c r="R249" s="79">
        <f t="shared" ref="R249:AF249" si="331">R250+R251</f>
        <v>0</v>
      </c>
      <c r="S249" s="79">
        <f t="shared" si="331"/>
        <v>99.9</v>
      </c>
      <c r="T249" s="79">
        <f t="shared" si="331"/>
        <v>0</v>
      </c>
      <c r="U249" s="79">
        <f t="shared" si="331"/>
        <v>0</v>
      </c>
      <c r="V249" s="79">
        <f t="shared" si="331"/>
        <v>0</v>
      </c>
      <c r="W249" s="79">
        <f t="shared" si="331"/>
        <v>0</v>
      </c>
      <c r="X249" s="79">
        <f t="shared" si="331"/>
        <v>0</v>
      </c>
      <c r="Y249" s="79">
        <f t="shared" si="331"/>
        <v>1110.07962</v>
      </c>
      <c r="Z249" s="79">
        <f t="shared" si="331"/>
        <v>1209.9796200000001</v>
      </c>
      <c r="AA249" s="79">
        <f t="shared" si="331"/>
        <v>99.9</v>
      </c>
      <c r="AB249" s="79">
        <f t="shared" si="331"/>
        <v>0</v>
      </c>
      <c r="AC249" s="79">
        <f t="shared" si="331"/>
        <v>0</v>
      </c>
      <c r="AD249" s="79">
        <f t="shared" si="331"/>
        <v>1110.07962</v>
      </c>
      <c r="AE249" s="79">
        <f t="shared" si="331"/>
        <v>0</v>
      </c>
      <c r="AF249" s="79">
        <f t="shared" si="331"/>
        <v>0</v>
      </c>
      <c r="AG249" s="79">
        <f t="shared" si="330"/>
        <v>0</v>
      </c>
      <c r="AH249" s="79">
        <f t="shared" si="330"/>
        <v>0</v>
      </c>
      <c r="AI249" s="79">
        <f t="shared" si="330"/>
        <v>0</v>
      </c>
      <c r="AJ249" s="79">
        <f t="shared" si="330"/>
        <v>0</v>
      </c>
      <c r="AK249" s="79">
        <f t="shared" si="330"/>
        <v>0</v>
      </c>
      <c r="AL249" s="79">
        <f t="shared" si="330"/>
        <v>0</v>
      </c>
      <c r="AM249" s="79">
        <f t="shared" si="330"/>
        <v>0</v>
      </c>
      <c r="AN249" s="79">
        <f t="shared" si="330"/>
        <v>0</v>
      </c>
      <c r="AO249" s="404" t="s">
        <v>420</v>
      </c>
    </row>
    <row r="250" spans="1:41" ht="15.75" customHeight="1" x14ac:dyDescent="0.25">
      <c r="A250" s="338"/>
      <c r="B250" s="42" t="s">
        <v>15</v>
      </c>
      <c r="C250" s="133"/>
      <c r="D250" s="133"/>
      <c r="E250" s="133"/>
      <c r="F250" s="133"/>
      <c r="G250" s="313"/>
      <c r="H250" s="314"/>
      <c r="I250" s="1465"/>
      <c r="J250" s="278"/>
      <c r="K250" s="318"/>
      <c r="L250" s="47">
        <v>403.33</v>
      </c>
      <c r="M250" s="47">
        <v>403.33</v>
      </c>
      <c r="N250" s="47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841"/>
    </row>
    <row r="251" spans="1:41" ht="15.75" customHeight="1" x14ac:dyDescent="0.25">
      <c r="A251" s="850"/>
      <c r="B251" s="42" t="s">
        <v>16</v>
      </c>
      <c r="C251" s="133"/>
      <c r="D251" s="133"/>
      <c r="E251" s="133"/>
      <c r="F251" s="133"/>
      <c r="G251" s="313"/>
      <c r="H251" s="853"/>
      <c r="I251" s="851" t="s">
        <v>431</v>
      </c>
      <c r="J251" s="852"/>
      <c r="K251" s="318"/>
      <c r="L251" s="47"/>
      <c r="M251" s="47"/>
      <c r="N251" s="47"/>
      <c r="O251" s="50"/>
      <c r="P251" s="50"/>
      <c r="Q251" s="50">
        <f t="shared" ref="Q251:Y251" si="332">Q253+Q252</f>
        <v>1209.9796200000001</v>
      </c>
      <c r="R251" s="50">
        <f t="shared" si="332"/>
        <v>0</v>
      </c>
      <c r="S251" s="50">
        <f t="shared" si="332"/>
        <v>99.9</v>
      </c>
      <c r="T251" s="50">
        <f t="shared" si="332"/>
        <v>0</v>
      </c>
      <c r="U251" s="50">
        <f t="shared" si="332"/>
        <v>0</v>
      </c>
      <c r="V251" s="50">
        <f t="shared" si="332"/>
        <v>0</v>
      </c>
      <c r="W251" s="50">
        <f t="shared" si="332"/>
        <v>0</v>
      </c>
      <c r="X251" s="50">
        <f t="shared" si="332"/>
        <v>0</v>
      </c>
      <c r="Y251" s="50">
        <f t="shared" si="332"/>
        <v>1110.07962</v>
      </c>
      <c r="Z251" s="50">
        <f>Z253+Z252</f>
        <v>1209.9796200000001</v>
      </c>
      <c r="AA251" s="50">
        <f t="shared" ref="AA251:AD251" si="333">AA253+AA252</f>
        <v>99.9</v>
      </c>
      <c r="AB251" s="50">
        <f t="shared" si="333"/>
        <v>0</v>
      </c>
      <c r="AC251" s="50">
        <f t="shared" si="333"/>
        <v>0</v>
      </c>
      <c r="AD251" s="50">
        <f t="shared" si="333"/>
        <v>1110.07962</v>
      </c>
      <c r="AE251" s="50">
        <f t="shared" ref="AE251:AI251" si="334">AE253</f>
        <v>0</v>
      </c>
      <c r="AF251" s="50">
        <f t="shared" si="334"/>
        <v>0</v>
      </c>
      <c r="AG251" s="50">
        <f t="shared" si="334"/>
        <v>0</v>
      </c>
      <c r="AH251" s="50">
        <f t="shared" si="334"/>
        <v>0</v>
      </c>
      <c r="AI251" s="50">
        <f t="shared" si="334"/>
        <v>0</v>
      </c>
      <c r="AJ251" s="50"/>
      <c r="AK251" s="50"/>
      <c r="AL251" s="50"/>
      <c r="AM251" s="50"/>
      <c r="AN251" s="50"/>
      <c r="AO251" s="841"/>
    </row>
    <row r="252" spans="1:41" s="97" customFormat="1" ht="15.75" customHeight="1" x14ac:dyDescent="0.25">
      <c r="A252" s="366"/>
      <c r="B252" s="252" t="s">
        <v>398</v>
      </c>
      <c r="C252" s="369"/>
      <c r="D252" s="369"/>
      <c r="E252" s="369"/>
      <c r="F252" s="369"/>
      <c r="G252" s="363"/>
      <c r="H252" s="364"/>
      <c r="I252" s="370"/>
      <c r="J252" s="371"/>
      <c r="K252" s="372"/>
      <c r="L252" s="96"/>
      <c r="M252" s="96"/>
      <c r="N252" s="96"/>
      <c r="O252" s="263"/>
      <c r="P252" s="263"/>
      <c r="Q252" s="263">
        <f>Y252</f>
        <v>1110.07962</v>
      </c>
      <c r="R252" s="263"/>
      <c r="S252" s="263"/>
      <c r="T252" s="263"/>
      <c r="U252" s="263"/>
      <c r="V252" s="263"/>
      <c r="W252" s="263"/>
      <c r="X252" s="263"/>
      <c r="Y252" s="263">
        <v>1110.07962</v>
      </c>
      <c r="Z252" s="263">
        <f>AD252</f>
        <v>1110.07962</v>
      </c>
      <c r="AA252" s="263"/>
      <c r="AB252" s="263"/>
      <c r="AC252" s="263"/>
      <c r="AD252" s="263">
        <v>1110.07962</v>
      </c>
      <c r="AE252" s="263"/>
      <c r="AF252" s="263"/>
      <c r="AG252" s="263"/>
      <c r="AH252" s="263"/>
      <c r="AI252" s="263"/>
      <c r="AJ252" s="263"/>
      <c r="AK252" s="263"/>
      <c r="AL252" s="263"/>
      <c r="AM252" s="263"/>
      <c r="AN252" s="263"/>
      <c r="AO252" s="855"/>
    </row>
    <row r="253" spans="1:41" s="97" customFormat="1" ht="15.75" customHeight="1" x14ac:dyDescent="0.25">
      <c r="A253" s="366"/>
      <c r="B253" s="252" t="s">
        <v>432</v>
      </c>
      <c r="C253" s="369"/>
      <c r="D253" s="369"/>
      <c r="E253" s="369"/>
      <c r="F253" s="369"/>
      <c r="G253" s="363"/>
      <c r="H253" s="364"/>
      <c r="I253" s="370"/>
      <c r="J253" s="371"/>
      <c r="K253" s="372"/>
      <c r="L253" s="96"/>
      <c r="M253" s="96"/>
      <c r="N253" s="96"/>
      <c r="O253" s="263"/>
      <c r="P253" s="263"/>
      <c r="Q253" s="263">
        <f>S253</f>
        <v>99.9</v>
      </c>
      <c r="R253" s="263"/>
      <c r="S253" s="263">
        <v>99.9</v>
      </c>
      <c r="T253" s="263"/>
      <c r="U253" s="263"/>
      <c r="V253" s="263"/>
      <c r="W253" s="263"/>
      <c r="X253" s="263"/>
      <c r="Y253" s="263"/>
      <c r="Z253" s="263">
        <f>AA253</f>
        <v>99.9</v>
      </c>
      <c r="AA253" s="263">
        <v>99.9</v>
      </c>
      <c r="AB253" s="263"/>
      <c r="AC253" s="263"/>
      <c r="AD253" s="263"/>
      <c r="AE253" s="263"/>
      <c r="AF253" s="263"/>
      <c r="AG253" s="263"/>
      <c r="AH253" s="263"/>
      <c r="AI253" s="263"/>
      <c r="AJ253" s="263"/>
      <c r="AK253" s="263"/>
      <c r="AL253" s="263"/>
      <c r="AM253" s="263"/>
      <c r="AN253" s="263"/>
      <c r="AO253" s="855"/>
    </row>
    <row r="254" spans="1:41" ht="58.5" customHeight="1" x14ac:dyDescent="0.25">
      <c r="A254" s="339" t="s">
        <v>179</v>
      </c>
      <c r="B254" s="77" t="s">
        <v>182</v>
      </c>
      <c r="C254" s="133"/>
      <c r="D254" s="133"/>
      <c r="E254" s="133"/>
      <c r="F254" s="133"/>
      <c r="G254" s="2"/>
      <c r="H254" s="2"/>
      <c r="I254" s="1463" t="s">
        <v>181</v>
      </c>
      <c r="J254" s="278"/>
      <c r="K254" s="3"/>
      <c r="L254" s="79">
        <f>L255</f>
        <v>1246.77</v>
      </c>
      <c r="M254" s="79">
        <f>M255</f>
        <v>1246.77</v>
      </c>
      <c r="N254" s="79">
        <f t="shared" ref="N254:AN256" si="335">N255</f>
        <v>0</v>
      </c>
      <c r="O254" s="79">
        <f t="shared" si="335"/>
        <v>0</v>
      </c>
      <c r="P254" s="79">
        <f t="shared" si="335"/>
        <v>0</v>
      </c>
      <c r="Q254" s="79">
        <f t="shared" si="335"/>
        <v>0</v>
      </c>
      <c r="R254" s="79">
        <f t="shared" si="335"/>
        <v>0</v>
      </c>
      <c r="S254" s="79">
        <f t="shared" si="335"/>
        <v>0</v>
      </c>
      <c r="T254" s="79">
        <f t="shared" si="335"/>
        <v>0</v>
      </c>
      <c r="U254" s="79">
        <f t="shared" si="335"/>
        <v>0</v>
      </c>
      <c r="V254" s="79">
        <f t="shared" si="335"/>
        <v>0</v>
      </c>
      <c r="W254" s="79">
        <f t="shared" si="335"/>
        <v>0</v>
      </c>
      <c r="X254" s="79">
        <f t="shared" si="335"/>
        <v>0</v>
      </c>
      <c r="Y254" s="79">
        <f t="shared" si="335"/>
        <v>0</v>
      </c>
      <c r="Z254" s="79">
        <f t="shared" si="335"/>
        <v>0</v>
      </c>
      <c r="AA254" s="79">
        <f t="shared" si="335"/>
        <v>0</v>
      </c>
      <c r="AB254" s="79">
        <f t="shared" si="335"/>
        <v>0</v>
      </c>
      <c r="AC254" s="79">
        <f t="shared" si="335"/>
        <v>0</v>
      </c>
      <c r="AD254" s="79">
        <f t="shared" si="335"/>
        <v>0</v>
      </c>
      <c r="AE254" s="79">
        <f t="shared" si="335"/>
        <v>0</v>
      </c>
      <c r="AF254" s="79">
        <f t="shared" si="335"/>
        <v>0</v>
      </c>
      <c r="AG254" s="79">
        <f t="shared" si="335"/>
        <v>0</v>
      </c>
      <c r="AH254" s="79">
        <f t="shared" si="335"/>
        <v>0</v>
      </c>
      <c r="AI254" s="79">
        <f t="shared" si="335"/>
        <v>0</v>
      </c>
      <c r="AJ254" s="79">
        <f t="shared" si="335"/>
        <v>0</v>
      </c>
      <c r="AK254" s="79">
        <f t="shared" si="335"/>
        <v>0</v>
      </c>
      <c r="AL254" s="79">
        <f t="shared" si="335"/>
        <v>0</v>
      </c>
      <c r="AM254" s="79">
        <f t="shared" si="335"/>
        <v>0</v>
      </c>
      <c r="AN254" s="79">
        <f t="shared" si="335"/>
        <v>0</v>
      </c>
      <c r="AO254" s="404" t="s">
        <v>420</v>
      </c>
    </row>
    <row r="255" spans="1:41" ht="15.75" customHeight="1" x14ac:dyDescent="0.25">
      <c r="A255" s="338"/>
      <c r="B255" s="42" t="s">
        <v>15</v>
      </c>
      <c r="C255" s="133"/>
      <c r="D255" s="133"/>
      <c r="E255" s="133"/>
      <c r="F255" s="133"/>
      <c r="G255" s="313"/>
      <c r="H255" s="314"/>
      <c r="I255" s="1465"/>
      <c r="J255" s="278"/>
      <c r="K255" s="318"/>
      <c r="L255" s="47">
        <v>1246.77</v>
      </c>
      <c r="M255" s="47">
        <v>1246.77</v>
      </c>
      <c r="N255" s="50">
        <v>0</v>
      </c>
      <c r="O255" s="50">
        <v>0</v>
      </c>
      <c r="P255" s="47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50">
        <v>0</v>
      </c>
      <c r="W255" s="50">
        <v>0</v>
      </c>
      <c r="X255" s="47">
        <v>0</v>
      </c>
      <c r="Y255" s="50">
        <v>0</v>
      </c>
      <c r="Z255" s="50">
        <v>0</v>
      </c>
      <c r="AA255" s="50">
        <v>0</v>
      </c>
      <c r="AB255" s="50">
        <v>0</v>
      </c>
      <c r="AC255" s="50">
        <v>0</v>
      </c>
      <c r="AD255" s="50">
        <v>0</v>
      </c>
      <c r="AE255" s="50">
        <v>0</v>
      </c>
      <c r="AF255" s="50">
        <v>0</v>
      </c>
      <c r="AG255" s="50">
        <v>0</v>
      </c>
      <c r="AH255" s="50">
        <v>0</v>
      </c>
      <c r="AI255" s="50">
        <v>0</v>
      </c>
      <c r="AJ255" s="50">
        <v>0</v>
      </c>
      <c r="AK255" s="50">
        <v>0</v>
      </c>
      <c r="AL255" s="50">
        <v>0</v>
      </c>
      <c r="AM255" s="50">
        <v>0</v>
      </c>
      <c r="AN255" s="50">
        <v>0</v>
      </c>
      <c r="AO255" s="412"/>
    </row>
    <row r="256" spans="1:41" ht="66.75" customHeight="1" x14ac:dyDescent="0.25">
      <c r="A256" s="1450" t="s">
        <v>374</v>
      </c>
      <c r="B256" s="77" t="s">
        <v>375</v>
      </c>
      <c r="C256" s="133"/>
      <c r="D256" s="133"/>
      <c r="E256" s="133"/>
      <c r="F256" s="133"/>
      <c r="G256" s="699"/>
      <c r="H256" s="699"/>
      <c r="I256" s="1463" t="s">
        <v>20</v>
      </c>
      <c r="J256" s="697"/>
      <c r="K256" s="3"/>
      <c r="L256" s="79">
        <f>L257</f>
        <v>2878.15</v>
      </c>
      <c r="M256" s="79">
        <f>M257</f>
        <v>1246.77</v>
      </c>
      <c r="N256" s="79">
        <f t="shared" si="335"/>
        <v>0</v>
      </c>
      <c r="O256" s="79">
        <f t="shared" si="335"/>
        <v>0</v>
      </c>
      <c r="P256" s="79">
        <f t="shared" si="335"/>
        <v>2878.15</v>
      </c>
      <c r="Q256" s="79">
        <f t="shared" si="335"/>
        <v>398</v>
      </c>
      <c r="R256" s="79">
        <f t="shared" si="335"/>
        <v>0</v>
      </c>
      <c r="S256" s="79">
        <f t="shared" si="335"/>
        <v>0</v>
      </c>
      <c r="T256" s="79">
        <f t="shared" si="335"/>
        <v>0</v>
      </c>
      <c r="U256" s="79">
        <f t="shared" si="335"/>
        <v>0</v>
      </c>
      <c r="V256" s="79">
        <f t="shared" si="335"/>
        <v>398</v>
      </c>
      <c r="W256" s="79">
        <f t="shared" si="335"/>
        <v>398</v>
      </c>
      <c r="X256" s="79">
        <f t="shared" si="335"/>
        <v>0</v>
      </c>
      <c r="Y256" s="79">
        <f t="shared" si="335"/>
        <v>0</v>
      </c>
      <c r="Z256" s="79">
        <f t="shared" si="335"/>
        <v>398</v>
      </c>
      <c r="AA256" s="79">
        <f t="shared" si="335"/>
        <v>0</v>
      </c>
      <c r="AB256" s="79">
        <f t="shared" si="335"/>
        <v>0</v>
      </c>
      <c r="AC256" s="79">
        <f t="shared" si="335"/>
        <v>398</v>
      </c>
      <c r="AD256" s="79">
        <f t="shared" si="335"/>
        <v>0</v>
      </c>
      <c r="AE256" s="79">
        <f t="shared" si="335"/>
        <v>0</v>
      </c>
      <c r="AF256" s="79">
        <f t="shared" si="335"/>
        <v>0</v>
      </c>
      <c r="AG256" s="79">
        <f t="shared" si="335"/>
        <v>0</v>
      </c>
      <c r="AH256" s="79">
        <f t="shared" si="335"/>
        <v>0</v>
      </c>
      <c r="AI256" s="79">
        <f t="shared" si="335"/>
        <v>0</v>
      </c>
      <c r="AJ256" s="79">
        <f t="shared" si="335"/>
        <v>0</v>
      </c>
      <c r="AK256" s="79">
        <f t="shared" si="335"/>
        <v>0</v>
      </c>
      <c r="AL256" s="79">
        <f t="shared" si="335"/>
        <v>0</v>
      </c>
      <c r="AM256" s="79">
        <f t="shared" si="335"/>
        <v>0</v>
      </c>
      <c r="AN256" s="79">
        <f t="shared" si="335"/>
        <v>0</v>
      </c>
      <c r="AO256" s="840"/>
    </row>
    <row r="257" spans="1:41" ht="15.75" customHeight="1" x14ac:dyDescent="0.25">
      <c r="A257" s="1378"/>
      <c r="B257" s="42" t="s">
        <v>16</v>
      </c>
      <c r="C257" s="133"/>
      <c r="D257" s="133"/>
      <c r="E257" s="133"/>
      <c r="F257" s="133"/>
      <c r="G257" s="313"/>
      <c r="H257" s="702"/>
      <c r="I257" s="1465"/>
      <c r="J257" s="697"/>
      <c r="K257" s="318"/>
      <c r="L257" s="47">
        <v>2878.15</v>
      </c>
      <c r="M257" s="47">
        <v>1246.77</v>
      </c>
      <c r="N257" s="50">
        <v>0</v>
      </c>
      <c r="O257" s="50">
        <v>0</v>
      </c>
      <c r="P257" s="47">
        <v>2878.15</v>
      </c>
      <c r="Q257" s="50">
        <v>398</v>
      </c>
      <c r="R257" s="50">
        <v>0</v>
      </c>
      <c r="S257" s="50">
        <v>0</v>
      </c>
      <c r="T257" s="50">
        <v>0</v>
      </c>
      <c r="U257" s="50">
        <v>0</v>
      </c>
      <c r="V257" s="50">
        <v>398</v>
      </c>
      <c r="W257" s="50">
        <v>398</v>
      </c>
      <c r="X257" s="47">
        <v>0</v>
      </c>
      <c r="Y257" s="50">
        <v>0</v>
      </c>
      <c r="Z257" s="50">
        <f>AC257</f>
        <v>398</v>
      </c>
      <c r="AA257" s="50">
        <v>0</v>
      </c>
      <c r="AB257" s="50">
        <v>0</v>
      </c>
      <c r="AC257" s="50">
        <v>398</v>
      </c>
      <c r="AD257" s="50">
        <v>0</v>
      </c>
      <c r="AE257" s="50">
        <v>0</v>
      </c>
      <c r="AF257" s="50">
        <v>0</v>
      </c>
      <c r="AG257" s="50">
        <v>0</v>
      </c>
      <c r="AH257" s="50">
        <v>0</v>
      </c>
      <c r="AI257" s="50">
        <v>0</v>
      </c>
      <c r="AJ257" s="50">
        <v>0</v>
      </c>
      <c r="AK257" s="50">
        <v>0</v>
      </c>
      <c r="AL257" s="50">
        <v>0</v>
      </c>
      <c r="AM257" s="50">
        <v>0</v>
      </c>
      <c r="AN257" s="50">
        <v>0</v>
      </c>
      <c r="AO257" s="412"/>
    </row>
    <row r="258" spans="1:41" ht="54" customHeight="1" x14ac:dyDescent="0.25">
      <c r="A258" s="1332" t="s">
        <v>31</v>
      </c>
      <c r="B258" s="1335" t="s">
        <v>376</v>
      </c>
      <c r="C258" s="1336"/>
      <c r="D258" s="1336"/>
      <c r="E258" s="1336"/>
      <c r="F258" s="1336"/>
      <c r="G258" s="1336"/>
      <c r="H258" s="1337"/>
      <c r="I258" s="15" t="s">
        <v>19</v>
      </c>
      <c r="J258" s="698">
        <v>0</v>
      </c>
      <c r="K258" s="698">
        <v>0</v>
      </c>
      <c r="L258" s="22">
        <f>M258+N258+O258</f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398"/>
    </row>
    <row r="259" spans="1:41" ht="39.75" customHeight="1" x14ac:dyDescent="0.25">
      <c r="A259" s="1333"/>
      <c r="B259" s="1338"/>
      <c r="C259" s="1339"/>
      <c r="D259" s="1339"/>
      <c r="E259" s="1339"/>
      <c r="F259" s="1339"/>
      <c r="G259" s="1339"/>
      <c r="H259" s="1340"/>
      <c r="I259" s="15" t="s">
        <v>20</v>
      </c>
      <c r="J259" s="698">
        <f>K259+L259</f>
        <v>0</v>
      </c>
      <c r="K259" s="698">
        <f>K262+K279+K282+K291</f>
        <v>0</v>
      </c>
      <c r="L259" s="22">
        <v>0</v>
      </c>
      <c r="M259" s="22">
        <f t="shared" ref="M259:X259" si="336">M262</f>
        <v>0</v>
      </c>
      <c r="N259" s="22">
        <f t="shared" si="336"/>
        <v>2081.9299999999998</v>
      </c>
      <c r="O259" s="22" t="e">
        <f t="shared" si="336"/>
        <v>#REF!</v>
      </c>
      <c r="P259" s="22">
        <f>P263</f>
        <v>0</v>
      </c>
      <c r="Q259" s="22">
        <f t="shared" si="336"/>
        <v>0</v>
      </c>
      <c r="R259" s="22">
        <f t="shared" si="336"/>
        <v>0</v>
      </c>
      <c r="S259" s="22">
        <f t="shared" si="336"/>
        <v>0</v>
      </c>
      <c r="T259" s="22">
        <f t="shared" si="336"/>
        <v>0</v>
      </c>
      <c r="U259" s="22">
        <f t="shared" si="336"/>
        <v>0</v>
      </c>
      <c r="V259" s="22">
        <f t="shared" si="336"/>
        <v>0</v>
      </c>
      <c r="W259" s="22">
        <f t="shared" si="336"/>
        <v>0</v>
      </c>
      <c r="X259" s="22">
        <f t="shared" si="336"/>
        <v>0</v>
      </c>
      <c r="Y259" s="22">
        <f>Y263</f>
        <v>0</v>
      </c>
      <c r="Z259" s="22">
        <f t="shared" ref="Z259:AN259" si="337">Z263</f>
        <v>0</v>
      </c>
      <c r="AA259" s="22">
        <f t="shared" si="337"/>
        <v>0</v>
      </c>
      <c r="AB259" s="22">
        <f t="shared" si="337"/>
        <v>0</v>
      </c>
      <c r="AC259" s="22">
        <f t="shared" si="337"/>
        <v>0</v>
      </c>
      <c r="AD259" s="22">
        <f t="shared" si="337"/>
        <v>0</v>
      </c>
      <c r="AE259" s="22">
        <f t="shared" si="337"/>
        <v>0</v>
      </c>
      <c r="AF259" s="22">
        <f t="shared" si="337"/>
        <v>0</v>
      </c>
      <c r="AG259" s="22">
        <f t="shared" si="337"/>
        <v>0</v>
      </c>
      <c r="AH259" s="22">
        <f t="shared" si="337"/>
        <v>0</v>
      </c>
      <c r="AI259" s="22">
        <f t="shared" si="337"/>
        <v>0</v>
      </c>
      <c r="AJ259" s="22">
        <f t="shared" si="337"/>
        <v>0</v>
      </c>
      <c r="AK259" s="22">
        <f t="shared" si="337"/>
        <v>0</v>
      </c>
      <c r="AL259" s="22">
        <f t="shared" si="337"/>
        <v>0</v>
      </c>
      <c r="AM259" s="22">
        <f t="shared" si="337"/>
        <v>0</v>
      </c>
      <c r="AN259" s="22">
        <f t="shared" si="337"/>
        <v>0</v>
      </c>
      <c r="AO259" s="398"/>
    </row>
    <row r="260" spans="1:41" ht="26.25" customHeight="1" x14ac:dyDescent="0.25">
      <c r="A260" s="1333"/>
      <c r="B260" s="1338"/>
      <c r="C260" s="1339"/>
      <c r="D260" s="1339"/>
      <c r="E260" s="1339"/>
      <c r="F260" s="1339"/>
      <c r="G260" s="1339"/>
      <c r="H260" s="1340"/>
      <c r="I260" s="15" t="s">
        <v>10</v>
      </c>
      <c r="J260" s="698">
        <v>0</v>
      </c>
      <c r="K260" s="698">
        <v>0</v>
      </c>
      <c r="L260" s="47">
        <f>L262</f>
        <v>132959</v>
      </c>
      <c r="M260" s="16">
        <f t="shared" ref="M260:O260" si="338">M262</f>
        <v>0</v>
      </c>
      <c r="N260" s="16">
        <f t="shared" si="338"/>
        <v>2081.9299999999998</v>
      </c>
      <c r="O260" s="16" t="e">
        <f t="shared" si="338"/>
        <v>#REF!</v>
      </c>
      <c r="P260" s="22">
        <f>P265+P266</f>
        <v>4959</v>
      </c>
      <c r="Q260" s="22">
        <f>Q265</f>
        <v>0</v>
      </c>
      <c r="R260" s="22">
        <f t="shared" ref="R260:AN260" si="339">R265</f>
        <v>0</v>
      </c>
      <c r="S260" s="22">
        <f t="shared" si="339"/>
        <v>0</v>
      </c>
      <c r="T260" s="22">
        <f t="shared" si="339"/>
        <v>0</v>
      </c>
      <c r="U260" s="22">
        <f t="shared" si="339"/>
        <v>0</v>
      </c>
      <c r="V260" s="22">
        <f t="shared" si="339"/>
        <v>0</v>
      </c>
      <c r="W260" s="22">
        <f t="shared" si="339"/>
        <v>0</v>
      </c>
      <c r="X260" s="22">
        <f t="shared" si="339"/>
        <v>0</v>
      </c>
      <c r="Y260" s="22">
        <f t="shared" si="339"/>
        <v>0</v>
      </c>
      <c r="Z260" s="22">
        <f t="shared" si="339"/>
        <v>0</v>
      </c>
      <c r="AA260" s="22">
        <f t="shared" si="339"/>
        <v>0</v>
      </c>
      <c r="AB260" s="22">
        <f t="shared" si="339"/>
        <v>0</v>
      </c>
      <c r="AC260" s="22">
        <f t="shared" si="339"/>
        <v>0</v>
      </c>
      <c r="AD260" s="22">
        <f t="shared" si="339"/>
        <v>0</v>
      </c>
      <c r="AE260" s="22">
        <f t="shared" si="339"/>
        <v>0</v>
      </c>
      <c r="AF260" s="22">
        <f t="shared" si="339"/>
        <v>0</v>
      </c>
      <c r="AG260" s="22">
        <f t="shared" si="339"/>
        <v>0</v>
      </c>
      <c r="AH260" s="22">
        <f t="shared" si="339"/>
        <v>0</v>
      </c>
      <c r="AI260" s="22">
        <f t="shared" si="339"/>
        <v>0</v>
      </c>
      <c r="AJ260" s="22">
        <f t="shared" si="339"/>
        <v>0</v>
      </c>
      <c r="AK260" s="22">
        <f t="shared" si="339"/>
        <v>0</v>
      </c>
      <c r="AL260" s="22">
        <f t="shared" si="339"/>
        <v>0</v>
      </c>
      <c r="AM260" s="22">
        <f t="shared" si="339"/>
        <v>0</v>
      </c>
      <c r="AN260" s="22">
        <f t="shared" si="339"/>
        <v>0</v>
      </c>
      <c r="AO260" s="398"/>
    </row>
    <row r="261" spans="1:41" ht="25.5" x14ac:dyDescent="0.25">
      <c r="A261" s="1334"/>
      <c r="B261" s="1341"/>
      <c r="C261" s="1342"/>
      <c r="D261" s="1342"/>
      <c r="E261" s="1342"/>
      <c r="F261" s="1342"/>
      <c r="G261" s="1342"/>
      <c r="H261" s="1343"/>
      <c r="I261" s="15" t="s">
        <v>9</v>
      </c>
      <c r="J261" s="698">
        <v>0</v>
      </c>
      <c r="K261" s="698">
        <v>0</v>
      </c>
      <c r="L261" s="22">
        <f>M261+N261+O261</f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398"/>
    </row>
    <row r="262" spans="1:41" ht="69" customHeight="1" x14ac:dyDescent="0.25">
      <c r="A262" s="1344" t="s">
        <v>50</v>
      </c>
      <c r="B262" s="80" t="s">
        <v>377</v>
      </c>
      <c r="C262" s="1347"/>
      <c r="D262" s="1350"/>
      <c r="E262" s="1350"/>
      <c r="F262" s="1353">
        <v>150000</v>
      </c>
      <c r="G262" s="1326">
        <v>2019</v>
      </c>
      <c r="H262" s="1326">
        <v>2019</v>
      </c>
      <c r="I262" s="703"/>
      <c r="J262" s="1329">
        <v>4914.5600000000004</v>
      </c>
      <c r="K262" s="3"/>
      <c r="L262" s="79">
        <f t="shared" ref="L262:AI262" si="340">L266+L263</f>
        <v>132959</v>
      </c>
      <c r="M262" s="79">
        <f t="shared" si="340"/>
        <v>0</v>
      </c>
      <c r="N262" s="79">
        <f t="shared" si="340"/>
        <v>2081.9299999999998</v>
      </c>
      <c r="O262" s="79" t="e">
        <f t="shared" si="340"/>
        <v>#REF!</v>
      </c>
      <c r="P262" s="79">
        <f>P266+P263+P265</f>
        <v>4959</v>
      </c>
      <c r="Q262" s="79">
        <f t="shared" si="340"/>
        <v>0</v>
      </c>
      <c r="R262" s="79">
        <f t="shared" si="340"/>
        <v>0</v>
      </c>
      <c r="S262" s="79">
        <f t="shared" si="340"/>
        <v>0</v>
      </c>
      <c r="T262" s="79">
        <f t="shared" si="340"/>
        <v>0</v>
      </c>
      <c r="U262" s="79">
        <f t="shared" si="340"/>
        <v>0</v>
      </c>
      <c r="V262" s="79">
        <f t="shared" si="340"/>
        <v>0</v>
      </c>
      <c r="W262" s="79">
        <f t="shared" si="340"/>
        <v>0</v>
      </c>
      <c r="X262" s="79">
        <f t="shared" si="340"/>
        <v>0</v>
      </c>
      <c r="Y262" s="79">
        <f t="shared" si="340"/>
        <v>0</v>
      </c>
      <c r="Z262" s="79">
        <f t="shared" si="340"/>
        <v>0</v>
      </c>
      <c r="AA262" s="79">
        <f t="shared" si="340"/>
        <v>0</v>
      </c>
      <c r="AB262" s="79">
        <f t="shared" si="340"/>
        <v>0</v>
      </c>
      <c r="AC262" s="79">
        <f t="shared" si="340"/>
        <v>0</v>
      </c>
      <c r="AD262" s="79">
        <f t="shared" si="340"/>
        <v>0</v>
      </c>
      <c r="AE262" s="79">
        <f t="shared" si="340"/>
        <v>0</v>
      </c>
      <c r="AF262" s="79">
        <f t="shared" si="340"/>
        <v>0</v>
      </c>
      <c r="AG262" s="79">
        <f t="shared" si="340"/>
        <v>0</v>
      </c>
      <c r="AH262" s="79">
        <f t="shared" si="340"/>
        <v>0</v>
      </c>
      <c r="AI262" s="79">
        <f t="shared" si="340"/>
        <v>0</v>
      </c>
      <c r="AJ262" s="79">
        <f>P262-Q262</f>
        <v>4959</v>
      </c>
      <c r="AK262" s="79">
        <f>AJ262</f>
        <v>4959</v>
      </c>
      <c r="AL262" s="76">
        <f>ROUND((Q262*100%/P262*100),2)</f>
        <v>0</v>
      </c>
      <c r="AM262" s="79">
        <f>AM266</f>
        <v>0</v>
      </c>
      <c r="AN262" s="79">
        <f>AN266</f>
        <v>0</v>
      </c>
      <c r="AO262" s="404" t="s">
        <v>244</v>
      </c>
    </row>
    <row r="263" spans="1:41" s="285" customFormat="1" ht="41.25" customHeight="1" x14ac:dyDescent="0.25">
      <c r="A263" s="1345"/>
      <c r="B263" s="1" t="s">
        <v>15</v>
      </c>
      <c r="C263" s="1348"/>
      <c r="D263" s="1351"/>
      <c r="E263" s="1351"/>
      <c r="F263" s="1354"/>
      <c r="G263" s="1327"/>
      <c r="H263" s="1327"/>
      <c r="I263" s="15" t="s">
        <v>20</v>
      </c>
      <c r="J263" s="1330"/>
      <c r="K263" s="47"/>
      <c r="L263" s="47">
        <v>4959</v>
      </c>
      <c r="M263" s="4">
        <v>0</v>
      </c>
      <c r="N263" s="4">
        <v>2081.9299999999998</v>
      </c>
      <c r="O263" s="4" t="e">
        <f>#REF!</f>
        <v>#REF!</v>
      </c>
      <c r="P263" s="4">
        <v>0</v>
      </c>
      <c r="Q263" s="4">
        <f>Q264</f>
        <v>0</v>
      </c>
      <c r="R263" s="4">
        <f t="shared" ref="R263:AN263" si="341">R264</f>
        <v>0</v>
      </c>
      <c r="S263" s="4">
        <f t="shared" si="341"/>
        <v>0</v>
      </c>
      <c r="T263" s="4">
        <f t="shared" si="341"/>
        <v>0</v>
      </c>
      <c r="U263" s="4">
        <f t="shared" si="341"/>
        <v>0</v>
      </c>
      <c r="V263" s="4">
        <f t="shared" si="341"/>
        <v>0</v>
      </c>
      <c r="W263" s="4">
        <f t="shared" si="341"/>
        <v>0</v>
      </c>
      <c r="X263" s="4">
        <f t="shared" si="341"/>
        <v>0</v>
      </c>
      <c r="Y263" s="4">
        <f t="shared" si="341"/>
        <v>0</v>
      </c>
      <c r="Z263" s="4">
        <f t="shared" si="341"/>
        <v>0</v>
      </c>
      <c r="AA263" s="4">
        <f t="shared" si="341"/>
        <v>0</v>
      </c>
      <c r="AB263" s="4">
        <f t="shared" si="341"/>
        <v>0</v>
      </c>
      <c r="AC263" s="4">
        <f t="shared" si="341"/>
        <v>0</v>
      </c>
      <c r="AD263" s="4">
        <f t="shared" si="341"/>
        <v>0</v>
      </c>
      <c r="AE263" s="4">
        <f t="shared" si="341"/>
        <v>0</v>
      </c>
      <c r="AF263" s="4">
        <f t="shared" si="341"/>
        <v>0</v>
      </c>
      <c r="AG263" s="4">
        <f t="shared" si="341"/>
        <v>0</v>
      </c>
      <c r="AH263" s="4">
        <f t="shared" si="341"/>
        <v>0</v>
      </c>
      <c r="AI263" s="4">
        <f t="shared" si="341"/>
        <v>0</v>
      </c>
      <c r="AJ263" s="4">
        <f t="shared" si="341"/>
        <v>0</v>
      </c>
      <c r="AK263" s="4">
        <f t="shared" si="341"/>
        <v>0</v>
      </c>
      <c r="AL263" s="4">
        <f t="shared" si="341"/>
        <v>0</v>
      </c>
      <c r="AM263" s="4">
        <f t="shared" si="341"/>
        <v>0</v>
      </c>
      <c r="AN263" s="4">
        <f t="shared" si="341"/>
        <v>0</v>
      </c>
      <c r="AO263" s="837"/>
    </row>
    <row r="264" spans="1:41" s="97" customFormat="1" ht="28.5" hidden="1" customHeight="1" x14ac:dyDescent="0.25">
      <c r="A264" s="1345"/>
      <c r="B264" s="252" t="s">
        <v>417</v>
      </c>
      <c r="C264" s="1348"/>
      <c r="D264" s="1351"/>
      <c r="E264" s="1351"/>
      <c r="F264" s="1354"/>
      <c r="G264" s="1327"/>
      <c r="H264" s="1327"/>
      <c r="I264" s="836"/>
      <c r="J264" s="1330"/>
      <c r="K264" s="368"/>
      <c r="L264" s="848"/>
      <c r="M264" s="268"/>
      <c r="N264" s="268"/>
      <c r="O264" s="268"/>
      <c r="P264" s="4"/>
      <c r="Q264" s="268">
        <f>Y264</f>
        <v>0</v>
      </c>
      <c r="R264" s="268"/>
      <c r="S264" s="268"/>
      <c r="T264" s="268"/>
      <c r="U264" s="268"/>
      <c r="V264" s="268"/>
      <c r="W264" s="268"/>
      <c r="X264" s="268">
        <v>0</v>
      </c>
      <c r="Y264" s="268">
        <v>0</v>
      </c>
      <c r="Z264" s="268">
        <f>AD264</f>
        <v>0</v>
      </c>
      <c r="AA264" s="268"/>
      <c r="AB264" s="268"/>
      <c r="AC264" s="268"/>
      <c r="AD264" s="268">
        <v>0</v>
      </c>
      <c r="AE264" s="268"/>
      <c r="AF264" s="268"/>
      <c r="AG264" s="268"/>
      <c r="AH264" s="268"/>
      <c r="AI264" s="268"/>
      <c r="AJ264" s="268"/>
      <c r="AK264" s="268"/>
      <c r="AL264" s="268"/>
      <c r="AM264" s="268"/>
      <c r="AN264" s="268"/>
      <c r="AO264" s="488"/>
    </row>
    <row r="265" spans="1:41" s="97" customFormat="1" ht="18" customHeight="1" x14ac:dyDescent="0.25">
      <c r="A265" s="1345"/>
      <c r="B265" s="1" t="s">
        <v>15</v>
      </c>
      <c r="C265" s="1348"/>
      <c r="D265" s="1351"/>
      <c r="E265" s="1351"/>
      <c r="F265" s="1354"/>
      <c r="G265" s="1327"/>
      <c r="H265" s="1327"/>
      <c r="I265" s="1326" t="s">
        <v>10</v>
      </c>
      <c r="J265" s="1330"/>
      <c r="K265" s="368"/>
      <c r="L265" s="848"/>
      <c r="M265" s="268"/>
      <c r="N265" s="268"/>
      <c r="O265" s="268"/>
      <c r="P265" s="4">
        <v>4959</v>
      </c>
      <c r="Q265" s="268"/>
      <c r="R265" s="268"/>
      <c r="S265" s="268"/>
      <c r="T265" s="268"/>
      <c r="U265" s="268"/>
      <c r="V265" s="268"/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/>
      <c r="AJ265" s="268"/>
      <c r="AK265" s="268"/>
      <c r="AL265" s="268"/>
      <c r="AM265" s="268"/>
      <c r="AN265" s="268"/>
      <c r="AO265" s="488"/>
    </row>
    <row r="266" spans="1:41" ht="18" customHeight="1" x14ac:dyDescent="0.25">
      <c r="A266" s="1346"/>
      <c r="B266" s="575" t="s">
        <v>16</v>
      </c>
      <c r="C266" s="1356"/>
      <c r="D266" s="1356"/>
      <c r="E266" s="1351"/>
      <c r="F266" s="1357"/>
      <c r="G266" s="1327"/>
      <c r="H266" s="1327"/>
      <c r="I266" s="1373"/>
      <c r="J266" s="1331"/>
      <c r="K266" s="47">
        <v>0</v>
      </c>
      <c r="L266" s="47">
        <v>128000</v>
      </c>
      <c r="M266" s="4">
        <v>0</v>
      </c>
      <c r="N266" s="4">
        <v>0</v>
      </c>
      <c r="O266" s="4">
        <v>4372.5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837"/>
    </row>
    <row r="267" spans="1:41" ht="54" customHeight="1" x14ac:dyDescent="0.25">
      <c r="A267" s="1332" t="s">
        <v>139</v>
      </c>
      <c r="B267" s="1335" t="s">
        <v>208</v>
      </c>
      <c r="C267" s="1336"/>
      <c r="D267" s="1336"/>
      <c r="E267" s="1336"/>
      <c r="F267" s="1336"/>
      <c r="G267" s="1336"/>
      <c r="H267" s="1337"/>
      <c r="I267" s="15" t="s">
        <v>19</v>
      </c>
      <c r="J267" s="43">
        <v>0</v>
      </c>
      <c r="K267" s="43">
        <v>0</v>
      </c>
      <c r="L267" s="16">
        <f>M267+N267+O267</f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398"/>
    </row>
    <row r="268" spans="1:41" ht="39.75" customHeight="1" x14ac:dyDescent="0.25">
      <c r="A268" s="1333"/>
      <c r="B268" s="1338"/>
      <c r="C268" s="1339"/>
      <c r="D268" s="1339"/>
      <c r="E268" s="1339"/>
      <c r="F268" s="1339"/>
      <c r="G268" s="1339"/>
      <c r="H268" s="1340"/>
      <c r="I268" s="15" t="s">
        <v>20</v>
      </c>
      <c r="J268" s="43">
        <f>K268+L268</f>
        <v>7510.2399999999989</v>
      </c>
      <c r="K268" s="43">
        <f>K271+K291+K294+K303</f>
        <v>0</v>
      </c>
      <c r="L268" s="16">
        <f>L271+L275</f>
        <v>7510.2399999999989</v>
      </c>
      <c r="M268" s="22">
        <f t="shared" ref="M268:O268" si="342">M271</f>
        <v>0</v>
      </c>
      <c r="N268" s="22">
        <f t="shared" si="342"/>
        <v>2081.9299999999998</v>
      </c>
      <c r="O268" s="22">
        <f t="shared" si="342"/>
        <v>4372.5</v>
      </c>
      <c r="P268" s="22">
        <f>P271+P275</f>
        <v>2.7</v>
      </c>
      <c r="Q268" s="22">
        <f>Q271+Q275</f>
        <v>470</v>
      </c>
      <c r="R268" s="22">
        <f t="shared" ref="R268:AI268" si="343">R271+R275</f>
        <v>75</v>
      </c>
      <c r="S268" s="22">
        <f t="shared" si="343"/>
        <v>75</v>
      </c>
      <c r="T268" s="22">
        <f t="shared" si="343"/>
        <v>0</v>
      </c>
      <c r="U268" s="22">
        <f t="shared" si="343"/>
        <v>0</v>
      </c>
      <c r="V268" s="22">
        <f t="shared" si="343"/>
        <v>0</v>
      </c>
      <c r="W268" s="22">
        <f t="shared" si="343"/>
        <v>395</v>
      </c>
      <c r="X268" s="22">
        <f t="shared" si="343"/>
        <v>0</v>
      </c>
      <c r="Y268" s="22">
        <f t="shared" si="343"/>
        <v>0</v>
      </c>
      <c r="Z268" s="22">
        <f t="shared" si="343"/>
        <v>470</v>
      </c>
      <c r="AA268" s="22">
        <f t="shared" si="343"/>
        <v>75</v>
      </c>
      <c r="AB268" s="22">
        <f t="shared" si="343"/>
        <v>0</v>
      </c>
      <c r="AC268" s="22">
        <f t="shared" si="343"/>
        <v>395</v>
      </c>
      <c r="AD268" s="22">
        <f t="shared" si="343"/>
        <v>0</v>
      </c>
      <c r="AE268" s="22">
        <f t="shared" si="343"/>
        <v>0</v>
      </c>
      <c r="AF268" s="22">
        <f t="shared" si="343"/>
        <v>0</v>
      </c>
      <c r="AG268" s="22">
        <f t="shared" si="343"/>
        <v>0</v>
      </c>
      <c r="AH268" s="22">
        <f t="shared" si="343"/>
        <v>0</v>
      </c>
      <c r="AI268" s="22">
        <f t="shared" si="343"/>
        <v>0</v>
      </c>
      <c r="AJ268" s="22">
        <f t="shared" ref="AJ268:AN268" si="344">AJ271+AJ291+AJ294+AJ303+AJ305</f>
        <v>39579.99194</v>
      </c>
      <c r="AK268" s="22">
        <f t="shared" si="344"/>
        <v>39579.99194</v>
      </c>
      <c r="AL268" s="22">
        <f t="shared" si="344"/>
        <v>0</v>
      </c>
      <c r="AM268" s="22">
        <f t="shared" si="344"/>
        <v>0</v>
      </c>
      <c r="AN268" s="22">
        <f t="shared" si="344"/>
        <v>0</v>
      </c>
      <c r="AO268" s="398"/>
    </row>
    <row r="269" spans="1:41" ht="26.25" customHeight="1" x14ac:dyDescent="0.25">
      <c r="A269" s="1333"/>
      <c r="B269" s="1338"/>
      <c r="C269" s="1339"/>
      <c r="D269" s="1339"/>
      <c r="E269" s="1339"/>
      <c r="F269" s="1339"/>
      <c r="G269" s="1339"/>
      <c r="H269" s="1340"/>
      <c r="I269" s="15" t="s">
        <v>10</v>
      </c>
      <c r="J269" s="43">
        <v>0</v>
      </c>
      <c r="K269" s="43">
        <v>0</v>
      </c>
      <c r="L269" s="16">
        <f>M269+N269+O269</f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398"/>
    </row>
    <row r="270" spans="1:41" ht="25.5" x14ac:dyDescent="0.25">
      <c r="A270" s="1334"/>
      <c r="B270" s="1341"/>
      <c r="C270" s="1342"/>
      <c r="D270" s="1342"/>
      <c r="E270" s="1342"/>
      <c r="F270" s="1342"/>
      <c r="G270" s="1342"/>
      <c r="H270" s="1343"/>
      <c r="I270" s="15" t="s">
        <v>9</v>
      </c>
      <c r="J270" s="43">
        <v>0</v>
      </c>
      <c r="K270" s="43">
        <v>0</v>
      </c>
      <c r="L270" s="16">
        <f>M270+N270+O270</f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398"/>
    </row>
    <row r="271" spans="1:41" ht="69" customHeight="1" x14ac:dyDescent="0.25">
      <c r="A271" s="1344" t="s">
        <v>184</v>
      </c>
      <c r="B271" s="84" t="s">
        <v>183</v>
      </c>
      <c r="C271" s="1347"/>
      <c r="D271" s="1350"/>
      <c r="E271" s="1350"/>
      <c r="F271" s="1353">
        <v>150000</v>
      </c>
      <c r="G271" s="1326">
        <v>2019</v>
      </c>
      <c r="H271" s="1326">
        <v>2019</v>
      </c>
      <c r="I271" s="1326" t="s">
        <v>20</v>
      </c>
      <c r="J271" s="1329">
        <v>4914.5600000000004</v>
      </c>
      <c r="K271" s="3"/>
      <c r="L271" s="79">
        <f t="shared" ref="L271:Q271" si="345">L274+L272</f>
        <v>6696.7899999999991</v>
      </c>
      <c r="M271" s="79">
        <f t="shared" si="345"/>
        <v>0</v>
      </c>
      <c r="N271" s="79">
        <f t="shared" si="345"/>
        <v>2081.9299999999998</v>
      </c>
      <c r="O271" s="79">
        <f t="shared" si="345"/>
        <v>4372.5</v>
      </c>
      <c r="P271" s="79">
        <f t="shared" si="345"/>
        <v>0</v>
      </c>
      <c r="Q271" s="79">
        <f t="shared" si="345"/>
        <v>470</v>
      </c>
      <c r="R271" s="79">
        <f t="shared" ref="R271:AH271" si="346">R274+R272</f>
        <v>75</v>
      </c>
      <c r="S271" s="79">
        <f t="shared" si="346"/>
        <v>75</v>
      </c>
      <c r="T271" s="79">
        <f t="shared" si="346"/>
        <v>0</v>
      </c>
      <c r="U271" s="79">
        <f t="shared" si="346"/>
        <v>0</v>
      </c>
      <c r="V271" s="79">
        <f t="shared" si="346"/>
        <v>0</v>
      </c>
      <c r="W271" s="79">
        <f t="shared" si="346"/>
        <v>395</v>
      </c>
      <c r="X271" s="79">
        <f t="shared" si="346"/>
        <v>0</v>
      </c>
      <c r="Y271" s="79">
        <f t="shared" si="346"/>
        <v>0</v>
      </c>
      <c r="Z271" s="79">
        <f t="shared" si="346"/>
        <v>470</v>
      </c>
      <c r="AA271" s="79">
        <f t="shared" si="346"/>
        <v>75</v>
      </c>
      <c r="AB271" s="79">
        <f t="shared" si="346"/>
        <v>0</v>
      </c>
      <c r="AC271" s="79">
        <f>AC274+AC272</f>
        <v>395</v>
      </c>
      <c r="AD271" s="79">
        <f>AD274+AD272</f>
        <v>0</v>
      </c>
      <c r="AE271" s="79">
        <f t="shared" si="346"/>
        <v>0</v>
      </c>
      <c r="AF271" s="79">
        <f t="shared" si="346"/>
        <v>0</v>
      </c>
      <c r="AG271" s="79">
        <f t="shared" si="346"/>
        <v>0</v>
      </c>
      <c r="AH271" s="79">
        <f t="shared" si="346"/>
        <v>0</v>
      </c>
      <c r="AI271" s="79">
        <f>AI274+AI272</f>
        <v>0</v>
      </c>
      <c r="AJ271" s="79">
        <f>P271-Q271</f>
        <v>-470</v>
      </c>
      <c r="AK271" s="79">
        <f>AJ271</f>
        <v>-470</v>
      </c>
      <c r="AL271" s="76">
        <v>0</v>
      </c>
      <c r="AM271" s="79">
        <f>AM274</f>
        <v>0</v>
      </c>
      <c r="AN271" s="79">
        <f>AN274</f>
        <v>0</v>
      </c>
      <c r="AO271" s="404" t="s">
        <v>420</v>
      </c>
    </row>
    <row r="272" spans="1:41" s="285" customFormat="1" ht="19.5" customHeight="1" x14ac:dyDescent="0.25">
      <c r="A272" s="1345"/>
      <c r="B272" s="1" t="s">
        <v>15</v>
      </c>
      <c r="C272" s="1348"/>
      <c r="D272" s="1351"/>
      <c r="E272" s="1351"/>
      <c r="F272" s="1354"/>
      <c r="G272" s="1327"/>
      <c r="H272" s="1327"/>
      <c r="I272" s="1327"/>
      <c r="J272" s="1330"/>
      <c r="K272" s="47"/>
      <c r="L272" s="47">
        <f>SUM(M272:O272)</f>
        <v>2081.9299999999998</v>
      </c>
      <c r="M272" s="4">
        <v>0</v>
      </c>
      <c r="N272" s="4">
        <v>2081.9299999999998</v>
      </c>
      <c r="O272" s="4">
        <f t="shared" ref="O272:AN272" si="347">O273</f>
        <v>0</v>
      </c>
      <c r="P272" s="4">
        <f t="shared" si="347"/>
        <v>0</v>
      </c>
      <c r="Q272" s="4">
        <f>Q273+W272</f>
        <v>470</v>
      </c>
      <c r="R272" s="4">
        <f t="shared" si="347"/>
        <v>75</v>
      </c>
      <c r="S272" s="4">
        <f t="shared" si="347"/>
        <v>75</v>
      </c>
      <c r="T272" s="4">
        <f t="shared" si="347"/>
        <v>0</v>
      </c>
      <c r="U272" s="4">
        <f t="shared" si="347"/>
        <v>0</v>
      </c>
      <c r="V272" s="4">
        <f t="shared" si="347"/>
        <v>0</v>
      </c>
      <c r="W272" s="4">
        <v>395</v>
      </c>
      <c r="X272" s="4">
        <f t="shared" si="347"/>
        <v>0</v>
      </c>
      <c r="Y272" s="4">
        <f t="shared" si="347"/>
        <v>0</v>
      </c>
      <c r="Z272" s="4">
        <f>Z273+AC272</f>
        <v>470</v>
      </c>
      <c r="AA272" s="4">
        <f t="shared" si="347"/>
        <v>75</v>
      </c>
      <c r="AB272" s="4">
        <f t="shared" si="347"/>
        <v>0</v>
      </c>
      <c r="AC272" s="4">
        <v>395</v>
      </c>
      <c r="AD272" s="4">
        <f t="shared" si="347"/>
        <v>0</v>
      </c>
      <c r="AE272" s="4">
        <f t="shared" si="347"/>
        <v>0</v>
      </c>
      <c r="AF272" s="4">
        <f t="shared" si="347"/>
        <v>0</v>
      </c>
      <c r="AG272" s="4">
        <v>0</v>
      </c>
      <c r="AH272" s="4">
        <v>0</v>
      </c>
      <c r="AI272" s="4">
        <v>0</v>
      </c>
      <c r="AJ272" s="4">
        <f t="shared" si="347"/>
        <v>0</v>
      </c>
      <c r="AK272" s="4">
        <f t="shared" si="347"/>
        <v>0</v>
      </c>
      <c r="AL272" s="4">
        <f t="shared" si="347"/>
        <v>0</v>
      </c>
      <c r="AM272" s="4">
        <f t="shared" si="347"/>
        <v>0</v>
      </c>
      <c r="AN272" s="4">
        <f t="shared" si="347"/>
        <v>0</v>
      </c>
      <c r="AO272" s="837"/>
    </row>
    <row r="273" spans="1:41" s="266" customFormat="1" ht="25.5" hidden="1" x14ac:dyDescent="0.25">
      <c r="A273" s="1345"/>
      <c r="B273" s="92" t="s">
        <v>433</v>
      </c>
      <c r="C273" s="1348"/>
      <c r="D273" s="1351"/>
      <c r="E273" s="1351"/>
      <c r="F273" s="1354"/>
      <c r="G273" s="1327"/>
      <c r="H273" s="1327"/>
      <c r="I273" s="1327"/>
      <c r="J273" s="1330"/>
      <c r="K273" s="95"/>
      <c r="L273" s="47">
        <f>SUM(M273:O273)</f>
        <v>0</v>
      </c>
      <c r="M273" s="268">
        <v>0</v>
      </c>
      <c r="N273" s="263"/>
      <c r="O273" s="263"/>
      <c r="P273" s="50">
        <v>0</v>
      </c>
      <c r="Q273" s="263">
        <v>75</v>
      </c>
      <c r="R273" s="263">
        <f>S273</f>
        <v>75</v>
      </c>
      <c r="S273" s="263">
        <v>75</v>
      </c>
      <c r="T273" s="263">
        <v>0</v>
      </c>
      <c r="U273" s="263">
        <v>0</v>
      </c>
      <c r="V273" s="263">
        <v>0</v>
      </c>
      <c r="W273" s="263">
        <v>0</v>
      </c>
      <c r="X273" s="263">
        <f>Y273</f>
        <v>0</v>
      </c>
      <c r="Y273" s="263">
        <v>0</v>
      </c>
      <c r="Z273" s="263">
        <f>AA273</f>
        <v>75</v>
      </c>
      <c r="AA273" s="263">
        <v>75</v>
      </c>
      <c r="AB273" s="263">
        <v>0</v>
      </c>
      <c r="AC273" s="263"/>
      <c r="AD273" s="263">
        <v>0</v>
      </c>
      <c r="AE273" s="263"/>
      <c r="AF273" s="263"/>
      <c r="AG273" s="263"/>
      <c r="AH273" s="263"/>
      <c r="AI273" s="263"/>
      <c r="AJ273" s="263"/>
      <c r="AK273" s="263"/>
      <c r="AL273" s="263"/>
      <c r="AM273" s="263"/>
      <c r="AN273" s="263"/>
      <c r="AO273" s="413"/>
    </row>
    <row r="274" spans="1:41" ht="18" customHeight="1" x14ac:dyDescent="0.25">
      <c r="A274" s="1346"/>
      <c r="B274" s="5" t="s">
        <v>16</v>
      </c>
      <c r="C274" s="1356"/>
      <c r="D274" s="1356"/>
      <c r="E274" s="1351"/>
      <c r="F274" s="1357"/>
      <c r="G274" s="1327"/>
      <c r="H274" s="1327"/>
      <c r="I274" s="1327"/>
      <c r="J274" s="1331"/>
      <c r="K274" s="47">
        <v>0</v>
      </c>
      <c r="L274" s="47">
        <v>4614.8599999999997</v>
      </c>
      <c r="M274" s="4">
        <v>0</v>
      </c>
      <c r="N274" s="4">
        <v>0</v>
      </c>
      <c r="O274" s="4">
        <v>4372.5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837"/>
    </row>
    <row r="275" spans="1:41" ht="43.5" customHeight="1" x14ac:dyDescent="0.25">
      <c r="A275" s="1344" t="s">
        <v>185</v>
      </c>
      <c r="B275" s="84" t="s">
        <v>378</v>
      </c>
      <c r="C275" s="1347"/>
      <c r="D275" s="1350"/>
      <c r="E275" s="1350"/>
      <c r="F275" s="1353">
        <v>150000</v>
      </c>
      <c r="G275" s="1326">
        <v>2019</v>
      </c>
      <c r="H275" s="1326">
        <v>2019</v>
      </c>
      <c r="I275" s="1326" t="s">
        <v>20</v>
      </c>
      <c r="J275" s="1329">
        <v>4914.5600000000004</v>
      </c>
      <c r="K275" s="3"/>
      <c r="L275" s="79">
        <f t="shared" ref="L275:AI275" si="348">L278+L276</f>
        <v>813.45</v>
      </c>
      <c r="M275" s="79">
        <f t="shared" si="348"/>
        <v>0</v>
      </c>
      <c r="N275" s="79">
        <f t="shared" si="348"/>
        <v>2081.9299999999998</v>
      </c>
      <c r="O275" s="79" t="e">
        <f t="shared" si="348"/>
        <v>#REF!</v>
      </c>
      <c r="P275" s="79">
        <f t="shared" si="348"/>
        <v>2.7</v>
      </c>
      <c r="Q275" s="79">
        <f>Q278+Q276</f>
        <v>0</v>
      </c>
      <c r="R275" s="79">
        <f t="shared" ref="R275:W275" si="349">R278+R276</f>
        <v>0</v>
      </c>
      <c r="S275" s="79">
        <f t="shared" si="349"/>
        <v>0</v>
      </c>
      <c r="T275" s="79">
        <f t="shared" si="349"/>
        <v>0</v>
      </c>
      <c r="U275" s="79">
        <f t="shared" si="349"/>
        <v>0</v>
      </c>
      <c r="V275" s="79">
        <f t="shared" si="349"/>
        <v>0</v>
      </c>
      <c r="W275" s="79">
        <f t="shared" si="349"/>
        <v>0</v>
      </c>
      <c r="X275" s="79">
        <f t="shared" si="348"/>
        <v>0</v>
      </c>
      <c r="Y275" s="79">
        <f t="shared" si="348"/>
        <v>0</v>
      </c>
      <c r="Z275" s="79">
        <f t="shared" si="348"/>
        <v>0</v>
      </c>
      <c r="AA275" s="79">
        <f t="shared" si="348"/>
        <v>0</v>
      </c>
      <c r="AB275" s="79">
        <f t="shared" si="348"/>
        <v>0</v>
      </c>
      <c r="AC275" s="79">
        <f t="shared" si="348"/>
        <v>0</v>
      </c>
      <c r="AD275" s="79">
        <f t="shared" si="348"/>
        <v>0</v>
      </c>
      <c r="AE275" s="79">
        <f t="shared" si="348"/>
        <v>0</v>
      </c>
      <c r="AF275" s="79">
        <f t="shared" si="348"/>
        <v>0</v>
      </c>
      <c r="AG275" s="79">
        <f t="shared" si="348"/>
        <v>0</v>
      </c>
      <c r="AH275" s="79">
        <f t="shared" si="348"/>
        <v>0</v>
      </c>
      <c r="AI275" s="79">
        <f t="shared" si="348"/>
        <v>0</v>
      </c>
      <c r="AJ275" s="79">
        <f>P275-Q275</f>
        <v>2.7</v>
      </c>
      <c r="AK275" s="79">
        <f>AJ275</f>
        <v>2.7</v>
      </c>
      <c r="AL275" s="76">
        <f>ROUND((Q275*100%/P275*100),2)</f>
        <v>0</v>
      </c>
      <c r="AM275" s="79">
        <f>AM278</f>
        <v>0</v>
      </c>
      <c r="AN275" s="79">
        <f>AN278</f>
        <v>0</v>
      </c>
      <c r="AO275" s="404" t="s">
        <v>244</v>
      </c>
    </row>
    <row r="276" spans="1:41" s="285" customFormat="1" ht="19.5" customHeight="1" x14ac:dyDescent="0.25">
      <c r="A276" s="1345"/>
      <c r="B276" s="1" t="s">
        <v>15</v>
      </c>
      <c r="C276" s="1348"/>
      <c r="D276" s="1351"/>
      <c r="E276" s="1351"/>
      <c r="F276" s="1354"/>
      <c r="G276" s="1327"/>
      <c r="H276" s="1327"/>
      <c r="I276" s="1327"/>
      <c r="J276" s="1330"/>
      <c r="K276" s="47"/>
      <c r="L276" s="47">
        <v>2.7</v>
      </c>
      <c r="M276" s="4">
        <v>0</v>
      </c>
      <c r="N276" s="4">
        <v>2081.9299999999998</v>
      </c>
      <c r="O276" s="4" t="e">
        <f>#REF!</f>
        <v>#REF!</v>
      </c>
      <c r="P276" s="4">
        <v>2.7</v>
      </c>
      <c r="Q276" s="4">
        <f>Q277</f>
        <v>0</v>
      </c>
      <c r="R276" s="4">
        <f t="shared" ref="R276:W276" si="350">R277</f>
        <v>0</v>
      </c>
      <c r="S276" s="4">
        <f t="shared" si="350"/>
        <v>0</v>
      </c>
      <c r="T276" s="4">
        <f t="shared" si="350"/>
        <v>0</v>
      </c>
      <c r="U276" s="4">
        <f t="shared" si="350"/>
        <v>0</v>
      </c>
      <c r="V276" s="4">
        <f t="shared" si="350"/>
        <v>0</v>
      </c>
      <c r="W276" s="4">
        <f t="shared" si="350"/>
        <v>0</v>
      </c>
      <c r="X276" s="4">
        <v>0</v>
      </c>
      <c r="Y276" s="4">
        <f>Y277</f>
        <v>0</v>
      </c>
      <c r="Z276" s="4">
        <f>Z277</f>
        <v>0</v>
      </c>
      <c r="AA276" s="4">
        <v>0</v>
      </c>
      <c r="AB276" s="4">
        <v>0</v>
      </c>
      <c r="AC276" s="4">
        <v>0</v>
      </c>
      <c r="AD276" s="4">
        <f>AD277</f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837"/>
    </row>
    <row r="277" spans="1:41" s="266" customFormat="1" ht="19.5" hidden="1" customHeight="1" x14ac:dyDescent="0.25">
      <c r="A277" s="1345"/>
      <c r="B277" s="718" t="s">
        <v>225</v>
      </c>
      <c r="C277" s="1348"/>
      <c r="D277" s="1351"/>
      <c r="E277" s="1351"/>
      <c r="F277" s="1354"/>
      <c r="G277" s="1327"/>
      <c r="H277" s="1327"/>
      <c r="I277" s="1327"/>
      <c r="J277" s="1330"/>
      <c r="K277" s="96"/>
      <c r="L277" s="47"/>
      <c r="M277" s="268"/>
      <c r="N277" s="268"/>
      <c r="O277" s="268"/>
      <c r="P277" s="4"/>
      <c r="Q277" s="268">
        <f>Y277</f>
        <v>0</v>
      </c>
      <c r="R277" s="268"/>
      <c r="S277" s="268"/>
      <c r="T277" s="268"/>
      <c r="U277" s="268"/>
      <c r="V277" s="268"/>
      <c r="W277" s="268"/>
      <c r="X277" s="268"/>
      <c r="Y277" s="268">
        <v>0</v>
      </c>
      <c r="Z277" s="268">
        <f>AD277</f>
        <v>0</v>
      </c>
      <c r="AA277" s="268"/>
      <c r="AB277" s="268"/>
      <c r="AC277" s="268"/>
      <c r="AD277" s="268">
        <v>0</v>
      </c>
      <c r="AE277" s="268"/>
      <c r="AF277" s="268"/>
      <c r="AG277" s="268"/>
      <c r="AH277" s="268"/>
      <c r="AI277" s="268"/>
      <c r="AJ277" s="268"/>
      <c r="AK277" s="268"/>
      <c r="AL277" s="268"/>
      <c r="AM277" s="268"/>
      <c r="AN277" s="268"/>
      <c r="AO277" s="488"/>
    </row>
    <row r="278" spans="1:41" ht="18" customHeight="1" x14ac:dyDescent="0.25">
      <c r="A278" s="1346"/>
      <c r="B278" s="575" t="s">
        <v>16</v>
      </c>
      <c r="C278" s="1356"/>
      <c r="D278" s="1356"/>
      <c r="E278" s="1351"/>
      <c r="F278" s="1357"/>
      <c r="G278" s="1327"/>
      <c r="H278" s="1327"/>
      <c r="I278" s="1327"/>
      <c r="J278" s="1331"/>
      <c r="K278" s="47">
        <v>0</v>
      </c>
      <c r="L278" s="47">
        <v>810.75</v>
      </c>
      <c r="M278" s="4">
        <v>0</v>
      </c>
      <c r="N278" s="4">
        <v>0</v>
      </c>
      <c r="O278" s="4">
        <v>4372.5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837"/>
    </row>
    <row r="279" spans="1:41" ht="54" customHeight="1" x14ac:dyDescent="0.25">
      <c r="A279" s="1332" t="s">
        <v>141</v>
      </c>
      <c r="B279" s="1335" t="s">
        <v>209</v>
      </c>
      <c r="C279" s="1336"/>
      <c r="D279" s="1336"/>
      <c r="E279" s="1336"/>
      <c r="F279" s="1336"/>
      <c r="G279" s="1336"/>
      <c r="H279" s="1337"/>
      <c r="I279" s="15" t="s">
        <v>19</v>
      </c>
      <c r="J279" s="276">
        <v>0</v>
      </c>
      <c r="K279" s="276">
        <v>0</v>
      </c>
      <c r="L279" s="22">
        <f>M279+N279+O279</f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398"/>
    </row>
    <row r="280" spans="1:41" ht="39.75" customHeight="1" x14ac:dyDescent="0.25">
      <c r="A280" s="1333"/>
      <c r="B280" s="1338"/>
      <c r="C280" s="1339"/>
      <c r="D280" s="1339"/>
      <c r="E280" s="1339"/>
      <c r="F280" s="1339"/>
      <c r="G280" s="1339"/>
      <c r="H280" s="1340"/>
      <c r="I280" s="15" t="s">
        <v>20</v>
      </c>
      <c r="J280" s="276" t="e">
        <f>K280+L280</f>
        <v>#REF!</v>
      </c>
      <c r="K280" s="276" t="e">
        <f>#REF!+K328+K369+K370</f>
        <v>#REF!</v>
      </c>
      <c r="L280" s="47">
        <f t="shared" ref="L280:AL280" si="351">L283+L286++L291+L295+L303+L305+L309+L314+L321+L328</f>
        <v>308590.09000000003</v>
      </c>
      <c r="M280" s="47">
        <f t="shared" si="351"/>
        <v>31936.59</v>
      </c>
      <c r="N280" s="47">
        <f t="shared" si="351"/>
        <v>80827.610000000015</v>
      </c>
      <c r="O280" s="47">
        <f t="shared" si="351"/>
        <v>46251.09</v>
      </c>
      <c r="P280" s="47">
        <f t="shared" si="351"/>
        <v>53453.89</v>
      </c>
      <c r="Q280" s="22">
        <f t="shared" si="351"/>
        <v>3556.37156</v>
      </c>
      <c r="R280" s="22">
        <f t="shared" si="351"/>
        <v>10.39</v>
      </c>
      <c r="S280" s="22">
        <f t="shared" si="351"/>
        <v>1215.3950000000002</v>
      </c>
      <c r="T280" s="22">
        <f t="shared" si="351"/>
        <v>616.64663999999993</v>
      </c>
      <c r="U280" s="22">
        <f t="shared" si="351"/>
        <v>613.24663999999996</v>
      </c>
      <c r="V280" s="22">
        <f t="shared" si="351"/>
        <v>60</v>
      </c>
      <c r="W280" s="22">
        <f t="shared" si="351"/>
        <v>122.80186</v>
      </c>
      <c r="X280" s="22">
        <f t="shared" si="351"/>
        <v>0</v>
      </c>
      <c r="Y280" s="22">
        <f t="shared" si="351"/>
        <v>1604.92806</v>
      </c>
      <c r="Z280" s="22">
        <f t="shared" si="351"/>
        <v>2173.1200899999999</v>
      </c>
      <c r="AA280" s="22">
        <f t="shared" si="351"/>
        <v>1870</v>
      </c>
      <c r="AB280" s="22">
        <f t="shared" si="351"/>
        <v>0</v>
      </c>
      <c r="AC280" s="22">
        <f t="shared" si="351"/>
        <v>133.19202999999999</v>
      </c>
      <c r="AD280" s="22">
        <f t="shared" si="351"/>
        <v>169.92805999999999</v>
      </c>
      <c r="AE280" s="22">
        <f t="shared" si="351"/>
        <v>0</v>
      </c>
      <c r="AF280" s="22">
        <f t="shared" si="351"/>
        <v>0</v>
      </c>
      <c r="AG280" s="22">
        <f t="shared" si="351"/>
        <v>0</v>
      </c>
      <c r="AH280" s="22">
        <f t="shared" si="351"/>
        <v>0</v>
      </c>
      <c r="AI280" s="22">
        <f t="shared" si="351"/>
        <v>0</v>
      </c>
      <c r="AJ280" s="22">
        <f t="shared" si="351"/>
        <v>45704.260299999994</v>
      </c>
      <c r="AK280" s="22">
        <f t="shared" si="351"/>
        <v>48957.511939999997</v>
      </c>
      <c r="AL280" s="22">
        <f t="shared" si="351"/>
        <v>0</v>
      </c>
      <c r="AM280" s="22">
        <f>AM283+AM286++AM291+AM294+AM303+AM305+AM309+AM314+AM321+AM327</f>
        <v>0</v>
      </c>
      <c r="AN280" s="22">
        <f>AN283+AN286++AN291+AN294+AN303+AN305+AN309+AN314+AN321+AN327</f>
        <v>0</v>
      </c>
      <c r="AO280" s="398"/>
    </row>
    <row r="281" spans="1:41" ht="26.25" customHeight="1" x14ac:dyDescent="0.25">
      <c r="A281" s="1333"/>
      <c r="B281" s="1338"/>
      <c r="C281" s="1339"/>
      <c r="D281" s="1339"/>
      <c r="E281" s="1339"/>
      <c r="F281" s="1339"/>
      <c r="G281" s="1339"/>
      <c r="H281" s="1340"/>
      <c r="I281" s="15" t="s">
        <v>10</v>
      </c>
      <c r="J281" s="276">
        <v>0</v>
      </c>
      <c r="K281" s="276">
        <v>0</v>
      </c>
      <c r="L281" s="22">
        <f t="shared" ref="L281:AL281" si="352">L300+L301+L334</f>
        <v>297742.64</v>
      </c>
      <c r="M281" s="22">
        <f t="shared" si="352"/>
        <v>295242.64</v>
      </c>
      <c r="N281" s="22">
        <f t="shared" si="352"/>
        <v>297742.64</v>
      </c>
      <c r="O281" s="22">
        <f t="shared" si="352"/>
        <v>297742.64</v>
      </c>
      <c r="P281" s="22">
        <f t="shared" si="352"/>
        <v>0</v>
      </c>
      <c r="Q281" s="22">
        <f>Q300+Q301+Q334</f>
        <v>99408.514839999989</v>
      </c>
      <c r="R281" s="22">
        <f t="shared" si="352"/>
        <v>0</v>
      </c>
      <c r="S281" s="22">
        <f t="shared" si="352"/>
        <v>21705.923740000002</v>
      </c>
      <c r="T281" s="22">
        <f t="shared" si="352"/>
        <v>0</v>
      </c>
      <c r="U281" s="22">
        <f t="shared" si="352"/>
        <v>32353.478230000001</v>
      </c>
      <c r="V281" s="22">
        <f t="shared" si="352"/>
        <v>0</v>
      </c>
      <c r="W281" s="22">
        <f t="shared" si="352"/>
        <v>45349.112869999997</v>
      </c>
      <c r="X281" s="22">
        <f t="shared" si="352"/>
        <v>0</v>
      </c>
      <c r="Y281" s="22">
        <f t="shared" si="352"/>
        <v>0</v>
      </c>
      <c r="Z281" s="22">
        <f t="shared" si="352"/>
        <v>114181.18857</v>
      </c>
      <c r="AA281" s="22">
        <f t="shared" si="352"/>
        <v>21705.915000000001</v>
      </c>
      <c r="AB281" s="22">
        <f t="shared" si="352"/>
        <v>39739.819470000002</v>
      </c>
      <c r="AC281" s="22">
        <f t="shared" si="352"/>
        <v>52735.454100000003</v>
      </c>
      <c r="AD281" s="22">
        <f t="shared" si="352"/>
        <v>0</v>
      </c>
      <c r="AE281" s="22">
        <f t="shared" si="352"/>
        <v>0</v>
      </c>
      <c r="AF281" s="22">
        <f t="shared" si="352"/>
        <v>0</v>
      </c>
      <c r="AG281" s="22">
        <f t="shared" si="352"/>
        <v>0</v>
      </c>
      <c r="AH281" s="22">
        <f t="shared" si="352"/>
        <v>0</v>
      </c>
      <c r="AI281" s="22">
        <f t="shared" si="352"/>
        <v>0</v>
      </c>
      <c r="AJ281" s="22">
        <f t="shared" si="352"/>
        <v>0</v>
      </c>
      <c r="AK281" s="22">
        <f t="shared" si="352"/>
        <v>0</v>
      </c>
      <c r="AL281" s="22">
        <f t="shared" si="352"/>
        <v>0</v>
      </c>
      <c r="AM281" s="22">
        <v>0</v>
      </c>
      <c r="AN281" s="22">
        <v>0</v>
      </c>
      <c r="AO281" s="398"/>
    </row>
    <row r="282" spans="1:41" ht="25.5" x14ac:dyDescent="0.25">
      <c r="A282" s="1334"/>
      <c r="B282" s="1341"/>
      <c r="C282" s="1342"/>
      <c r="D282" s="1342"/>
      <c r="E282" s="1342"/>
      <c r="F282" s="1342"/>
      <c r="G282" s="1342"/>
      <c r="H282" s="1343"/>
      <c r="I282" s="15" t="s">
        <v>9</v>
      </c>
      <c r="J282" s="276">
        <v>0</v>
      </c>
      <c r="K282" s="276">
        <v>0</v>
      </c>
      <c r="L282" s="22">
        <f>M282+N282+O282</f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1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398"/>
    </row>
    <row r="283" spans="1:41" ht="57" customHeight="1" x14ac:dyDescent="0.25">
      <c r="A283" s="1450" t="s">
        <v>379</v>
      </c>
      <c r="B283" s="77" t="s">
        <v>89</v>
      </c>
      <c r="C283" s="133"/>
      <c r="D283" s="133"/>
      <c r="E283" s="133"/>
      <c r="F283" s="133"/>
      <c r="G283" s="2"/>
      <c r="H283" s="2"/>
      <c r="I283" s="1463" t="s">
        <v>20</v>
      </c>
      <c r="J283" s="278"/>
      <c r="K283" s="3"/>
      <c r="L283" s="79">
        <f>L284</f>
        <v>5611.06</v>
      </c>
      <c r="M283" s="79">
        <f>M284</f>
        <v>0</v>
      </c>
      <c r="N283" s="79">
        <f t="shared" ref="N283:AN284" si="353">N284</f>
        <v>5037.4399999999996</v>
      </c>
      <c r="O283" s="79">
        <f t="shared" si="353"/>
        <v>0</v>
      </c>
      <c r="P283" s="79">
        <f t="shared" si="353"/>
        <v>416.03</v>
      </c>
      <c r="Q283" s="79">
        <f t="shared" si="353"/>
        <v>0</v>
      </c>
      <c r="R283" s="79">
        <f t="shared" si="353"/>
        <v>0</v>
      </c>
      <c r="S283" s="79">
        <f t="shared" si="353"/>
        <v>0</v>
      </c>
      <c r="T283" s="79">
        <f t="shared" si="353"/>
        <v>0</v>
      </c>
      <c r="U283" s="79">
        <f t="shared" si="353"/>
        <v>0</v>
      </c>
      <c r="V283" s="79">
        <f t="shared" si="353"/>
        <v>0</v>
      </c>
      <c r="W283" s="79">
        <f t="shared" si="353"/>
        <v>0</v>
      </c>
      <c r="X283" s="79">
        <f t="shared" si="353"/>
        <v>0</v>
      </c>
      <c r="Y283" s="79">
        <f t="shared" si="353"/>
        <v>0</v>
      </c>
      <c r="Z283" s="79">
        <f t="shared" si="353"/>
        <v>0</v>
      </c>
      <c r="AA283" s="79">
        <f t="shared" si="353"/>
        <v>0</v>
      </c>
      <c r="AB283" s="79">
        <f t="shared" si="353"/>
        <v>0</v>
      </c>
      <c r="AC283" s="79">
        <f t="shared" si="353"/>
        <v>0</v>
      </c>
      <c r="AD283" s="79">
        <f t="shared" si="353"/>
        <v>0</v>
      </c>
      <c r="AE283" s="79">
        <f t="shared" si="353"/>
        <v>0</v>
      </c>
      <c r="AF283" s="79">
        <f t="shared" si="353"/>
        <v>0</v>
      </c>
      <c r="AG283" s="79">
        <f t="shared" si="353"/>
        <v>0</v>
      </c>
      <c r="AH283" s="79">
        <f t="shared" si="353"/>
        <v>0</v>
      </c>
      <c r="AI283" s="79">
        <f t="shared" si="353"/>
        <v>0</v>
      </c>
      <c r="AJ283" s="79">
        <f t="shared" si="353"/>
        <v>0</v>
      </c>
      <c r="AK283" s="79">
        <f t="shared" si="353"/>
        <v>0</v>
      </c>
      <c r="AL283" s="79">
        <f t="shared" si="353"/>
        <v>0</v>
      </c>
      <c r="AM283" s="79">
        <f t="shared" si="353"/>
        <v>0</v>
      </c>
      <c r="AN283" s="79">
        <f t="shared" si="353"/>
        <v>0</v>
      </c>
      <c r="AO283" s="404" t="s">
        <v>419</v>
      </c>
    </row>
    <row r="284" spans="1:41" ht="15.75" customHeight="1" x14ac:dyDescent="0.25">
      <c r="A284" s="1451"/>
      <c r="B284" s="47" t="s">
        <v>15</v>
      </c>
      <c r="C284" s="133"/>
      <c r="D284" s="133"/>
      <c r="E284" s="133"/>
      <c r="F284" s="133"/>
      <c r="G284" s="313"/>
      <c r="H284" s="314"/>
      <c r="I284" s="1465"/>
      <c r="J284" s="278"/>
      <c r="K284" s="318"/>
      <c r="L284" s="47">
        <v>5611.06</v>
      </c>
      <c r="M284" s="50">
        <v>0</v>
      </c>
      <c r="N284" s="50">
        <v>5037.4399999999996</v>
      </c>
      <c r="O284" s="50">
        <v>0</v>
      </c>
      <c r="P284" s="50">
        <v>416.03</v>
      </c>
      <c r="Q284" s="447">
        <f>Q285</f>
        <v>0</v>
      </c>
      <c r="R284" s="447">
        <f t="shared" si="353"/>
        <v>0</v>
      </c>
      <c r="S284" s="447">
        <f t="shared" si="353"/>
        <v>0</v>
      </c>
      <c r="T284" s="447">
        <f t="shared" si="353"/>
        <v>0</v>
      </c>
      <c r="U284" s="447">
        <f t="shared" si="353"/>
        <v>0</v>
      </c>
      <c r="V284" s="447">
        <f t="shared" si="353"/>
        <v>0</v>
      </c>
      <c r="W284" s="447">
        <f t="shared" si="353"/>
        <v>0</v>
      </c>
      <c r="X284" s="447">
        <f t="shared" si="353"/>
        <v>0</v>
      </c>
      <c r="Y284" s="447">
        <f t="shared" si="353"/>
        <v>0</v>
      </c>
      <c r="Z284" s="447">
        <f t="shared" si="353"/>
        <v>0</v>
      </c>
      <c r="AA284" s="447">
        <f t="shared" si="353"/>
        <v>0</v>
      </c>
      <c r="AB284" s="447">
        <f t="shared" si="353"/>
        <v>0</v>
      </c>
      <c r="AC284" s="447">
        <f t="shared" si="353"/>
        <v>0</v>
      </c>
      <c r="AD284" s="447">
        <f t="shared" si="353"/>
        <v>0</v>
      </c>
      <c r="AE284" s="447">
        <f t="shared" si="353"/>
        <v>0</v>
      </c>
      <c r="AF284" s="447">
        <f t="shared" si="353"/>
        <v>0</v>
      </c>
      <c r="AG284" s="447">
        <f t="shared" si="353"/>
        <v>0</v>
      </c>
      <c r="AH284" s="447">
        <f t="shared" si="353"/>
        <v>0</v>
      </c>
      <c r="AI284" s="447">
        <v>0</v>
      </c>
      <c r="AJ284" s="447">
        <v>0</v>
      </c>
      <c r="AK284" s="447">
        <v>0</v>
      </c>
      <c r="AL284" s="50">
        <v>0</v>
      </c>
      <c r="AM284" s="50">
        <v>0</v>
      </c>
      <c r="AN284" s="50">
        <v>0</v>
      </c>
      <c r="AO284" s="412"/>
    </row>
    <row r="285" spans="1:41" s="97" customFormat="1" ht="15.75" hidden="1" customHeight="1" x14ac:dyDescent="0.25">
      <c r="A285" s="1452"/>
      <c r="B285" s="96" t="s">
        <v>323</v>
      </c>
      <c r="C285" s="369"/>
      <c r="D285" s="369"/>
      <c r="E285" s="369"/>
      <c r="F285" s="369"/>
      <c r="G285" s="363"/>
      <c r="H285" s="364"/>
      <c r="I285" s="370"/>
      <c r="J285" s="371"/>
      <c r="K285" s="372"/>
      <c r="L285" s="47"/>
      <c r="M285" s="263"/>
      <c r="N285" s="263"/>
      <c r="O285" s="263"/>
      <c r="P285" s="50"/>
      <c r="Q285" s="584">
        <f>W285</f>
        <v>0</v>
      </c>
      <c r="R285" s="584"/>
      <c r="S285" s="584"/>
      <c r="T285" s="584"/>
      <c r="U285" s="584"/>
      <c r="V285" s="584">
        <v>0</v>
      </c>
      <c r="W285" s="584">
        <v>0</v>
      </c>
      <c r="X285" s="584"/>
      <c r="Y285" s="584"/>
      <c r="Z285" s="584">
        <f>AC285</f>
        <v>0</v>
      </c>
      <c r="AA285" s="584"/>
      <c r="AB285" s="584"/>
      <c r="AC285" s="584">
        <v>0</v>
      </c>
      <c r="AD285" s="584"/>
      <c r="AE285" s="584"/>
      <c r="AF285" s="584"/>
      <c r="AG285" s="584"/>
      <c r="AH285" s="584"/>
      <c r="AI285" s="584"/>
      <c r="AJ285" s="584"/>
      <c r="AK285" s="584"/>
      <c r="AL285" s="263"/>
      <c r="AM285" s="263"/>
      <c r="AN285" s="263"/>
      <c r="AO285" s="413"/>
    </row>
    <row r="286" spans="1:41" ht="70.5" customHeight="1" x14ac:dyDescent="0.25">
      <c r="A286" s="1450" t="s">
        <v>380</v>
      </c>
      <c r="B286" s="77" t="s">
        <v>187</v>
      </c>
      <c r="C286" s="133"/>
      <c r="D286" s="133"/>
      <c r="E286" s="133"/>
      <c r="F286" s="133"/>
      <c r="G286" s="2"/>
      <c r="H286" s="2"/>
      <c r="I286" s="1463" t="s">
        <v>20</v>
      </c>
      <c r="J286" s="278"/>
      <c r="K286" s="3"/>
      <c r="L286" s="79">
        <f>L287+L290</f>
        <v>107214.48999999999</v>
      </c>
      <c r="M286" s="79">
        <f>M287+M290</f>
        <v>1825.11</v>
      </c>
      <c r="N286" s="79">
        <f>N287+N290</f>
        <v>57476.200000000004</v>
      </c>
      <c r="O286" s="79">
        <f>O287+O290</f>
        <v>0</v>
      </c>
      <c r="P286" s="79">
        <f>P287+P290</f>
        <v>8907.52</v>
      </c>
      <c r="Q286" s="79">
        <f t="shared" ref="Q286:AN286" si="354">Q287+Q290</f>
        <v>0</v>
      </c>
      <c r="R286" s="79">
        <f t="shared" si="354"/>
        <v>0</v>
      </c>
      <c r="S286" s="79">
        <f t="shared" si="354"/>
        <v>0</v>
      </c>
      <c r="T286" s="79">
        <f t="shared" si="354"/>
        <v>0</v>
      </c>
      <c r="U286" s="79">
        <f t="shared" si="354"/>
        <v>0</v>
      </c>
      <c r="V286" s="79">
        <f t="shared" si="354"/>
        <v>0</v>
      </c>
      <c r="W286" s="79">
        <f t="shared" si="354"/>
        <v>0</v>
      </c>
      <c r="X286" s="79">
        <f t="shared" si="354"/>
        <v>0</v>
      </c>
      <c r="Y286" s="79">
        <f t="shared" si="354"/>
        <v>0</v>
      </c>
      <c r="Z286" s="79">
        <f>Z287+Z290</f>
        <v>0</v>
      </c>
      <c r="AA286" s="79">
        <f t="shared" si="354"/>
        <v>0</v>
      </c>
      <c r="AB286" s="79">
        <f>AB287+AB290</f>
        <v>0</v>
      </c>
      <c r="AC286" s="79">
        <f>AC287+AC290</f>
        <v>0</v>
      </c>
      <c r="AD286" s="79">
        <f>AD287+AD290</f>
        <v>0</v>
      </c>
      <c r="AE286" s="79">
        <f t="shared" si="354"/>
        <v>0</v>
      </c>
      <c r="AF286" s="79">
        <f t="shared" si="354"/>
        <v>0</v>
      </c>
      <c r="AG286" s="79">
        <f t="shared" si="354"/>
        <v>0</v>
      </c>
      <c r="AH286" s="79">
        <f t="shared" si="354"/>
        <v>0</v>
      </c>
      <c r="AI286" s="79">
        <f>AI287+AI290</f>
        <v>0</v>
      </c>
      <c r="AJ286" s="79">
        <f>P286-Q286</f>
        <v>8907.52</v>
      </c>
      <c r="AK286" s="79">
        <f>AJ286</f>
        <v>8907.52</v>
      </c>
      <c r="AL286" s="79">
        <f t="shared" si="354"/>
        <v>0</v>
      </c>
      <c r="AM286" s="79">
        <f t="shared" si="354"/>
        <v>0</v>
      </c>
      <c r="AN286" s="79">
        <f t="shared" si="354"/>
        <v>0</v>
      </c>
      <c r="AO286" s="404" t="s">
        <v>420</v>
      </c>
    </row>
    <row r="287" spans="1:41" ht="15.75" customHeight="1" x14ac:dyDescent="0.25">
      <c r="A287" s="1451"/>
      <c r="B287" s="47" t="s">
        <v>15</v>
      </c>
      <c r="C287" s="133"/>
      <c r="D287" s="133"/>
      <c r="E287" s="133"/>
      <c r="F287" s="133"/>
      <c r="G287" s="313"/>
      <c r="H287" s="314"/>
      <c r="I287" s="1464"/>
      <c r="J287" s="278"/>
      <c r="K287" s="318"/>
      <c r="L287" s="47">
        <v>2401.5100000000002</v>
      </c>
      <c r="M287" s="47">
        <v>1825.11</v>
      </c>
      <c r="N287" s="47">
        <v>576.4</v>
      </c>
      <c r="O287" s="47">
        <v>0</v>
      </c>
      <c r="P287" s="47">
        <v>0</v>
      </c>
      <c r="Q287" s="47">
        <f>SUM(Q288:Q289)</f>
        <v>0</v>
      </c>
      <c r="R287" s="50">
        <f>SUM(R288:R289)</f>
        <v>0</v>
      </c>
      <c r="S287" s="50">
        <f t="shared" ref="S287:Y287" si="355">SUM(S288:S289)</f>
        <v>0</v>
      </c>
      <c r="T287" s="50">
        <f t="shared" si="355"/>
        <v>0</v>
      </c>
      <c r="U287" s="50">
        <f t="shared" si="355"/>
        <v>0</v>
      </c>
      <c r="V287" s="50">
        <f t="shared" si="355"/>
        <v>0</v>
      </c>
      <c r="W287" s="50">
        <f t="shared" si="355"/>
        <v>0</v>
      </c>
      <c r="X287" s="447">
        <f t="shared" si="355"/>
        <v>0</v>
      </c>
      <c r="Y287" s="447">
        <f t="shared" si="355"/>
        <v>0</v>
      </c>
      <c r="Z287" s="447">
        <f>Z288+Z289</f>
        <v>0</v>
      </c>
      <c r="AA287" s="50">
        <f>AA288+AA289</f>
        <v>0</v>
      </c>
      <c r="AB287" s="50">
        <f>AB288+AB289</f>
        <v>0</v>
      </c>
      <c r="AC287" s="50">
        <f>AC288+AC289</f>
        <v>0</v>
      </c>
      <c r="AD287" s="50">
        <f>AD288</f>
        <v>0</v>
      </c>
      <c r="AE287" s="50">
        <v>0</v>
      </c>
      <c r="AF287" s="50">
        <v>0</v>
      </c>
      <c r="AG287" s="50">
        <v>0</v>
      </c>
      <c r="AH287" s="50">
        <v>0</v>
      </c>
      <c r="AI287" s="50">
        <v>0</v>
      </c>
      <c r="AJ287" s="50">
        <v>0</v>
      </c>
      <c r="AK287" s="50">
        <v>0</v>
      </c>
      <c r="AL287" s="50">
        <v>0</v>
      </c>
      <c r="AM287" s="50">
        <v>0</v>
      </c>
      <c r="AN287" s="50">
        <v>0</v>
      </c>
      <c r="AO287" s="412"/>
    </row>
    <row r="288" spans="1:41" s="97" customFormat="1" ht="15.75" hidden="1" customHeight="1" x14ac:dyDescent="0.25">
      <c r="A288" s="1451"/>
      <c r="B288" s="452" t="s">
        <v>267</v>
      </c>
      <c r="C288" s="369"/>
      <c r="D288" s="369"/>
      <c r="E288" s="369"/>
      <c r="F288" s="369"/>
      <c r="G288" s="453"/>
      <c r="H288" s="454"/>
      <c r="I288" s="1464"/>
      <c r="J288" s="371"/>
      <c r="K288" s="372"/>
      <c r="L288" s="47"/>
      <c r="M288" s="268"/>
      <c r="N288" s="268"/>
      <c r="O288" s="268"/>
      <c r="P288" s="4">
        <f>Q288</f>
        <v>0</v>
      </c>
      <c r="Q288" s="455">
        <f>S288+U288+W288</f>
        <v>0</v>
      </c>
      <c r="R288" s="455"/>
      <c r="S288" s="455"/>
      <c r="T288" s="455">
        <v>0</v>
      </c>
      <c r="U288" s="455">
        <v>0</v>
      </c>
      <c r="V288" s="455"/>
      <c r="W288" s="455"/>
      <c r="X288" s="455"/>
      <c r="Y288" s="455"/>
      <c r="Z288" s="455">
        <f>SUM(AA288:AD288)</f>
        <v>0</v>
      </c>
      <c r="AA288" s="455"/>
      <c r="AB288" s="455">
        <v>0</v>
      </c>
      <c r="AC288" s="455">
        <v>0</v>
      </c>
      <c r="AD288" s="455"/>
      <c r="AE288" s="455"/>
      <c r="AF288" s="455"/>
      <c r="AG288" s="455"/>
      <c r="AH288" s="455"/>
      <c r="AI288" s="455"/>
      <c r="AJ288" s="455"/>
      <c r="AK288" s="455"/>
      <c r="AL288" s="455"/>
      <c r="AM288" s="455"/>
      <c r="AN288" s="455"/>
      <c r="AO288" s="456"/>
    </row>
    <row r="289" spans="1:41" s="97" customFormat="1" ht="15.75" hidden="1" customHeight="1" x14ac:dyDescent="0.25">
      <c r="A289" s="1451"/>
      <c r="B289" s="452" t="s">
        <v>271</v>
      </c>
      <c r="C289" s="369"/>
      <c r="D289" s="369"/>
      <c r="E289" s="369"/>
      <c r="F289" s="369"/>
      <c r="G289" s="453"/>
      <c r="H289" s="454"/>
      <c r="I289" s="1464"/>
      <c r="J289" s="371"/>
      <c r="K289" s="372"/>
      <c r="L289" s="47"/>
      <c r="M289" s="268"/>
      <c r="N289" s="268"/>
      <c r="O289" s="268"/>
      <c r="P289" s="4"/>
      <c r="Q289" s="489">
        <f>S289+U289+W289+Y289</f>
        <v>0</v>
      </c>
      <c r="R289" s="489"/>
      <c r="S289" s="489"/>
      <c r="T289" s="489"/>
      <c r="U289" s="489"/>
      <c r="V289" s="489">
        <f>W289</f>
        <v>0</v>
      </c>
      <c r="W289" s="489">
        <v>0</v>
      </c>
      <c r="X289" s="489">
        <f>Y289</f>
        <v>0</v>
      </c>
      <c r="Y289" s="489">
        <v>0</v>
      </c>
      <c r="Z289" s="489">
        <f>SUM(AA289:AD289)</f>
        <v>0</v>
      </c>
      <c r="AA289" s="489"/>
      <c r="AB289" s="489"/>
      <c r="AC289" s="489">
        <v>0</v>
      </c>
      <c r="AD289" s="455"/>
      <c r="AE289" s="455"/>
      <c r="AF289" s="455"/>
      <c r="AG289" s="455"/>
      <c r="AH289" s="455"/>
      <c r="AI289" s="455"/>
      <c r="AJ289" s="455"/>
      <c r="AK289" s="455"/>
      <c r="AL289" s="455"/>
      <c r="AM289" s="455"/>
      <c r="AN289" s="455"/>
      <c r="AO289" s="456"/>
    </row>
    <row r="290" spans="1:41" ht="15.75" customHeight="1" x14ac:dyDescent="0.25">
      <c r="A290" s="1452"/>
      <c r="B290" s="340" t="s">
        <v>32</v>
      </c>
      <c r="C290" s="133"/>
      <c r="D290" s="133"/>
      <c r="E290" s="133"/>
      <c r="F290" s="133"/>
      <c r="G290" s="341"/>
      <c r="H290" s="342"/>
      <c r="I290" s="1491"/>
      <c r="J290" s="278"/>
      <c r="K290" s="318"/>
      <c r="L290" s="47">
        <v>104812.98</v>
      </c>
      <c r="M290" s="343">
        <v>0</v>
      </c>
      <c r="N290" s="47">
        <v>56899.8</v>
      </c>
      <c r="O290" s="343">
        <v>0</v>
      </c>
      <c r="P290" s="47">
        <v>8907.52</v>
      </c>
      <c r="Q290" s="47">
        <v>0</v>
      </c>
      <c r="R290" s="343">
        <v>0</v>
      </c>
      <c r="S290" s="343">
        <v>0</v>
      </c>
      <c r="T290" s="343">
        <v>0</v>
      </c>
      <c r="U290" s="343">
        <v>0</v>
      </c>
      <c r="V290" s="343">
        <v>0</v>
      </c>
      <c r="W290" s="343">
        <v>0</v>
      </c>
      <c r="X290" s="343">
        <v>0</v>
      </c>
      <c r="Y290" s="343">
        <v>0</v>
      </c>
      <c r="Z290" s="343">
        <v>0</v>
      </c>
      <c r="AA290" s="343">
        <v>0</v>
      </c>
      <c r="AB290" s="343">
        <v>0</v>
      </c>
      <c r="AC290" s="343">
        <v>0</v>
      </c>
      <c r="AD290" s="343">
        <v>0</v>
      </c>
      <c r="AE290" s="343">
        <v>0</v>
      </c>
      <c r="AF290" s="343">
        <v>0</v>
      </c>
      <c r="AG290" s="343">
        <v>0</v>
      </c>
      <c r="AH290" s="343">
        <v>0</v>
      </c>
      <c r="AI290" s="343">
        <v>0</v>
      </c>
      <c r="AJ290" s="343">
        <v>0</v>
      </c>
      <c r="AK290" s="343">
        <v>0</v>
      </c>
      <c r="AL290" s="343">
        <v>0</v>
      </c>
      <c r="AM290" s="343">
        <v>0</v>
      </c>
      <c r="AN290" s="343">
        <v>0</v>
      </c>
      <c r="AO290" s="415"/>
    </row>
    <row r="291" spans="1:41" ht="81" customHeight="1" x14ac:dyDescent="0.25">
      <c r="A291" s="1486" t="s">
        <v>381</v>
      </c>
      <c r="B291" s="77" t="s">
        <v>210</v>
      </c>
      <c r="C291" s="34"/>
      <c r="D291" s="34"/>
      <c r="E291" s="34">
        <v>300</v>
      </c>
      <c r="F291" s="34"/>
      <c r="G291" s="39">
        <v>2019</v>
      </c>
      <c r="H291" s="39">
        <v>2019</v>
      </c>
      <c r="I291" s="1493" t="s">
        <v>20</v>
      </c>
      <c r="J291" s="52">
        <f>K291+L291</f>
        <v>27019.38</v>
      </c>
      <c r="K291" s="3">
        <v>0</v>
      </c>
      <c r="L291" s="79">
        <f>L292</f>
        <v>27019.38</v>
      </c>
      <c r="M291" s="79">
        <f>M292</f>
        <v>27019.38</v>
      </c>
      <c r="N291" s="76">
        <v>0</v>
      </c>
      <c r="O291" s="76">
        <v>0</v>
      </c>
      <c r="P291" s="76">
        <f>P292</f>
        <v>0</v>
      </c>
      <c r="Q291" s="76">
        <f>Q292</f>
        <v>0</v>
      </c>
      <c r="R291" s="76">
        <f t="shared" ref="R291:AN292" si="356">R292</f>
        <v>0</v>
      </c>
      <c r="S291" s="76">
        <f t="shared" si="356"/>
        <v>0</v>
      </c>
      <c r="T291" s="76">
        <f t="shared" si="356"/>
        <v>0</v>
      </c>
      <c r="U291" s="76">
        <f t="shared" si="356"/>
        <v>0</v>
      </c>
      <c r="V291" s="76">
        <f t="shared" si="356"/>
        <v>0</v>
      </c>
      <c r="W291" s="76">
        <f t="shared" si="356"/>
        <v>0</v>
      </c>
      <c r="X291" s="76">
        <f t="shared" si="356"/>
        <v>0</v>
      </c>
      <c r="Y291" s="76">
        <f t="shared" si="356"/>
        <v>0</v>
      </c>
      <c r="Z291" s="76">
        <f t="shared" si="356"/>
        <v>0</v>
      </c>
      <c r="AA291" s="76">
        <f t="shared" si="356"/>
        <v>0</v>
      </c>
      <c r="AB291" s="76">
        <f t="shared" si="356"/>
        <v>0</v>
      </c>
      <c r="AC291" s="76">
        <f t="shared" si="356"/>
        <v>0</v>
      </c>
      <c r="AD291" s="76">
        <f t="shared" si="356"/>
        <v>0</v>
      </c>
      <c r="AE291" s="76">
        <f t="shared" si="356"/>
        <v>0</v>
      </c>
      <c r="AF291" s="76">
        <f t="shared" si="356"/>
        <v>0</v>
      </c>
      <c r="AG291" s="76">
        <f t="shared" si="356"/>
        <v>0</v>
      </c>
      <c r="AH291" s="76">
        <f t="shared" si="356"/>
        <v>0</v>
      </c>
      <c r="AI291" s="76">
        <f t="shared" si="356"/>
        <v>0</v>
      </c>
      <c r="AJ291" s="76">
        <f t="shared" si="356"/>
        <v>0</v>
      </c>
      <c r="AK291" s="76">
        <f t="shared" si="356"/>
        <v>0</v>
      </c>
      <c r="AL291" s="76">
        <f t="shared" si="356"/>
        <v>0</v>
      </c>
      <c r="AM291" s="76">
        <f t="shared" si="356"/>
        <v>0</v>
      </c>
      <c r="AN291" s="76">
        <f t="shared" si="356"/>
        <v>0</v>
      </c>
      <c r="AO291" s="400" t="s">
        <v>418</v>
      </c>
    </row>
    <row r="292" spans="1:41" s="285" customFormat="1" ht="19.5" customHeight="1" x14ac:dyDescent="0.25">
      <c r="A292" s="1533"/>
      <c r="B292" s="1" t="s">
        <v>211</v>
      </c>
      <c r="C292" s="282"/>
      <c r="D292" s="282"/>
      <c r="E292" s="282"/>
      <c r="F292" s="282"/>
      <c r="G292" s="282"/>
      <c r="H292" s="282"/>
      <c r="I292" s="1494"/>
      <c r="J292" s="6"/>
      <c r="K292" s="47"/>
      <c r="L292" s="47">
        <v>27019.38</v>
      </c>
      <c r="M292" s="47">
        <v>27019.38</v>
      </c>
      <c r="N292" s="47">
        <v>0</v>
      </c>
      <c r="O292" s="47">
        <v>0</v>
      </c>
      <c r="P292" s="4">
        <v>0</v>
      </c>
      <c r="Q292" s="4">
        <f>Q293</f>
        <v>0</v>
      </c>
      <c r="R292" s="4">
        <f t="shared" si="356"/>
        <v>0</v>
      </c>
      <c r="S292" s="4">
        <f t="shared" si="356"/>
        <v>0</v>
      </c>
      <c r="T292" s="4">
        <f t="shared" si="356"/>
        <v>0</v>
      </c>
      <c r="U292" s="4">
        <f t="shared" si="356"/>
        <v>0</v>
      </c>
      <c r="V292" s="4">
        <f t="shared" si="356"/>
        <v>0</v>
      </c>
      <c r="W292" s="4">
        <f t="shared" si="356"/>
        <v>0</v>
      </c>
      <c r="X292" s="4">
        <v>0</v>
      </c>
      <c r="Y292" s="4">
        <f t="shared" si="356"/>
        <v>0</v>
      </c>
      <c r="Z292" s="4">
        <f t="shared" si="356"/>
        <v>0</v>
      </c>
      <c r="AA292" s="4">
        <f t="shared" si="356"/>
        <v>0</v>
      </c>
      <c r="AB292" s="4">
        <f t="shared" si="356"/>
        <v>0</v>
      </c>
      <c r="AC292" s="4">
        <f t="shared" si="356"/>
        <v>0</v>
      </c>
      <c r="AD292" s="4">
        <f t="shared" si="356"/>
        <v>0</v>
      </c>
      <c r="AE292" s="4">
        <f>AE293</f>
        <v>0</v>
      </c>
      <c r="AF292" s="4">
        <f t="shared" si="356"/>
        <v>0</v>
      </c>
      <c r="AG292" s="4">
        <f t="shared" si="356"/>
        <v>0</v>
      </c>
      <c r="AH292" s="4">
        <f t="shared" si="356"/>
        <v>0</v>
      </c>
      <c r="AI292" s="4">
        <f t="shared" si="356"/>
        <v>0</v>
      </c>
      <c r="AJ292" s="4">
        <f t="shared" si="356"/>
        <v>0</v>
      </c>
      <c r="AK292" s="4">
        <f t="shared" si="356"/>
        <v>0</v>
      </c>
      <c r="AL292" s="4">
        <f t="shared" si="356"/>
        <v>0</v>
      </c>
      <c r="AM292" s="4">
        <f t="shared" si="356"/>
        <v>0</v>
      </c>
      <c r="AN292" s="4">
        <f t="shared" si="356"/>
        <v>0</v>
      </c>
      <c r="AO292" s="417"/>
    </row>
    <row r="293" spans="1:41" s="266" customFormat="1" ht="25.5" hidden="1" x14ac:dyDescent="0.25">
      <c r="A293" s="267"/>
      <c r="B293" s="102" t="s">
        <v>253</v>
      </c>
      <c r="C293" s="104"/>
      <c r="D293" s="104"/>
      <c r="E293" s="104"/>
      <c r="F293" s="104"/>
      <c r="G293" s="104"/>
      <c r="H293" s="104"/>
      <c r="I293" s="102"/>
      <c r="J293" s="106"/>
      <c r="K293" s="96"/>
      <c r="L293" s="47"/>
      <c r="M293" s="268"/>
      <c r="N293" s="268"/>
      <c r="O293" s="268"/>
      <c r="P293" s="4">
        <f>Q293</f>
        <v>0</v>
      </c>
      <c r="Q293" s="268">
        <f>S293+U293+W293</f>
        <v>0</v>
      </c>
      <c r="R293" s="268">
        <f>S293</f>
        <v>0</v>
      </c>
      <c r="S293" s="268">
        <v>0</v>
      </c>
      <c r="T293" s="268">
        <v>0</v>
      </c>
      <c r="U293" s="268">
        <v>0</v>
      </c>
      <c r="V293" s="268">
        <f>W293</f>
        <v>0</v>
      </c>
      <c r="W293" s="268">
        <v>0</v>
      </c>
      <c r="X293" s="268">
        <v>0</v>
      </c>
      <c r="Y293" s="268">
        <v>0</v>
      </c>
      <c r="Z293" s="268">
        <f>SUM(AA293:AB293)</f>
        <v>0</v>
      </c>
      <c r="AA293" s="268">
        <v>0</v>
      </c>
      <c r="AB293" s="268">
        <v>0</v>
      </c>
      <c r="AC293" s="268">
        <v>0</v>
      </c>
      <c r="AD293" s="268"/>
      <c r="AE293" s="268">
        <f>SUM(AF293:AH293)</f>
        <v>0</v>
      </c>
      <c r="AF293" s="268"/>
      <c r="AG293" s="268">
        <v>0</v>
      </c>
      <c r="AH293" s="268">
        <v>0</v>
      </c>
      <c r="AI293" s="268"/>
      <c r="AJ293" s="96"/>
      <c r="AK293" s="96"/>
      <c r="AL293" s="96"/>
      <c r="AM293" s="268"/>
      <c r="AN293" s="268"/>
      <c r="AO293" s="418"/>
    </row>
    <row r="294" spans="1:41" ht="93.75" customHeight="1" x14ac:dyDescent="0.25">
      <c r="A294" s="14" t="s">
        <v>382</v>
      </c>
      <c r="B294" s="77" t="s">
        <v>289</v>
      </c>
      <c r="C294" s="346">
        <v>63</v>
      </c>
      <c r="D294" s="346">
        <v>250</v>
      </c>
      <c r="E294" s="346">
        <v>250</v>
      </c>
      <c r="F294" s="346"/>
      <c r="G294" s="347">
        <v>2019</v>
      </c>
      <c r="H294" s="347">
        <v>2019</v>
      </c>
      <c r="I294" s="1"/>
      <c r="J294" s="348">
        <f>K294+L294</f>
        <v>36413.279999999999</v>
      </c>
      <c r="K294" s="349">
        <v>0</v>
      </c>
      <c r="L294" s="79">
        <f>L295+L300+L301</f>
        <v>36413.279999999999</v>
      </c>
      <c r="M294" s="79">
        <f>M295+M300+M301</f>
        <v>31392.57</v>
      </c>
      <c r="N294" s="79">
        <f>N295+N300+N301</f>
        <v>33892.57</v>
      </c>
      <c r="O294" s="79">
        <f>O295+O300+O301</f>
        <v>33892.57</v>
      </c>
      <c r="P294" s="79">
        <f>P295+P300+P301</f>
        <v>0</v>
      </c>
      <c r="Q294" s="79">
        <f t="shared" ref="Q294:AI294" si="357">Q295+Q301</f>
        <v>0</v>
      </c>
      <c r="R294" s="79">
        <f t="shared" si="357"/>
        <v>0</v>
      </c>
      <c r="S294" s="79">
        <f t="shared" si="357"/>
        <v>0</v>
      </c>
      <c r="T294" s="79">
        <f t="shared" si="357"/>
        <v>0</v>
      </c>
      <c r="U294" s="79">
        <f t="shared" si="357"/>
        <v>0</v>
      </c>
      <c r="V294" s="79">
        <f t="shared" si="357"/>
        <v>0</v>
      </c>
      <c r="W294" s="79">
        <f t="shared" si="357"/>
        <v>0</v>
      </c>
      <c r="X294" s="79">
        <f t="shared" si="357"/>
        <v>0</v>
      </c>
      <c r="Y294" s="79">
        <f t="shared" si="357"/>
        <v>0</v>
      </c>
      <c r="Z294" s="79">
        <f t="shared" si="357"/>
        <v>0</v>
      </c>
      <c r="AA294" s="79">
        <f t="shared" si="357"/>
        <v>0</v>
      </c>
      <c r="AB294" s="79">
        <f t="shared" si="357"/>
        <v>0</v>
      </c>
      <c r="AC294" s="79">
        <f t="shared" si="357"/>
        <v>0</v>
      </c>
      <c r="AD294" s="79">
        <f t="shared" si="357"/>
        <v>0</v>
      </c>
      <c r="AE294" s="79">
        <f t="shared" si="357"/>
        <v>0</v>
      </c>
      <c r="AF294" s="79">
        <f t="shared" si="357"/>
        <v>0</v>
      </c>
      <c r="AG294" s="79">
        <f t="shared" si="357"/>
        <v>0</v>
      </c>
      <c r="AH294" s="79">
        <f t="shared" si="357"/>
        <v>0</v>
      </c>
      <c r="AI294" s="79">
        <f t="shared" si="357"/>
        <v>0</v>
      </c>
      <c r="AJ294" s="79">
        <v>0</v>
      </c>
      <c r="AK294" s="79">
        <f>AJ294</f>
        <v>0</v>
      </c>
      <c r="AL294" s="76">
        <v>0</v>
      </c>
      <c r="AM294" s="79">
        <v>0</v>
      </c>
      <c r="AN294" s="79">
        <v>0</v>
      </c>
      <c r="AO294" s="404" t="s">
        <v>418</v>
      </c>
    </row>
    <row r="295" spans="1:41" s="285" customFormat="1" ht="33.75" x14ac:dyDescent="0.25">
      <c r="A295" s="460"/>
      <c r="B295" s="47" t="s">
        <v>15</v>
      </c>
      <c r="C295" s="461"/>
      <c r="D295" s="461"/>
      <c r="E295" s="461"/>
      <c r="F295" s="461"/>
      <c r="G295" s="461"/>
      <c r="H295" s="461"/>
      <c r="I295" s="481" t="s">
        <v>20</v>
      </c>
      <c r="J295" s="462"/>
      <c r="K295" s="47"/>
      <c r="L295" s="47">
        <v>2520.71</v>
      </c>
      <c r="M295" s="4"/>
      <c r="N295" s="4">
        <v>0</v>
      </c>
      <c r="O295" s="4"/>
      <c r="P295" s="4">
        <v>0</v>
      </c>
      <c r="Q295" s="4">
        <f>SUM(Q296:Q299)</f>
        <v>0</v>
      </c>
      <c r="R295" s="4">
        <f t="shared" ref="R295:Y295" si="358">SUM(R296:R299)</f>
        <v>0</v>
      </c>
      <c r="S295" s="4">
        <f t="shared" si="358"/>
        <v>0</v>
      </c>
      <c r="T295" s="4">
        <f t="shared" si="358"/>
        <v>0</v>
      </c>
      <c r="U295" s="4">
        <f t="shared" si="358"/>
        <v>0</v>
      </c>
      <c r="V295" s="4">
        <f t="shared" si="358"/>
        <v>0</v>
      </c>
      <c r="W295" s="4">
        <f t="shared" si="358"/>
        <v>0</v>
      </c>
      <c r="X295" s="4">
        <f t="shared" si="358"/>
        <v>0</v>
      </c>
      <c r="Y295" s="4">
        <f t="shared" si="358"/>
        <v>0</v>
      </c>
      <c r="Z295" s="4">
        <f>SUM(Z296:Z299)</f>
        <v>0</v>
      </c>
      <c r="AA295" s="4">
        <f>SUM(AA296:AA299)</f>
        <v>0</v>
      </c>
      <c r="AB295" s="4">
        <f>SUM(AB296:AB299)</f>
        <v>0</v>
      </c>
      <c r="AC295" s="4">
        <f>SUM(AC296:AC299)</f>
        <v>0</v>
      </c>
      <c r="AD295" s="4">
        <f>SUM(AD296:AD299)</f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7">
        <v>0</v>
      </c>
      <c r="AK295" s="47">
        <v>0</v>
      </c>
      <c r="AL295" s="47">
        <v>0</v>
      </c>
      <c r="AM295" s="4">
        <v>0</v>
      </c>
      <c r="AN295" s="4">
        <v>0</v>
      </c>
      <c r="AO295" s="837"/>
    </row>
    <row r="296" spans="1:41" s="266" customFormat="1" ht="15.75" hidden="1" x14ac:dyDescent="0.25">
      <c r="A296" s="267"/>
      <c r="B296" s="102" t="s">
        <v>303</v>
      </c>
      <c r="C296" s="104"/>
      <c r="D296" s="104"/>
      <c r="E296" s="104"/>
      <c r="F296" s="104"/>
      <c r="G296" s="104"/>
      <c r="H296" s="104"/>
      <c r="I296" s="102"/>
      <c r="J296" s="106"/>
      <c r="K296" s="96"/>
      <c r="L296" s="47"/>
      <c r="M296" s="268"/>
      <c r="N296" s="268"/>
      <c r="O296" s="268"/>
      <c r="P296" s="4">
        <f>R296+T296</f>
        <v>0</v>
      </c>
      <c r="Q296" s="268">
        <f>S296</f>
        <v>0</v>
      </c>
      <c r="R296" s="268">
        <f>S296</f>
        <v>0</v>
      </c>
      <c r="S296" s="268">
        <v>0</v>
      </c>
      <c r="T296" s="268">
        <f>U296</f>
        <v>0</v>
      </c>
      <c r="U296" s="268">
        <v>0</v>
      </c>
      <c r="V296" s="268"/>
      <c r="W296" s="268"/>
      <c r="X296" s="268">
        <f>Y296</f>
        <v>0</v>
      </c>
      <c r="Y296" s="268">
        <v>0</v>
      </c>
      <c r="Z296" s="268">
        <f>AA296+AB296</f>
        <v>0</v>
      </c>
      <c r="AA296" s="268">
        <v>0</v>
      </c>
      <c r="AB296" s="268">
        <v>0</v>
      </c>
      <c r="AC296" s="268"/>
      <c r="AD296" s="268">
        <v>0</v>
      </c>
      <c r="AE296" s="268"/>
      <c r="AF296" s="268"/>
      <c r="AG296" s="268"/>
      <c r="AH296" s="268"/>
      <c r="AI296" s="268"/>
      <c r="AJ296" s="47">
        <v>0</v>
      </c>
      <c r="AK296" s="47">
        <v>0</v>
      </c>
      <c r="AL296" s="47">
        <v>0</v>
      </c>
      <c r="AM296" s="4">
        <v>0</v>
      </c>
      <c r="AN296" s="4">
        <v>0</v>
      </c>
      <c r="AO296" s="418"/>
    </row>
    <row r="297" spans="1:41" s="266" customFormat="1" ht="25.5" hidden="1" x14ac:dyDescent="0.25">
      <c r="A297" s="490"/>
      <c r="B297" s="102" t="s">
        <v>343</v>
      </c>
      <c r="C297" s="104"/>
      <c r="D297" s="104"/>
      <c r="E297" s="104"/>
      <c r="F297" s="104"/>
      <c r="G297" s="104"/>
      <c r="H297" s="104"/>
      <c r="I297" s="92"/>
      <c r="J297" s="442"/>
      <c r="K297" s="96"/>
      <c r="L297" s="47"/>
      <c r="M297" s="268"/>
      <c r="N297" s="268"/>
      <c r="O297" s="268"/>
      <c r="P297" s="4"/>
      <c r="Q297" s="268">
        <f>S297+Y297</f>
        <v>0</v>
      </c>
      <c r="R297" s="268"/>
      <c r="S297" s="268"/>
      <c r="T297" s="268"/>
      <c r="U297" s="268"/>
      <c r="V297" s="268"/>
      <c r="W297" s="268"/>
      <c r="X297" s="268">
        <f>Y297</f>
        <v>0</v>
      </c>
      <c r="Y297" s="268">
        <v>0</v>
      </c>
      <c r="Z297" s="268">
        <f>AA297+AB297+AD297</f>
        <v>0</v>
      </c>
      <c r="AA297" s="268"/>
      <c r="AB297" s="268"/>
      <c r="AC297" s="268"/>
      <c r="AD297" s="268">
        <v>0</v>
      </c>
      <c r="AE297" s="268"/>
      <c r="AF297" s="268"/>
      <c r="AG297" s="268"/>
      <c r="AH297" s="268"/>
      <c r="AI297" s="268"/>
      <c r="AJ297" s="47"/>
      <c r="AK297" s="47"/>
      <c r="AL297" s="47"/>
      <c r="AM297" s="4"/>
      <c r="AN297" s="4"/>
      <c r="AO297" s="418"/>
    </row>
    <row r="298" spans="1:41" s="266" customFormat="1" ht="25.5" hidden="1" x14ac:dyDescent="0.25">
      <c r="A298" s="490"/>
      <c r="B298" s="102" t="s">
        <v>344</v>
      </c>
      <c r="C298" s="104"/>
      <c r="D298" s="104"/>
      <c r="E298" s="104"/>
      <c r="F298" s="104"/>
      <c r="G298" s="104"/>
      <c r="H298" s="104"/>
      <c r="I298" s="92"/>
      <c r="J298" s="442"/>
      <c r="K298" s="96"/>
      <c r="L298" s="47"/>
      <c r="M298" s="268"/>
      <c r="N298" s="268"/>
      <c r="O298" s="268"/>
      <c r="P298" s="4"/>
      <c r="Q298" s="268">
        <v>0</v>
      </c>
      <c r="R298" s="268"/>
      <c r="S298" s="268"/>
      <c r="T298" s="268"/>
      <c r="U298" s="268"/>
      <c r="V298" s="268"/>
      <c r="W298" s="268"/>
      <c r="X298" s="268">
        <f>Y298</f>
        <v>0</v>
      </c>
      <c r="Y298" s="268">
        <v>0</v>
      </c>
      <c r="Z298" s="268">
        <f>AA298+AB298+AD298</f>
        <v>0</v>
      </c>
      <c r="AA298" s="268"/>
      <c r="AB298" s="268"/>
      <c r="AC298" s="268"/>
      <c r="AD298" s="268">
        <v>0</v>
      </c>
      <c r="AE298" s="268"/>
      <c r="AF298" s="268"/>
      <c r="AG298" s="268"/>
      <c r="AH298" s="268"/>
      <c r="AI298" s="268"/>
      <c r="AJ298" s="47"/>
      <c r="AK298" s="47"/>
      <c r="AL298" s="47"/>
      <c r="AM298" s="4"/>
      <c r="AN298" s="4"/>
      <c r="AO298" s="418"/>
    </row>
    <row r="299" spans="1:41" s="266" customFormat="1" ht="25.5" hidden="1" x14ac:dyDescent="0.25">
      <c r="A299" s="490"/>
      <c r="B299" s="102" t="s">
        <v>311</v>
      </c>
      <c r="C299" s="104"/>
      <c r="D299" s="104"/>
      <c r="E299" s="104"/>
      <c r="F299" s="104"/>
      <c r="G299" s="104"/>
      <c r="H299" s="104"/>
      <c r="I299" s="92"/>
      <c r="J299" s="442"/>
      <c r="K299" s="96"/>
      <c r="L299" s="47"/>
      <c r="M299" s="268"/>
      <c r="N299" s="268"/>
      <c r="O299" s="268"/>
      <c r="P299" s="4"/>
      <c r="Q299" s="268">
        <f>Y299+U299</f>
        <v>0</v>
      </c>
      <c r="R299" s="268"/>
      <c r="S299" s="268"/>
      <c r="T299" s="268">
        <f>U299</f>
        <v>0</v>
      </c>
      <c r="U299" s="268">
        <v>0</v>
      </c>
      <c r="V299" s="268"/>
      <c r="W299" s="268"/>
      <c r="X299" s="268"/>
      <c r="Y299" s="268">
        <v>0</v>
      </c>
      <c r="Z299" s="268">
        <f>AA299+AB299</f>
        <v>0</v>
      </c>
      <c r="AA299" s="268"/>
      <c r="AB299" s="268">
        <v>0</v>
      </c>
      <c r="AC299" s="268"/>
      <c r="AD299" s="268">
        <v>0</v>
      </c>
      <c r="AE299" s="268"/>
      <c r="AF299" s="268"/>
      <c r="AG299" s="268"/>
      <c r="AH299" s="268"/>
      <c r="AI299" s="268"/>
      <c r="AJ299" s="47">
        <v>0</v>
      </c>
      <c r="AK299" s="47">
        <v>0</v>
      </c>
      <c r="AL299" s="47">
        <v>0</v>
      </c>
      <c r="AM299" s="4">
        <v>0</v>
      </c>
      <c r="AN299" s="4">
        <v>0</v>
      </c>
      <c r="AO299" s="418"/>
    </row>
    <row r="300" spans="1:41" s="285" customFormat="1" ht="15.75" customHeight="1" x14ac:dyDescent="0.25">
      <c r="A300" s="477"/>
      <c r="B300" s="47" t="s">
        <v>15</v>
      </c>
      <c r="C300" s="476"/>
      <c r="D300" s="476"/>
      <c r="E300" s="476"/>
      <c r="F300" s="476"/>
      <c r="G300" s="476"/>
      <c r="H300" s="476"/>
      <c r="I300" s="1493" t="s">
        <v>10</v>
      </c>
      <c r="J300" s="462"/>
      <c r="K300" s="47"/>
      <c r="L300" s="47">
        <v>0</v>
      </c>
      <c r="M300" s="4"/>
      <c r="N300" s="4">
        <v>2500</v>
      </c>
      <c r="O300" s="4">
        <v>2500</v>
      </c>
      <c r="P300" s="4">
        <v>0</v>
      </c>
      <c r="Q300" s="4">
        <v>0</v>
      </c>
      <c r="R300" s="4">
        <v>0</v>
      </c>
      <c r="S300" s="4">
        <v>0</v>
      </c>
      <c r="T300" s="4"/>
      <c r="U300" s="4"/>
      <c r="V300" s="4"/>
      <c r="W300" s="4"/>
      <c r="X300" s="4"/>
      <c r="Y300" s="4"/>
      <c r="Z300" s="4">
        <v>0</v>
      </c>
      <c r="AA300" s="4">
        <v>0</v>
      </c>
      <c r="AB300" s="4"/>
      <c r="AC300" s="4"/>
      <c r="AD300" s="4"/>
      <c r="AE300" s="4">
        <v>0</v>
      </c>
      <c r="AF300" s="4">
        <v>0</v>
      </c>
      <c r="AG300" s="4"/>
      <c r="AH300" s="4"/>
      <c r="AI300" s="4"/>
      <c r="AJ300" s="47">
        <v>0</v>
      </c>
      <c r="AK300" s="47">
        <v>0</v>
      </c>
      <c r="AL300" s="47">
        <v>0</v>
      </c>
      <c r="AM300" s="4">
        <v>0</v>
      </c>
      <c r="AN300" s="4">
        <v>0</v>
      </c>
      <c r="AO300" s="417"/>
    </row>
    <row r="301" spans="1:41" s="285" customFormat="1" ht="15.75" x14ac:dyDescent="0.25">
      <c r="A301" s="477"/>
      <c r="B301" s="1" t="s">
        <v>16</v>
      </c>
      <c r="C301" s="476"/>
      <c r="D301" s="476"/>
      <c r="E301" s="476"/>
      <c r="F301" s="476"/>
      <c r="G301" s="476"/>
      <c r="H301" s="476"/>
      <c r="I301" s="1494"/>
      <c r="J301" s="462"/>
      <c r="K301" s="47"/>
      <c r="L301" s="47">
        <v>33892.57</v>
      </c>
      <c r="M301" s="47">
        <v>31392.57</v>
      </c>
      <c r="N301" s="47">
        <v>31392.57</v>
      </c>
      <c r="O301" s="47">
        <v>31392.57</v>
      </c>
      <c r="P301" s="47">
        <v>0</v>
      </c>
      <c r="Q301" s="4">
        <f>Q302</f>
        <v>0</v>
      </c>
      <c r="R301" s="4">
        <f t="shared" ref="R301:AH301" si="359">R302</f>
        <v>0</v>
      </c>
      <c r="S301" s="4">
        <f t="shared" si="359"/>
        <v>0</v>
      </c>
      <c r="T301" s="4">
        <f t="shared" si="359"/>
        <v>0</v>
      </c>
      <c r="U301" s="4">
        <f t="shared" si="359"/>
        <v>0</v>
      </c>
      <c r="V301" s="4">
        <f t="shared" si="359"/>
        <v>0</v>
      </c>
      <c r="W301" s="4">
        <f t="shared" si="359"/>
        <v>0</v>
      </c>
      <c r="X301" s="4">
        <f t="shared" si="359"/>
        <v>0</v>
      </c>
      <c r="Y301" s="4">
        <f t="shared" si="359"/>
        <v>0</v>
      </c>
      <c r="Z301" s="4">
        <f t="shared" si="359"/>
        <v>0</v>
      </c>
      <c r="AA301" s="4">
        <f t="shared" si="359"/>
        <v>0</v>
      </c>
      <c r="AB301" s="4">
        <f t="shared" si="359"/>
        <v>0</v>
      </c>
      <c r="AC301" s="4">
        <f t="shared" si="359"/>
        <v>0</v>
      </c>
      <c r="AD301" s="4">
        <f t="shared" si="359"/>
        <v>0</v>
      </c>
      <c r="AE301" s="4">
        <v>0</v>
      </c>
      <c r="AF301" s="4">
        <f t="shared" si="359"/>
        <v>0</v>
      </c>
      <c r="AG301" s="4">
        <f t="shared" si="359"/>
        <v>0</v>
      </c>
      <c r="AH301" s="4">
        <f t="shared" si="359"/>
        <v>0</v>
      </c>
      <c r="AI301" s="4">
        <v>0</v>
      </c>
      <c r="AJ301" s="47">
        <v>0</v>
      </c>
      <c r="AK301" s="47">
        <v>0</v>
      </c>
      <c r="AL301" s="47">
        <v>0</v>
      </c>
      <c r="AM301" s="4">
        <v>0</v>
      </c>
      <c r="AN301" s="4">
        <v>0</v>
      </c>
      <c r="AO301" s="417"/>
    </row>
    <row r="302" spans="1:41" s="266" customFormat="1" ht="15.75" hidden="1" x14ac:dyDescent="0.25">
      <c r="A302" s="490"/>
      <c r="B302" s="102" t="s">
        <v>316</v>
      </c>
      <c r="C302" s="104"/>
      <c r="D302" s="104"/>
      <c r="E302" s="104"/>
      <c r="F302" s="104"/>
      <c r="G302" s="104"/>
      <c r="H302" s="104"/>
      <c r="I302" s="575"/>
      <c r="J302" s="442"/>
      <c r="K302" s="96"/>
      <c r="L302" s="47"/>
      <c r="M302" s="268"/>
      <c r="N302" s="268"/>
      <c r="O302" s="268"/>
      <c r="P302" s="4"/>
      <c r="Q302" s="268">
        <f>W302+Y302</f>
        <v>0</v>
      </c>
      <c r="R302" s="268"/>
      <c r="S302" s="268"/>
      <c r="T302" s="268"/>
      <c r="U302" s="268"/>
      <c r="V302" s="268">
        <f>W302</f>
        <v>0</v>
      </c>
      <c r="W302" s="268">
        <v>0</v>
      </c>
      <c r="X302" s="268"/>
      <c r="Y302" s="268">
        <v>0</v>
      </c>
      <c r="Z302" s="268">
        <f>AB302+AC302+AD302</f>
        <v>0</v>
      </c>
      <c r="AA302" s="268"/>
      <c r="AB302" s="268">
        <v>0</v>
      </c>
      <c r="AC302" s="268">
        <v>0</v>
      </c>
      <c r="AD302" s="268">
        <v>0</v>
      </c>
      <c r="AE302" s="268"/>
      <c r="AF302" s="268"/>
      <c r="AG302" s="268"/>
      <c r="AH302" s="268"/>
      <c r="AI302" s="268"/>
      <c r="AJ302" s="96"/>
      <c r="AK302" s="96"/>
      <c r="AL302" s="96"/>
      <c r="AM302" s="268"/>
      <c r="AN302" s="268"/>
      <c r="AO302" s="418"/>
    </row>
    <row r="303" spans="1:41" ht="43.5" customHeight="1" x14ac:dyDescent="0.25">
      <c r="A303" s="1358" t="s">
        <v>383</v>
      </c>
      <c r="B303" s="77" t="s">
        <v>35</v>
      </c>
      <c r="C303" s="1363">
        <v>500</v>
      </c>
      <c r="D303" s="1363" t="s">
        <v>43</v>
      </c>
      <c r="E303" s="1363">
        <v>850</v>
      </c>
      <c r="F303" s="1362">
        <v>20400</v>
      </c>
      <c r="G303" s="51"/>
      <c r="H303" s="51"/>
      <c r="I303" s="1326" t="s">
        <v>20</v>
      </c>
      <c r="J303" s="1384">
        <v>6942.46</v>
      </c>
      <c r="K303" s="3">
        <v>0</v>
      </c>
      <c r="L303" s="79">
        <f>L304</f>
        <v>6462.97</v>
      </c>
      <c r="M303" s="76">
        <f>M304</f>
        <v>0</v>
      </c>
      <c r="N303" s="76">
        <f>N304</f>
        <v>0</v>
      </c>
      <c r="O303" s="76">
        <f>O304</f>
        <v>6942.46</v>
      </c>
      <c r="P303" s="76">
        <f>P304</f>
        <v>0</v>
      </c>
      <c r="Q303" s="76">
        <v>0</v>
      </c>
      <c r="R303" s="76">
        <v>0</v>
      </c>
      <c r="S303" s="76">
        <v>0</v>
      </c>
      <c r="T303" s="76">
        <v>0</v>
      </c>
      <c r="U303" s="76">
        <v>0</v>
      </c>
      <c r="V303" s="76">
        <v>0</v>
      </c>
      <c r="W303" s="76">
        <v>0</v>
      </c>
      <c r="X303" s="76">
        <v>0</v>
      </c>
      <c r="Y303" s="76">
        <v>0</v>
      </c>
      <c r="Z303" s="76">
        <v>0</v>
      </c>
      <c r="AA303" s="76">
        <v>0</v>
      </c>
      <c r="AB303" s="76">
        <v>0</v>
      </c>
      <c r="AC303" s="76">
        <v>0</v>
      </c>
      <c r="AD303" s="76">
        <v>0</v>
      </c>
      <c r="AE303" s="76">
        <v>0</v>
      </c>
      <c r="AF303" s="76">
        <v>0</v>
      </c>
      <c r="AG303" s="76">
        <v>0</v>
      </c>
      <c r="AH303" s="76">
        <v>0</v>
      </c>
      <c r="AI303" s="76">
        <v>0</v>
      </c>
      <c r="AJ303" s="79">
        <f>P303-Q303</f>
        <v>0</v>
      </c>
      <c r="AK303" s="79">
        <f>AJ303</f>
        <v>0</v>
      </c>
      <c r="AL303" s="79">
        <v>0</v>
      </c>
      <c r="AM303" s="76">
        <v>0</v>
      </c>
      <c r="AN303" s="76">
        <v>0</v>
      </c>
      <c r="AO303" s="416"/>
    </row>
    <row r="304" spans="1:41" ht="15" customHeight="1" x14ac:dyDescent="0.25">
      <c r="A304" s="1361"/>
      <c r="B304" s="1" t="s">
        <v>15</v>
      </c>
      <c r="C304" s="1363"/>
      <c r="D304" s="1363"/>
      <c r="E304" s="1363"/>
      <c r="F304" s="1363"/>
      <c r="G304" s="39">
        <v>2021</v>
      </c>
      <c r="H304" s="39">
        <v>2021</v>
      </c>
      <c r="I304" s="1328"/>
      <c r="J304" s="1385"/>
      <c r="K304" s="3"/>
      <c r="L304" s="22">
        <v>6462.97</v>
      </c>
      <c r="M304" s="47">
        <v>0</v>
      </c>
      <c r="N304" s="47">
        <v>0</v>
      </c>
      <c r="O304" s="47">
        <v>6942.46</v>
      </c>
      <c r="P304" s="47">
        <v>0</v>
      </c>
      <c r="Q304" s="47">
        <v>0</v>
      </c>
      <c r="R304" s="47">
        <v>0</v>
      </c>
      <c r="S304" s="47">
        <v>0</v>
      </c>
      <c r="T304" s="47">
        <v>0</v>
      </c>
      <c r="U304" s="47">
        <v>0</v>
      </c>
      <c r="V304" s="47">
        <v>0</v>
      </c>
      <c r="W304" s="47">
        <v>0</v>
      </c>
      <c r="X304" s="47">
        <v>0</v>
      </c>
      <c r="Y304" s="47">
        <v>0</v>
      </c>
      <c r="Z304" s="47">
        <v>0</v>
      </c>
      <c r="AA304" s="47">
        <v>0</v>
      </c>
      <c r="AB304" s="47">
        <v>0</v>
      </c>
      <c r="AC304" s="47">
        <v>0</v>
      </c>
      <c r="AD304" s="47">
        <v>0</v>
      </c>
      <c r="AE304" s="47">
        <v>0</v>
      </c>
      <c r="AF304" s="47">
        <v>0</v>
      </c>
      <c r="AG304" s="47">
        <v>0</v>
      </c>
      <c r="AH304" s="47">
        <v>0</v>
      </c>
      <c r="AI304" s="47">
        <v>0</v>
      </c>
      <c r="AJ304" s="47">
        <v>0</v>
      </c>
      <c r="AK304" s="47">
        <v>0</v>
      </c>
      <c r="AL304" s="47">
        <v>0</v>
      </c>
      <c r="AM304" s="47">
        <v>0</v>
      </c>
      <c r="AN304" s="47">
        <v>0</v>
      </c>
      <c r="AO304" s="419"/>
    </row>
    <row r="305" spans="1:41" ht="66" customHeight="1" x14ac:dyDescent="0.25">
      <c r="A305" s="1358" t="s">
        <v>384</v>
      </c>
      <c r="B305" s="77" t="s">
        <v>486</v>
      </c>
      <c r="C305" s="1362"/>
      <c r="D305" s="1362"/>
      <c r="E305" s="1362"/>
      <c r="F305" s="1362">
        <v>80</v>
      </c>
      <c r="G305" s="51"/>
      <c r="H305" s="51"/>
      <c r="I305" s="1326" t="s">
        <v>20</v>
      </c>
      <c r="J305" s="53">
        <f>L305</f>
        <v>47297.84</v>
      </c>
      <c r="K305" s="6"/>
      <c r="L305" s="79">
        <f t="shared" ref="L305:Q305" si="360">L306+L308</f>
        <v>47297.84</v>
      </c>
      <c r="M305" s="79">
        <f t="shared" si="360"/>
        <v>33.479999999999997</v>
      </c>
      <c r="N305" s="79">
        <f t="shared" si="360"/>
        <v>7044.44</v>
      </c>
      <c r="O305" s="79">
        <f t="shared" si="360"/>
        <v>11467.37</v>
      </c>
      <c r="P305" s="79">
        <f t="shared" si="360"/>
        <v>40219.919999999998</v>
      </c>
      <c r="Q305" s="79">
        <f t="shared" si="360"/>
        <v>169.92805999999999</v>
      </c>
      <c r="R305" s="79">
        <f t="shared" ref="R305:AN305" si="361">R306+R308</f>
        <v>0</v>
      </c>
      <c r="S305" s="79">
        <f t="shared" si="361"/>
        <v>0</v>
      </c>
      <c r="T305" s="79">
        <f t="shared" si="361"/>
        <v>0</v>
      </c>
      <c r="U305" s="79">
        <f t="shared" si="361"/>
        <v>0</v>
      </c>
      <c r="V305" s="79">
        <f t="shared" si="361"/>
        <v>0</v>
      </c>
      <c r="W305" s="79">
        <f t="shared" si="361"/>
        <v>0</v>
      </c>
      <c r="X305" s="79">
        <f t="shared" si="361"/>
        <v>0</v>
      </c>
      <c r="Y305" s="79">
        <f t="shared" si="361"/>
        <v>169.92805999999999</v>
      </c>
      <c r="Z305" s="79">
        <f t="shared" si="361"/>
        <v>169.92805999999999</v>
      </c>
      <c r="AA305" s="79">
        <f>AA306+AA308</f>
        <v>0</v>
      </c>
      <c r="AB305" s="79">
        <f>AB306+AB308</f>
        <v>0</v>
      </c>
      <c r="AC305" s="79">
        <f>AC306+AC308</f>
        <v>0</v>
      </c>
      <c r="AD305" s="79">
        <f>AD306+AD308</f>
        <v>169.92805999999999</v>
      </c>
      <c r="AE305" s="79">
        <f t="shared" si="361"/>
        <v>0</v>
      </c>
      <c r="AF305" s="79">
        <f t="shared" si="361"/>
        <v>0</v>
      </c>
      <c r="AG305" s="79">
        <f t="shared" si="361"/>
        <v>0</v>
      </c>
      <c r="AH305" s="79">
        <f>AH306+AH308</f>
        <v>0</v>
      </c>
      <c r="AI305" s="79">
        <f>AI306+AI308</f>
        <v>0</v>
      </c>
      <c r="AJ305" s="79">
        <f>P305-Q305</f>
        <v>40049.99194</v>
      </c>
      <c r="AK305" s="79">
        <f>AJ305</f>
        <v>40049.99194</v>
      </c>
      <c r="AL305" s="76">
        <v>0</v>
      </c>
      <c r="AM305" s="79">
        <f t="shared" si="361"/>
        <v>0</v>
      </c>
      <c r="AN305" s="79">
        <f t="shared" si="361"/>
        <v>0</v>
      </c>
      <c r="AO305" s="420" t="s">
        <v>428</v>
      </c>
    </row>
    <row r="306" spans="1:41" ht="17.25" customHeight="1" x14ac:dyDescent="0.25">
      <c r="A306" s="1359"/>
      <c r="B306" s="1" t="s">
        <v>15</v>
      </c>
      <c r="C306" s="1363"/>
      <c r="D306" s="1363"/>
      <c r="E306" s="1363"/>
      <c r="F306" s="1363"/>
      <c r="G306" s="39">
        <v>2019</v>
      </c>
      <c r="H306" s="39">
        <v>2019</v>
      </c>
      <c r="I306" s="1327"/>
      <c r="J306" s="53">
        <f>L306</f>
        <v>7077.92</v>
      </c>
      <c r="K306" s="6"/>
      <c r="L306" s="22">
        <v>7077.92</v>
      </c>
      <c r="M306" s="47">
        <v>33.479999999999997</v>
      </c>
      <c r="N306" s="47">
        <v>7044.44</v>
      </c>
      <c r="O306" s="47">
        <v>0</v>
      </c>
      <c r="P306" s="47">
        <v>0</v>
      </c>
      <c r="Q306" s="47">
        <f>SUM(Q307)</f>
        <v>169.92805999999999</v>
      </c>
      <c r="R306" s="47">
        <f t="shared" ref="R306:AD306" si="362">SUM(R307)</f>
        <v>0</v>
      </c>
      <c r="S306" s="47">
        <f t="shared" si="362"/>
        <v>0</v>
      </c>
      <c r="T306" s="47">
        <f t="shared" si="362"/>
        <v>0</v>
      </c>
      <c r="U306" s="47">
        <f t="shared" si="362"/>
        <v>0</v>
      </c>
      <c r="V306" s="47">
        <f t="shared" si="362"/>
        <v>0</v>
      </c>
      <c r="W306" s="47">
        <f t="shared" si="362"/>
        <v>0</v>
      </c>
      <c r="X306" s="47">
        <f t="shared" si="362"/>
        <v>0</v>
      </c>
      <c r="Y306" s="47">
        <f t="shared" si="362"/>
        <v>169.92805999999999</v>
      </c>
      <c r="Z306" s="47">
        <f t="shared" si="362"/>
        <v>169.92805999999999</v>
      </c>
      <c r="AA306" s="47">
        <f t="shared" si="362"/>
        <v>0</v>
      </c>
      <c r="AB306" s="47">
        <f t="shared" si="362"/>
        <v>0</v>
      </c>
      <c r="AC306" s="47">
        <f t="shared" si="362"/>
        <v>0</v>
      </c>
      <c r="AD306" s="47">
        <f t="shared" si="362"/>
        <v>169.92805999999999</v>
      </c>
      <c r="AE306" s="47">
        <f>AE307</f>
        <v>0</v>
      </c>
      <c r="AF306" s="47">
        <f>AF307</f>
        <v>0</v>
      </c>
      <c r="AG306" s="47">
        <f>AG307</f>
        <v>0</v>
      </c>
      <c r="AH306" s="47">
        <f>AH307</f>
        <v>0</v>
      </c>
      <c r="AI306" s="47">
        <f>AI307</f>
        <v>0</v>
      </c>
      <c r="AJ306" s="47">
        <v>0</v>
      </c>
      <c r="AK306" s="47">
        <v>0</v>
      </c>
      <c r="AL306" s="47">
        <v>0</v>
      </c>
      <c r="AM306" s="47">
        <v>0</v>
      </c>
      <c r="AN306" s="47">
        <v>0</v>
      </c>
      <c r="AO306" s="419"/>
    </row>
    <row r="307" spans="1:41" s="97" customFormat="1" ht="25.5" customHeight="1" x14ac:dyDescent="0.25">
      <c r="A307" s="1359"/>
      <c r="B307" s="102" t="s">
        <v>482</v>
      </c>
      <c r="C307" s="103"/>
      <c r="D307" s="103"/>
      <c r="E307" s="103"/>
      <c r="F307" s="103"/>
      <c r="G307" s="104"/>
      <c r="H307" s="104"/>
      <c r="I307" s="1327"/>
      <c r="J307" s="105"/>
      <c r="K307" s="106"/>
      <c r="L307" s="22"/>
      <c r="M307" s="96"/>
      <c r="N307" s="96"/>
      <c r="O307" s="96"/>
      <c r="P307" s="47">
        <f>R307</f>
        <v>0</v>
      </c>
      <c r="Q307" s="96">
        <f>Y307</f>
        <v>169.92805999999999</v>
      </c>
      <c r="R307" s="96">
        <v>0</v>
      </c>
      <c r="S307" s="96">
        <v>0</v>
      </c>
      <c r="T307" s="96">
        <f>U307</f>
        <v>0</v>
      </c>
      <c r="U307" s="96">
        <v>0</v>
      </c>
      <c r="V307" s="96"/>
      <c r="W307" s="96"/>
      <c r="X307" s="96"/>
      <c r="Y307" s="96">
        <f>169.92806</f>
        <v>169.92805999999999</v>
      </c>
      <c r="Z307" s="96">
        <f>AD307</f>
        <v>169.92805999999999</v>
      </c>
      <c r="AA307" s="96">
        <v>0</v>
      </c>
      <c r="AB307" s="96"/>
      <c r="AC307" s="96">
        <v>0</v>
      </c>
      <c r="AD307" s="96">
        <v>169.92805999999999</v>
      </c>
      <c r="AE307" s="96">
        <f>SUM(AF307:AF307)</f>
        <v>0</v>
      </c>
      <c r="AF307" s="96"/>
      <c r="AG307" s="96"/>
      <c r="AH307" s="96"/>
      <c r="AI307" s="96"/>
      <c r="AJ307" s="96"/>
      <c r="AK307" s="96"/>
      <c r="AL307" s="96"/>
      <c r="AM307" s="96"/>
      <c r="AN307" s="96"/>
      <c r="AO307" s="421"/>
    </row>
    <row r="308" spans="1:41" ht="17.25" customHeight="1" x14ac:dyDescent="0.25">
      <c r="A308" s="1361"/>
      <c r="B308" s="1" t="s">
        <v>16</v>
      </c>
      <c r="C308" s="8"/>
      <c r="D308" s="8"/>
      <c r="E308" s="8"/>
      <c r="F308" s="8"/>
      <c r="G308" s="39">
        <v>2020</v>
      </c>
      <c r="H308" s="39">
        <v>2021</v>
      </c>
      <c r="I308" s="1328"/>
      <c r="J308" s="53">
        <f>L308</f>
        <v>40219.919999999998</v>
      </c>
      <c r="K308" s="6"/>
      <c r="L308" s="22">
        <v>40219.919999999998</v>
      </c>
      <c r="M308" s="47">
        <v>0</v>
      </c>
      <c r="N308" s="47">
        <v>0</v>
      </c>
      <c r="O308" s="47">
        <v>11467.37</v>
      </c>
      <c r="P308" s="47">
        <v>40219.919999999998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47">
        <v>0</v>
      </c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19"/>
    </row>
    <row r="309" spans="1:41" ht="96" customHeight="1" x14ac:dyDescent="0.25">
      <c r="A309" s="1358" t="s">
        <v>385</v>
      </c>
      <c r="B309" s="80" t="s">
        <v>166</v>
      </c>
      <c r="C309" s="1362"/>
      <c r="D309" s="1362"/>
      <c r="E309" s="1362"/>
      <c r="F309" s="1362">
        <v>80</v>
      </c>
      <c r="G309" s="51"/>
      <c r="H309" s="51"/>
      <c r="I309" s="1326" t="s">
        <v>20</v>
      </c>
      <c r="J309" s="53">
        <f>L309</f>
        <v>47437.760000000002</v>
      </c>
      <c r="K309" s="6"/>
      <c r="L309" s="79">
        <f t="shared" ref="L309:Q309" si="363">L310+L313</f>
        <v>47437.760000000002</v>
      </c>
      <c r="M309" s="79">
        <f t="shared" si="363"/>
        <v>2761.44</v>
      </c>
      <c r="N309" s="79">
        <f t="shared" si="363"/>
        <v>9629.68</v>
      </c>
      <c r="O309" s="79">
        <f t="shared" si="363"/>
        <v>22469.279999999999</v>
      </c>
      <c r="P309" s="79">
        <f t="shared" si="363"/>
        <v>3907.02</v>
      </c>
      <c r="Q309" s="79">
        <f t="shared" si="363"/>
        <v>0</v>
      </c>
      <c r="R309" s="79">
        <f t="shared" ref="R309:Y309" si="364">R310+R313</f>
        <v>0</v>
      </c>
      <c r="S309" s="79">
        <f t="shared" si="364"/>
        <v>0</v>
      </c>
      <c r="T309" s="79">
        <f t="shared" si="364"/>
        <v>0</v>
      </c>
      <c r="U309" s="79">
        <f t="shared" si="364"/>
        <v>0</v>
      </c>
      <c r="V309" s="79">
        <f t="shared" si="364"/>
        <v>0</v>
      </c>
      <c r="W309" s="79">
        <f t="shared" si="364"/>
        <v>0</v>
      </c>
      <c r="X309" s="79">
        <f t="shared" si="364"/>
        <v>0</v>
      </c>
      <c r="Y309" s="79">
        <f t="shared" si="364"/>
        <v>0</v>
      </c>
      <c r="Z309" s="79">
        <f t="shared" ref="Z309:AI309" si="365">Z310+Z313</f>
        <v>0</v>
      </c>
      <c r="AA309" s="79">
        <f t="shared" si="365"/>
        <v>0</v>
      </c>
      <c r="AB309" s="79">
        <f t="shared" si="365"/>
        <v>0</v>
      </c>
      <c r="AC309" s="79">
        <f t="shared" si="365"/>
        <v>0</v>
      </c>
      <c r="AD309" s="79">
        <f t="shared" si="365"/>
        <v>0</v>
      </c>
      <c r="AE309" s="79">
        <f t="shared" si="365"/>
        <v>0</v>
      </c>
      <c r="AF309" s="79">
        <f t="shared" si="365"/>
        <v>0</v>
      </c>
      <c r="AG309" s="79">
        <f t="shared" si="365"/>
        <v>0</v>
      </c>
      <c r="AH309" s="79">
        <f t="shared" si="365"/>
        <v>0</v>
      </c>
      <c r="AI309" s="79">
        <f t="shared" si="365"/>
        <v>0</v>
      </c>
      <c r="AJ309" s="79">
        <v>0</v>
      </c>
      <c r="AK309" s="79">
        <v>0</v>
      </c>
      <c r="AL309" s="79">
        <f>ROUND((Q309*100%/P309*100),2)</f>
        <v>0</v>
      </c>
      <c r="AM309" s="79">
        <f>AM310+AM313</f>
        <v>0</v>
      </c>
      <c r="AN309" s="79">
        <f>AN310+AN313</f>
        <v>0</v>
      </c>
      <c r="AO309" s="404" t="s">
        <v>420</v>
      </c>
    </row>
    <row r="310" spans="1:41" s="285" customFormat="1" ht="16.5" customHeight="1" x14ac:dyDescent="0.25">
      <c r="A310" s="1359"/>
      <c r="B310" s="42" t="s">
        <v>15</v>
      </c>
      <c r="C310" s="1363"/>
      <c r="D310" s="1363"/>
      <c r="E310" s="1363"/>
      <c r="F310" s="1363"/>
      <c r="G310" s="313"/>
      <c r="H310" s="314"/>
      <c r="I310" s="1327"/>
      <c r="J310" s="72"/>
      <c r="K310" s="47"/>
      <c r="L310" s="47">
        <v>2867.43</v>
      </c>
      <c r="M310" s="47">
        <v>2761.44</v>
      </c>
      <c r="N310" s="47">
        <v>105.99</v>
      </c>
      <c r="O310" s="47">
        <v>0</v>
      </c>
      <c r="P310" s="47">
        <v>0</v>
      </c>
      <c r="Q310" s="47">
        <f>SUM(Q311:Q313)</f>
        <v>0</v>
      </c>
      <c r="R310" s="47">
        <f>S310</f>
        <v>0</v>
      </c>
      <c r="S310" s="47">
        <f>SUM(S311:S313)</f>
        <v>0</v>
      </c>
      <c r="T310" s="47">
        <f>SUM(T311:T313)</f>
        <v>0</v>
      </c>
      <c r="U310" s="47">
        <f>SUM(U311:U313)</f>
        <v>0</v>
      </c>
      <c r="V310" s="47">
        <f>SUM(V311:V313)</f>
        <v>0</v>
      </c>
      <c r="W310" s="47">
        <f>SUM(W311:W313)</f>
        <v>0</v>
      </c>
      <c r="X310" s="22">
        <v>0</v>
      </c>
      <c r="Y310" s="47">
        <f t="shared" ref="Y310:AD310" si="366">SUM(Y311:Y313)</f>
        <v>0</v>
      </c>
      <c r="Z310" s="47">
        <f t="shared" si="366"/>
        <v>0</v>
      </c>
      <c r="AA310" s="47">
        <f t="shared" si="366"/>
        <v>0</v>
      </c>
      <c r="AB310" s="47">
        <f t="shared" si="366"/>
        <v>0</v>
      </c>
      <c r="AC310" s="47">
        <f t="shared" si="366"/>
        <v>0</v>
      </c>
      <c r="AD310" s="47">
        <f t="shared" si="366"/>
        <v>0</v>
      </c>
      <c r="AE310" s="47">
        <f>SUM(AE311)</f>
        <v>0</v>
      </c>
      <c r="AF310" s="47">
        <f>SUM(AF311)</f>
        <v>0</v>
      </c>
      <c r="AG310" s="47">
        <f>SUM(AG311)</f>
        <v>0</v>
      </c>
      <c r="AH310" s="47">
        <f>SUM(AH311)</f>
        <v>0</v>
      </c>
      <c r="AI310" s="47">
        <f>SUM(AI311)</f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397"/>
    </row>
    <row r="311" spans="1:41" s="266" customFormat="1" ht="16.5" hidden="1" customHeight="1" x14ac:dyDescent="0.25">
      <c r="A311" s="1359"/>
      <c r="B311" s="252" t="s">
        <v>228</v>
      </c>
      <c r="C311" s="363"/>
      <c r="D311" s="363"/>
      <c r="E311" s="363"/>
      <c r="F311" s="363"/>
      <c r="G311" s="363"/>
      <c r="H311" s="364"/>
      <c r="I311" s="1327"/>
      <c r="J311" s="258"/>
      <c r="K311" s="96"/>
      <c r="L311" s="47"/>
      <c r="M311" s="96"/>
      <c r="N311" s="96"/>
      <c r="O311" s="96"/>
      <c r="P311" s="47"/>
      <c r="Q311" s="96">
        <f>S311+U311</f>
        <v>0</v>
      </c>
      <c r="R311" s="96">
        <v>0</v>
      </c>
      <c r="S311" s="96">
        <v>0</v>
      </c>
      <c r="T311" s="96">
        <f>U311</f>
        <v>0</v>
      </c>
      <c r="U311" s="96">
        <v>0</v>
      </c>
      <c r="V311" s="96"/>
      <c r="W311" s="96"/>
      <c r="X311" s="96">
        <v>0</v>
      </c>
      <c r="Y311" s="96">
        <v>0</v>
      </c>
      <c r="Z311" s="96">
        <v>0</v>
      </c>
      <c r="AA311" s="96">
        <v>0</v>
      </c>
      <c r="AB311" s="96"/>
      <c r="AC311" s="96"/>
      <c r="AD311" s="96">
        <v>0</v>
      </c>
      <c r="AE311" s="96">
        <f>SUM(AF311:AF311)</f>
        <v>0</v>
      </c>
      <c r="AF311" s="96"/>
      <c r="AG311" s="96"/>
      <c r="AH311" s="96"/>
      <c r="AI311" s="96"/>
      <c r="AJ311" s="96">
        <v>0</v>
      </c>
      <c r="AK311" s="96">
        <v>0</v>
      </c>
      <c r="AL311" s="96">
        <v>0</v>
      </c>
      <c r="AM311" s="96">
        <v>0</v>
      </c>
      <c r="AN311" s="96">
        <v>0</v>
      </c>
      <c r="AO311" s="405"/>
    </row>
    <row r="312" spans="1:41" s="266" customFormat="1" ht="16.5" hidden="1" customHeight="1" x14ac:dyDescent="0.25">
      <c r="A312" s="1359"/>
      <c r="B312" s="252" t="s">
        <v>267</v>
      </c>
      <c r="C312" s="363"/>
      <c r="D312" s="363"/>
      <c r="E312" s="363"/>
      <c r="F312" s="363"/>
      <c r="G312" s="363"/>
      <c r="H312" s="364"/>
      <c r="I312" s="1327"/>
      <c r="J312" s="258"/>
      <c r="K312" s="96"/>
      <c r="L312" s="47"/>
      <c r="M312" s="96"/>
      <c r="N312" s="96"/>
      <c r="O312" s="96"/>
      <c r="P312" s="47">
        <f>R312+T312</f>
        <v>0</v>
      </c>
      <c r="Q312" s="96">
        <f>S312+U312</f>
        <v>0</v>
      </c>
      <c r="R312" s="96">
        <v>0</v>
      </c>
      <c r="S312" s="96">
        <v>0</v>
      </c>
      <c r="T312" s="96">
        <f>U312</f>
        <v>0</v>
      </c>
      <c r="U312" s="96">
        <v>0</v>
      </c>
      <c r="V312" s="96"/>
      <c r="W312" s="96"/>
      <c r="X312" s="96"/>
      <c r="Y312" s="96"/>
      <c r="Z312" s="96">
        <f>SUM(AA312:AC312)</f>
        <v>0</v>
      </c>
      <c r="AA312" s="96"/>
      <c r="AB312" s="96">
        <v>0</v>
      </c>
      <c r="AC312" s="96">
        <v>0</v>
      </c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405"/>
    </row>
    <row r="313" spans="1:41" ht="17.25" customHeight="1" x14ac:dyDescent="0.25">
      <c r="A313" s="1361"/>
      <c r="B313" s="1" t="s">
        <v>16</v>
      </c>
      <c r="C313" s="274"/>
      <c r="D313" s="274"/>
      <c r="E313" s="274"/>
      <c r="F313" s="274"/>
      <c r="G313" s="277">
        <v>2020</v>
      </c>
      <c r="H313" s="277">
        <v>2021</v>
      </c>
      <c r="I313" s="1328"/>
      <c r="J313" s="53">
        <f>L313</f>
        <v>44570.33</v>
      </c>
      <c r="K313" s="6"/>
      <c r="L313" s="47">
        <v>44570.33</v>
      </c>
      <c r="M313" s="47">
        <v>0</v>
      </c>
      <c r="N313" s="47">
        <v>9523.69</v>
      </c>
      <c r="O313" s="47">
        <v>22469.279999999999</v>
      </c>
      <c r="P313" s="47">
        <v>3907.02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47">
        <v>0</v>
      </c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19"/>
    </row>
    <row r="314" spans="1:41" ht="78.75" customHeight="1" x14ac:dyDescent="0.25">
      <c r="A314" s="1358" t="s">
        <v>386</v>
      </c>
      <c r="B314" s="80" t="s">
        <v>163</v>
      </c>
      <c r="C314" s="1362"/>
      <c r="D314" s="1362"/>
      <c r="E314" s="1362"/>
      <c r="F314" s="1362">
        <v>81</v>
      </c>
      <c r="G314" s="51"/>
      <c r="H314" s="51"/>
      <c r="I314" s="1326" t="s">
        <v>20</v>
      </c>
      <c r="J314" s="53">
        <f>L314</f>
        <v>1937.03</v>
      </c>
      <c r="K314" s="6"/>
      <c r="L314" s="79">
        <f t="shared" ref="L314:Q314" si="367">L315+L320</f>
        <v>1937.03</v>
      </c>
      <c r="M314" s="79">
        <f t="shared" si="367"/>
        <v>297.18</v>
      </c>
      <c r="N314" s="79">
        <f t="shared" si="367"/>
        <v>1639.85</v>
      </c>
      <c r="O314" s="79">
        <f t="shared" si="367"/>
        <v>0</v>
      </c>
      <c r="P314" s="79">
        <f t="shared" si="367"/>
        <v>0</v>
      </c>
      <c r="Q314" s="79">
        <f t="shared" si="367"/>
        <v>0</v>
      </c>
      <c r="R314" s="79">
        <f t="shared" ref="R314:Z314" si="368">R315+R320</f>
        <v>0</v>
      </c>
      <c r="S314" s="79">
        <f t="shared" si="368"/>
        <v>0</v>
      </c>
      <c r="T314" s="79">
        <f t="shared" si="368"/>
        <v>0</v>
      </c>
      <c r="U314" s="79">
        <f t="shared" si="368"/>
        <v>0</v>
      </c>
      <c r="V314" s="79">
        <f t="shared" si="368"/>
        <v>0</v>
      </c>
      <c r="W314" s="79">
        <f t="shared" si="368"/>
        <v>0</v>
      </c>
      <c r="X314" s="79">
        <f t="shared" si="368"/>
        <v>0</v>
      </c>
      <c r="Y314" s="79">
        <f t="shared" si="368"/>
        <v>0</v>
      </c>
      <c r="Z314" s="79">
        <f t="shared" si="368"/>
        <v>0</v>
      </c>
      <c r="AA314" s="79">
        <f t="shared" ref="AA314:AI314" si="369">AA315+AA320</f>
        <v>0</v>
      </c>
      <c r="AB314" s="79">
        <f t="shared" si="369"/>
        <v>0</v>
      </c>
      <c r="AC314" s="79">
        <f t="shared" si="369"/>
        <v>0</v>
      </c>
      <c r="AD314" s="79">
        <f t="shared" si="369"/>
        <v>0</v>
      </c>
      <c r="AE314" s="79">
        <f t="shared" si="369"/>
        <v>0</v>
      </c>
      <c r="AF314" s="79">
        <f t="shared" si="369"/>
        <v>0</v>
      </c>
      <c r="AG314" s="79">
        <f t="shared" si="369"/>
        <v>0</v>
      </c>
      <c r="AH314" s="79">
        <f t="shared" si="369"/>
        <v>0</v>
      </c>
      <c r="AI314" s="79">
        <f t="shared" si="369"/>
        <v>0</v>
      </c>
      <c r="AJ314" s="79">
        <f>P314-Q314</f>
        <v>0</v>
      </c>
      <c r="AK314" s="79">
        <f>AJ314</f>
        <v>0</v>
      </c>
      <c r="AL314" s="79">
        <v>0</v>
      </c>
      <c r="AM314" s="79">
        <f>AM315+AM320</f>
        <v>0</v>
      </c>
      <c r="AN314" s="79">
        <f>AN315+AN320</f>
        <v>0</v>
      </c>
      <c r="AO314" s="404" t="s">
        <v>420</v>
      </c>
    </row>
    <row r="315" spans="1:41" ht="17.25" customHeight="1" x14ac:dyDescent="0.25">
      <c r="A315" s="1359"/>
      <c r="B315" s="1" t="s">
        <v>15</v>
      </c>
      <c r="C315" s="1363"/>
      <c r="D315" s="1363"/>
      <c r="E315" s="1363"/>
      <c r="F315" s="1363"/>
      <c r="G315" s="277">
        <v>2021</v>
      </c>
      <c r="H315" s="277">
        <v>2023</v>
      </c>
      <c r="I315" s="1327"/>
      <c r="J315" s="53">
        <f>L315</f>
        <v>297.18</v>
      </c>
      <c r="K315" s="6"/>
      <c r="L315" s="22">
        <v>297.18</v>
      </c>
      <c r="M315" s="22">
        <v>297.18</v>
      </c>
      <c r="N315" s="22">
        <v>0</v>
      </c>
      <c r="O315" s="22">
        <v>0</v>
      </c>
      <c r="P315" s="22">
        <v>0</v>
      </c>
      <c r="Q315" s="47">
        <f>SUM(Q317:Q319)</f>
        <v>0</v>
      </c>
      <c r="R315" s="47">
        <f t="shared" ref="R315:AD315" si="370">SUM(R317:R319)</f>
        <v>0</v>
      </c>
      <c r="S315" s="47">
        <f t="shared" si="370"/>
        <v>0</v>
      </c>
      <c r="T315" s="47">
        <f t="shared" si="370"/>
        <v>0</v>
      </c>
      <c r="U315" s="47">
        <f t="shared" si="370"/>
        <v>0</v>
      </c>
      <c r="V315" s="47">
        <f t="shared" si="370"/>
        <v>0</v>
      </c>
      <c r="W315" s="47">
        <f t="shared" si="370"/>
        <v>0</v>
      </c>
      <c r="X315" s="22">
        <v>0</v>
      </c>
      <c r="Y315" s="47">
        <f t="shared" si="370"/>
        <v>0</v>
      </c>
      <c r="Z315" s="47">
        <f t="shared" si="370"/>
        <v>0</v>
      </c>
      <c r="AA315" s="47">
        <f t="shared" si="370"/>
        <v>0</v>
      </c>
      <c r="AB315" s="47">
        <f t="shared" si="370"/>
        <v>0</v>
      </c>
      <c r="AC315" s="47">
        <f t="shared" si="370"/>
        <v>0</v>
      </c>
      <c r="AD315" s="47">
        <f t="shared" si="370"/>
        <v>0</v>
      </c>
      <c r="AE315" s="47">
        <f>AE319</f>
        <v>0</v>
      </c>
      <c r="AF315" s="47">
        <f>AF319</f>
        <v>0</v>
      </c>
      <c r="AG315" s="47">
        <f>AG319</f>
        <v>0</v>
      </c>
      <c r="AH315" s="47">
        <f>AH319</f>
        <v>0</v>
      </c>
      <c r="AI315" s="47">
        <f>AI319</f>
        <v>0</v>
      </c>
      <c r="AJ315" s="47">
        <v>0</v>
      </c>
      <c r="AK315" s="47">
        <v>0</v>
      </c>
      <c r="AL315" s="47">
        <v>0</v>
      </c>
      <c r="AM315" s="47">
        <v>0</v>
      </c>
      <c r="AN315" s="47">
        <v>0</v>
      </c>
      <c r="AO315" s="419"/>
    </row>
    <row r="316" spans="1:41" s="97" customFormat="1" ht="17.25" hidden="1" customHeight="1" x14ac:dyDescent="0.25">
      <c r="A316" s="1359"/>
      <c r="B316" s="102" t="s">
        <v>93</v>
      </c>
      <c r="C316" s="103"/>
      <c r="D316" s="103"/>
      <c r="E316" s="103"/>
      <c r="F316" s="103"/>
      <c r="G316" s="104"/>
      <c r="H316" s="104"/>
      <c r="I316" s="1327"/>
      <c r="J316" s="105"/>
      <c r="K316" s="106"/>
      <c r="L316" s="22"/>
      <c r="M316" s="96"/>
      <c r="N316" s="96"/>
      <c r="O316" s="96"/>
      <c r="P316" s="47">
        <f>R316</f>
        <v>0</v>
      </c>
      <c r="Q316" s="96">
        <f>S316</f>
        <v>0</v>
      </c>
      <c r="R316" s="96">
        <f>S316</f>
        <v>0</v>
      </c>
      <c r="S316" s="96">
        <v>0</v>
      </c>
      <c r="T316" s="96"/>
      <c r="U316" s="96"/>
      <c r="V316" s="96"/>
      <c r="W316" s="96"/>
      <c r="X316" s="96">
        <v>0</v>
      </c>
      <c r="Y316" s="96">
        <v>0</v>
      </c>
      <c r="Z316" s="96">
        <v>0</v>
      </c>
      <c r="AA316" s="96">
        <v>0</v>
      </c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421"/>
    </row>
    <row r="317" spans="1:41" s="266" customFormat="1" ht="17.25" hidden="1" customHeight="1" x14ac:dyDescent="0.25">
      <c r="A317" s="1359"/>
      <c r="B317" s="252" t="s">
        <v>225</v>
      </c>
      <c r="C317" s="363"/>
      <c r="D317" s="363"/>
      <c r="E317" s="363"/>
      <c r="F317" s="363"/>
      <c r="G317" s="363"/>
      <c r="H317" s="364"/>
      <c r="I317" s="1327"/>
      <c r="J317" s="258"/>
      <c r="K317" s="96"/>
      <c r="L317" s="47"/>
      <c r="M317" s="96"/>
      <c r="N317" s="96"/>
      <c r="O317" s="96"/>
      <c r="P317" s="47"/>
      <c r="Q317" s="96">
        <f>Y317</f>
        <v>0</v>
      </c>
      <c r="R317" s="96"/>
      <c r="S317" s="96"/>
      <c r="T317" s="96"/>
      <c r="U317" s="96"/>
      <c r="V317" s="96"/>
      <c r="W317" s="96"/>
      <c r="X317" s="96">
        <v>0</v>
      </c>
      <c r="Y317" s="96">
        <v>0</v>
      </c>
      <c r="Z317" s="96">
        <v>0</v>
      </c>
      <c r="AA317" s="96">
        <v>0</v>
      </c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405"/>
    </row>
    <row r="318" spans="1:41" s="266" customFormat="1" ht="17.25" hidden="1" customHeight="1" x14ac:dyDescent="0.25">
      <c r="A318" s="1359"/>
      <c r="B318" s="252" t="s">
        <v>226</v>
      </c>
      <c r="C318" s="363"/>
      <c r="D318" s="363"/>
      <c r="E318" s="363"/>
      <c r="F318" s="363"/>
      <c r="G318" s="363"/>
      <c r="H318" s="364"/>
      <c r="I318" s="1327"/>
      <c r="J318" s="258"/>
      <c r="K318" s="96"/>
      <c r="L318" s="47"/>
      <c r="M318" s="96"/>
      <c r="N318" s="96"/>
      <c r="O318" s="96"/>
      <c r="P318" s="47"/>
      <c r="Q318" s="96">
        <f>S318</f>
        <v>0</v>
      </c>
      <c r="R318" s="96">
        <f>S318</f>
        <v>0</v>
      </c>
      <c r="S318" s="96">
        <v>0</v>
      </c>
      <c r="T318" s="96"/>
      <c r="U318" s="96"/>
      <c r="V318" s="96"/>
      <c r="W318" s="96"/>
      <c r="X318" s="96">
        <v>0</v>
      </c>
      <c r="Y318" s="96">
        <v>0</v>
      </c>
      <c r="Z318" s="96">
        <f>AA318</f>
        <v>0</v>
      </c>
      <c r="AA318" s="96">
        <v>0</v>
      </c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405"/>
    </row>
    <row r="319" spans="1:41" s="266" customFormat="1" ht="17.25" hidden="1" customHeight="1" x14ac:dyDescent="0.25">
      <c r="A319" s="1359"/>
      <c r="B319" s="252" t="s">
        <v>227</v>
      </c>
      <c r="C319" s="363"/>
      <c r="D319" s="363"/>
      <c r="E319" s="363"/>
      <c r="F319" s="363"/>
      <c r="G319" s="363"/>
      <c r="H319" s="364"/>
      <c r="I319" s="1327"/>
      <c r="J319" s="258"/>
      <c r="K319" s="96"/>
      <c r="L319" s="47"/>
      <c r="M319" s="96"/>
      <c r="N319" s="96"/>
      <c r="O319" s="96"/>
      <c r="P319" s="47"/>
      <c r="Q319" s="96">
        <f>Y319</f>
        <v>0</v>
      </c>
      <c r="R319" s="96"/>
      <c r="S319" s="96"/>
      <c r="T319" s="96"/>
      <c r="U319" s="96"/>
      <c r="V319" s="96"/>
      <c r="W319" s="96"/>
      <c r="X319" s="96">
        <v>0</v>
      </c>
      <c r="Y319" s="96">
        <v>0</v>
      </c>
      <c r="Z319" s="96">
        <v>0</v>
      </c>
      <c r="AA319" s="96">
        <v>0</v>
      </c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405"/>
    </row>
    <row r="320" spans="1:41" ht="15.75" customHeight="1" x14ac:dyDescent="0.25">
      <c r="A320" s="1361"/>
      <c r="B320" s="1" t="s">
        <v>32</v>
      </c>
      <c r="C320" s="274"/>
      <c r="D320" s="274"/>
      <c r="E320" s="274"/>
      <c r="F320" s="274"/>
      <c r="G320" s="277">
        <v>2022</v>
      </c>
      <c r="H320" s="277">
        <v>2025</v>
      </c>
      <c r="I320" s="1328"/>
      <c r="J320" s="53">
        <f>L320</f>
        <v>1639.85</v>
      </c>
      <c r="K320" s="6"/>
      <c r="L320" s="22">
        <v>1639.85</v>
      </c>
      <c r="M320" s="47">
        <v>0</v>
      </c>
      <c r="N320" s="47">
        <v>1639.85</v>
      </c>
      <c r="O320" s="47">
        <v>0</v>
      </c>
      <c r="P320" s="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47">
        <v>0</v>
      </c>
      <c r="X320" s="47">
        <v>0</v>
      </c>
      <c r="Y320" s="47">
        <v>0</v>
      </c>
      <c r="Z320" s="47">
        <v>0</v>
      </c>
      <c r="AA320" s="47">
        <v>0</v>
      </c>
      <c r="AB320" s="47">
        <v>0</v>
      </c>
      <c r="AC320" s="47">
        <v>0</v>
      </c>
      <c r="AD320" s="47">
        <v>0</v>
      </c>
      <c r="AE320" s="47">
        <v>0</v>
      </c>
      <c r="AF320" s="47">
        <v>0</v>
      </c>
      <c r="AG320" s="47">
        <v>0</v>
      </c>
      <c r="AH320" s="47">
        <v>0</v>
      </c>
      <c r="AI320" s="47">
        <v>0</v>
      </c>
      <c r="AJ320" s="47">
        <v>0</v>
      </c>
      <c r="AK320" s="47">
        <v>0</v>
      </c>
      <c r="AL320" s="47">
        <v>0</v>
      </c>
      <c r="AM320" s="47">
        <v>0</v>
      </c>
      <c r="AN320" s="47">
        <v>0</v>
      </c>
      <c r="AO320" s="419"/>
    </row>
    <row r="321" spans="1:78" ht="46.5" customHeight="1" x14ac:dyDescent="0.25">
      <c r="A321" s="1358" t="s">
        <v>387</v>
      </c>
      <c r="B321" s="77" t="s">
        <v>196</v>
      </c>
      <c r="C321" s="274"/>
      <c r="D321" s="274"/>
      <c r="E321" s="274"/>
      <c r="F321" s="274">
        <v>82</v>
      </c>
      <c r="G321" s="51"/>
      <c r="H321" s="51"/>
      <c r="I321" s="1326" t="s">
        <v>20</v>
      </c>
      <c r="J321" s="53">
        <f>L321</f>
        <v>62784.66</v>
      </c>
      <c r="K321" s="6"/>
      <c r="L321" s="79">
        <f>L326+L322</f>
        <v>62784.66</v>
      </c>
      <c r="M321" s="79">
        <f t="shared" ref="M321:AN321" si="371">M326+M322</f>
        <v>0</v>
      </c>
      <c r="N321" s="79">
        <f t="shared" si="371"/>
        <v>0</v>
      </c>
      <c r="O321" s="79">
        <f t="shared" si="371"/>
        <v>5371.98</v>
      </c>
      <c r="P321" s="79">
        <f t="shared" si="371"/>
        <v>0</v>
      </c>
      <c r="Q321" s="79">
        <f t="shared" si="371"/>
        <v>3253.25164</v>
      </c>
      <c r="R321" s="79">
        <f t="shared" si="371"/>
        <v>0</v>
      </c>
      <c r="S321" s="79">
        <f t="shared" si="371"/>
        <v>1205.0050000000001</v>
      </c>
      <c r="T321" s="79">
        <f t="shared" si="371"/>
        <v>613.24663999999996</v>
      </c>
      <c r="U321" s="79">
        <f t="shared" si="371"/>
        <v>613.24663999999996</v>
      </c>
      <c r="V321" s="79">
        <f t="shared" si="371"/>
        <v>0</v>
      </c>
      <c r="W321" s="79">
        <f t="shared" si="371"/>
        <v>0</v>
      </c>
      <c r="X321" s="79">
        <f t="shared" si="371"/>
        <v>0</v>
      </c>
      <c r="Y321" s="79">
        <f t="shared" si="371"/>
        <v>1435</v>
      </c>
      <c r="Z321" s="79">
        <f t="shared" si="371"/>
        <v>1870</v>
      </c>
      <c r="AA321" s="79">
        <f t="shared" si="371"/>
        <v>1870</v>
      </c>
      <c r="AB321" s="79">
        <f t="shared" si="371"/>
        <v>0</v>
      </c>
      <c r="AC321" s="79">
        <f t="shared" si="371"/>
        <v>0</v>
      </c>
      <c r="AD321" s="79">
        <f t="shared" si="371"/>
        <v>0</v>
      </c>
      <c r="AE321" s="79">
        <f t="shared" si="371"/>
        <v>0</v>
      </c>
      <c r="AF321" s="79">
        <f t="shared" si="371"/>
        <v>0</v>
      </c>
      <c r="AG321" s="79">
        <f t="shared" si="371"/>
        <v>0</v>
      </c>
      <c r="AH321" s="79">
        <f t="shared" si="371"/>
        <v>0</v>
      </c>
      <c r="AI321" s="79">
        <f t="shared" si="371"/>
        <v>0</v>
      </c>
      <c r="AJ321" s="79">
        <f>P321-Q321</f>
        <v>-3253.25164</v>
      </c>
      <c r="AK321" s="79">
        <f t="shared" si="371"/>
        <v>0</v>
      </c>
      <c r="AL321" s="79">
        <f t="shared" si="371"/>
        <v>0</v>
      </c>
      <c r="AM321" s="79">
        <f t="shared" si="371"/>
        <v>0</v>
      </c>
      <c r="AN321" s="79">
        <f t="shared" si="371"/>
        <v>0</v>
      </c>
      <c r="AO321" s="420" t="s">
        <v>429</v>
      </c>
    </row>
    <row r="322" spans="1:78" ht="15.75" customHeight="1" x14ac:dyDescent="0.25">
      <c r="A322" s="1359"/>
      <c r="B322" s="1" t="s">
        <v>15</v>
      </c>
      <c r="C322" s="693"/>
      <c r="D322" s="693"/>
      <c r="E322" s="693"/>
      <c r="F322" s="693"/>
      <c r="G322" s="696"/>
      <c r="H322" s="696"/>
      <c r="I322" s="1327"/>
      <c r="J322" s="53"/>
      <c r="K322" s="6"/>
      <c r="L322" s="22">
        <v>2784.66</v>
      </c>
      <c r="M322" s="47"/>
      <c r="N322" s="47"/>
      <c r="O322" s="47"/>
      <c r="P322" s="47">
        <v>0</v>
      </c>
      <c r="Q322" s="47">
        <f>Q323+Q325+Q324</f>
        <v>3253.25164</v>
      </c>
      <c r="R322" s="47">
        <f t="shared" ref="R322:X322" si="372">R323+R325+R324</f>
        <v>0</v>
      </c>
      <c r="S322" s="47">
        <f t="shared" si="372"/>
        <v>1205.0050000000001</v>
      </c>
      <c r="T322" s="47">
        <f t="shared" si="372"/>
        <v>613.24663999999996</v>
      </c>
      <c r="U322" s="47">
        <f t="shared" si="372"/>
        <v>613.24663999999996</v>
      </c>
      <c r="V322" s="47">
        <f t="shared" si="372"/>
        <v>0</v>
      </c>
      <c r="W322" s="47">
        <f t="shared" si="372"/>
        <v>0</v>
      </c>
      <c r="X322" s="47">
        <f t="shared" si="372"/>
        <v>0</v>
      </c>
      <c r="Y322" s="47">
        <f>Y323+Y325+Y324</f>
        <v>1435</v>
      </c>
      <c r="Z322" s="47">
        <f>Z323+Z325</f>
        <v>1870</v>
      </c>
      <c r="AA322" s="47">
        <f>AA323+AA325</f>
        <v>1870</v>
      </c>
      <c r="AB322" s="47">
        <v>0</v>
      </c>
      <c r="AC322" s="47">
        <v>0</v>
      </c>
      <c r="AD322" s="47">
        <v>0</v>
      </c>
      <c r="AE322" s="47">
        <v>0</v>
      </c>
      <c r="AF322" s="47">
        <v>0</v>
      </c>
      <c r="AG322" s="47">
        <v>0</v>
      </c>
      <c r="AH322" s="47">
        <v>0</v>
      </c>
      <c r="AI322" s="47">
        <v>0</v>
      </c>
      <c r="AJ322" s="47">
        <v>0</v>
      </c>
      <c r="AK322" s="47">
        <v>0</v>
      </c>
      <c r="AL322" s="47">
        <v>0</v>
      </c>
      <c r="AM322" s="47">
        <v>0</v>
      </c>
      <c r="AN322" s="47">
        <v>0</v>
      </c>
      <c r="AO322" s="419"/>
    </row>
    <row r="323" spans="1:78" s="97" customFormat="1" ht="42.75" customHeight="1" x14ac:dyDescent="0.25">
      <c r="A323" s="1359"/>
      <c r="B323" s="102" t="s">
        <v>321</v>
      </c>
      <c r="C323" s="103"/>
      <c r="D323" s="103"/>
      <c r="E323" s="103"/>
      <c r="F323" s="103"/>
      <c r="G323" s="104"/>
      <c r="H323" s="104"/>
      <c r="I323" s="1327"/>
      <c r="J323" s="105"/>
      <c r="K323" s="106"/>
      <c r="L323" s="165"/>
      <c r="M323" s="96"/>
      <c r="N323" s="96"/>
      <c r="O323" s="96"/>
      <c r="P323" s="96"/>
      <c r="Q323" s="96">
        <f>S323+Y323</f>
        <v>2505.0050000000001</v>
      </c>
      <c r="R323" s="96">
        <v>0</v>
      </c>
      <c r="S323" s="96">
        <v>1205.0050000000001</v>
      </c>
      <c r="T323" s="96"/>
      <c r="U323" s="96"/>
      <c r="V323" s="96"/>
      <c r="W323" s="96"/>
      <c r="X323" s="96"/>
      <c r="Y323" s="96">
        <v>1300</v>
      </c>
      <c r="Z323" s="96">
        <f>AA323</f>
        <v>1870</v>
      </c>
      <c r="AA323" s="96">
        <v>1870</v>
      </c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421"/>
    </row>
    <row r="324" spans="1:78" s="97" customFormat="1" ht="52.5" customHeight="1" x14ac:dyDescent="0.25">
      <c r="A324" s="1359"/>
      <c r="B324" s="102" t="s">
        <v>492</v>
      </c>
      <c r="C324" s="103"/>
      <c r="D324" s="103"/>
      <c r="E324" s="103"/>
      <c r="F324" s="103"/>
      <c r="G324" s="104"/>
      <c r="H324" s="104"/>
      <c r="I324" s="1327"/>
      <c r="J324" s="105"/>
      <c r="K324" s="106"/>
      <c r="L324" s="165"/>
      <c r="M324" s="96"/>
      <c r="N324" s="96"/>
      <c r="O324" s="96"/>
      <c r="P324" s="96"/>
      <c r="Q324" s="96">
        <f>Y324</f>
        <v>135</v>
      </c>
      <c r="R324" s="96"/>
      <c r="S324" s="96"/>
      <c r="T324" s="96"/>
      <c r="U324" s="96"/>
      <c r="V324" s="96"/>
      <c r="W324" s="96"/>
      <c r="X324" s="96"/>
      <c r="Y324" s="96">
        <v>135</v>
      </c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421"/>
    </row>
    <row r="325" spans="1:78" s="97" customFormat="1" ht="29.25" customHeight="1" x14ac:dyDescent="0.25">
      <c r="A325" s="1359"/>
      <c r="B325" s="102" t="s">
        <v>455</v>
      </c>
      <c r="C325" s="103"/>
      <c r="D325" s="103"/>
      <c r="E325" s="103"/>
      <c r="F325" s="103"/>
      <c r="G325" s="104"/>
      <c r="H325" s="104"/>
      <c r="I325" s="1327"/>
      <c r="J325" s="105"/>
      <c r="K325" s="106"/>
      <c r="L325" s="165"/>
      <c r="M325" s="96"/>
      <c r="N325" s="96"/>
      <c r="O325" s="96"/>
      <c r="P325" s="96"/>
      <c r="Q325" s="96">
        <f>S325+U325</f>
        <v>613.24663999999996</v>
      </c>
      <c r="R325" s="96"/>
      <c r="S325" s="96"/>
      <c r="T325" s="96">
        <f>U325</f>
        <v>613.24663999999996</v>
      </c>
      <c r="U325" s="96">
        <v>613.24663999999996</v>
      </c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421"/>
    </row>
    <row r="326" spans="1:78" ht="19.5" customHeight="1" x14ac:dyDescent="0.25">
      <c r="A326" s="1361"/>
      <c r="B326" s="1" t="s">
        <v>213</v>
      </c>
      <c r="C326" s="274"/>
      <c r="D326" s="274"/>
      <c r="E326" s="274"/>
      <c r="F326" s="274"/>
      <c r="G326" s="277">
        <v>2024</v>
      </c>
      <c r="H326" s="277">
        <v>2029</v>
      </c>
      <c r="I326" s="1328"/>
      <c r="J326" s="53">
        <f>L326</f>
        <v>60000</v>
      </c>
      <c r="K326" s="6"/>
      <c r="L326" s="22">
        <v>60000</v>
      </c>
      <c r="M326" s="47">
        <v>0</v>
      </c>
      <c r="N326" s="47">
        <v>0</v>
      </c>
      <c r="O326" s="47">
        <v>5371.98</v>
      </c>
      <c r="P326" s="47">
        <v>0</v>
      </c>
      <c r="Q326" s="47">
        <v>0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47">
        <v>0</v>
      </c>
      <c r="X326" s="47">
        <v>0</v>
      </c>
      <c r="Y326" s="47">
        <v>0</v>
      </c>
      <c r="Z326" s="47">
        <v>0</v>
      </c>
      <c r="AA326" s="47">
        <v>0</v>
      </c>
      <c r="AB326" s="47">
        <v>0</v>
      </c>
      <c r="AC326" s="47">
        <v>0</v>
      </c>
      <c r="AD326" s="47">
        <v>0</v>
      </c>
      <c r="AE326" s="47">
        <v>0</v>
      </c>
      <c r="AF326" s="47">
        <v>0</v>
      </c>
      <c r="AG326" s="47">
        <v>0</v>
      </c>
      <c r="AH326" s="47">
        <v>0</v>
      </c>
      <c r="AI326" s="47">
        <v>0</v>
      </c>
      <c r="AJ326" s="47">
        <v>0</v>
      </c>
      <c r="AK326" s="47">
        <v>0</v>
      </c>
      <c r="AL326" s="47">
        <v>0</v>
      </c>
      <c r="AM326" s="47">
        <v>0</v>
      </c>
      <c r="AN326" s="47">
        <v>0</v>
      </c>
      <c r="AO326" s="419"/>
    </row>
    <row r="327" spans="1:78" ht="60.75" customHeight="1" x14ac:dyDescent="0.25">
      <c r="A327" s="1358" t="s">
        <v>388</v>
      </c>
      <c r="B327" s="77" t="s">
        <v>197</v>
      </c>
      <c r="C327" s="448"/>
      <c r="D327" s="448"/>
      <c r="E327" s="448"/>
      <c r="F327" s="448">
        <v>83</v>
      </c>
      <c r="G327" s="51"/>
      <c r="H327" s="51"/>
      <c r="I327" s="472"/>
      <c r="J327" s="53">
        <f>L327</f>
        <v>264154.26</v>
      </c>
      <c r="K327" s="6"/>
      <c r="L327" s="79">
        <f t="shared" ref="L327:P327" si="373">L328+L334</f>
        <v>264154.26</v>
      </c>
      <c r="M327" s="79">
        <f t="shared" si="373"/>
        <v>263850.07</v>
      </c>
      <c r="N327" s="79">
        <f t="shared" si="373"/>
        <v>263850.07</v>
      </c>
      <c r="O327" s="79">
        <f t="shared" si="373"/>
        <v>263850.07</v>
      </c>
      <c r="P327" s="79">
        <f t="shared" si="373"/>
        <v>3.4</v>
      </c>
      <c r="Q327" s="79">
        <f>Q328+Q334</f>
        <v>99541.706699999995</v>
      </c>
      <c r="R327" s="79">
        <f t="shared" ref="R327:W327" si="374">R328+R334</f>
        <v>10.39</v>
      </c>
      <c r="S327" s="79">
        <f t="shared" si="374"/>
        <v>21716.313740000001</v>
      </c>
      <c r="T327" s="79">
        <f t="shared" si="374"/>
        <v>3.4</v>
      </c>
      <c r="U327" s="79">
        <f t="shared" si="374"/>
        <v>32353.478230000001</v>
      </c>
      <c r="V327" s="79">
        <f t="shared" si="374"/>
        <v>60</v>
      </c>
      <c r="W327" s="79">
        <f t="shared" si="374"/>
        <v>45471.914729999997</v>
      </c>
      <c r="X327" s="79">
        <f>X328+X334</f>
        <v>0</v>
      </c>
      <c r="Y327" s="79">
        <f>Y328+Y334</f>
        <v>0</v>
      </c>
      <c r="Z327" s="79">
        <f t="shared" ref="Z327:AI327" si="375">Z328+Z334</f>
        <v>114314.3806</v>
      </c>
      <c r="AA327" s="79">
        <f t="shared" si="375"/>
        <v>21705.915000000001</v>
      </c>
      <c r="AB327" s="79">
        <f t="shared" si="375"/>
        <v>39739.819470000002</v>
      </c>
      <c r="AC327" s="79">
        <f t="shared" si="375"/>
        <v>52868.646130000001</v>
      </c>
      <c r="AD327" s="79">
        <f t="shared" si="375"/>
        <v>0</v>
      </c>
      <c r="AE327" s="79">
        <v>251949.815</v>
      </c>
      <c r="AF327" s="79">
        <v>251949.815</v>
      </c>
      <c r="AG327" s="79">
        <v>251949.815</v>
      </c>
      <c r="AH327" s="79">
        <v>251949.815</v>
      </c>
      <c r="AI327" s="79">
        <f t="shared" si="375"/>
        <v>0</v>
      </c>
      <c r="AJ327" s="79">
        <f>P327-Q327</f>
        <v>-99538.306700000001</v>
      </c>
      <c r="AK327" s="79">
        <f t="shared" ref="AK327:AN327" si="376">AK328</f>
        <v>0</v>
      </c>
      <c r="AL327" s="79">
        <v>7.79</v>
      </c>
      <c r="AM327" s="79">
        <f t="shared" si="376"/>
        <v>0</v>
      </c>
      <c r="AN327" s="79">
        <f t="shared" si="376"/>
        <v>0</v>
      </c>
      <c r="AO327" s="404" t="s">
        <v>480</v>
      </c>
    </row>
    <row r="328" spans="1:78" ht="37.5" customHeight="1" x14ac:dyDescent="0.25">
      <c r="A328" s="1359"/>
      <c r="B328" s="1" t="s">
        <v>213</v>
      </c>
      <c r="C328" s="448"/>
      <c r="D328" s="448"/>
      <c r="E328" s="448"/>
      <c r="F328" s="448"/>
      <c r="G328" s="449">
        <v>2026</v>
      </c>
      <c r="H328" s="449">
        <v>2033</v>
      </c>
      <c r="I328" s="476" t="s">
        <v>20</v>
      </c>
      <c r="J328" s="53">
        <f>L328</f>
        <v>304.19</v>
      </c>
      <c r="K328" s="6"/>
      <c r="L328" s="22">
        <v>304.19</v>
      </c>
      <c r="M328" s="47">
        <v>0</v>
      </c>
      <c r="N328" s="47">
        <v>0</v>
      </c>
      <c r="O328" s="47">
        <v>0</v>
      </c>
      <c r="P328" s="47">
        <v>3.4</v>
      </c>
      <c r="Q328" s="47">
        <f>SUM(Q329:Q333)</f>
        <v>133.19185999999999</v>
      </c>
      <c r="R328" s="47">
        <f>SUM(R329:R330)</f>
        <v>10.39</v>
      </c>
      <c r="S328" s="47">
        <f>SUM(S329:S330)</f>
        <v>10.39</v>
      </c>
      <c r="T328" s="47">
        <v>3.4</v>
      </c>
      <c r="U328" s="47">
        <f t="shared" ref="U328:X328" si="377">SUM(U329:U333)</f>
        <v>0</v>
      </c>
      <c r="V328" s="47">
        <f t="shared" si="377"/>
        <v>60</v>
      </c>
      <c r="W328" s="47">
        <f t="shared" si="377"/>
        <v>122.80186</v>
      </c>
      <c r="X328" s="47">
        <f t="shared" si="377"/>
        <v>0</v>
      </c>
      <c r="Y328" s="47">
        <f>SUM(Y329:Y333)</f>
        <v>0</v>
      </c>
      <c r="Z328" s="47">
        <f t="shared" ref="Z328:AC328" si="378">SUM(Z329:Z333)</f>
        <v>133.19202999999999</v>
      </c>
      <c r="AA328" s="47">
        <f t="shared" si="378"/>
        <v>0</v>
      </c>
      <c r="AB328" s="47">
        <f t="shared" si="378"/>
        <v>0</v>
      </c>
      <c r="AC328" s="47">
        <f t="shared" si="378"/>
        <v>133.19202999999999</v>
      </c>
      <c r="AD328" s="47">
        <f>SUM(AD329:AD333)</f>
        <v>0</v>
      </c>
      <c r="AE328" s="47">
        <v>0</v>
      </c>
      <c r="AF328" s="47">
        <v>0</v>
      </c>
      <c r="AG328" s="47">
        <v>0</v>
      </c>
      <c r="AH328" s="47">
        <v>0</v>
      </c>
      <c r="AI328" s="47">
        <v>0</v>
      </c>
      <c r="AJ328" s="47">
        <v>0</v>
      </c>
      <c r="AK328" s="47">
        <v>0</v>
      </c>
      <c r="AL328" s="47">
        <v>0</v>
      </c>
      <c r="AM328" s="47">
        <v>0</v>
      </c>
      <c r="AN328" s="47">
        <v>0</v>
      </c>
      <c r="AO328" s="419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</row>
    <row r="329" spans="1:78" s="97" customFormat="1" ht="15" customHeight="1" x14ac:dyDescent="0.25">
      <c r="A329" s="1360"/>
      <c r="B329" s="92" t="s">
        <v>264</v>
      </c>
      <c r="C329" s="440"/>
      <c r="D329" s="440"/>
      <c r="E329" s="440"/>
      <c r="F329" s="440"/>
      <c r="G329" s="262"/>
      <c r="H329" s="262"/>
      <c r="I329" s="368"/>
      <c r="J329" s="441"/>
      <c r="K329" s="442"/>
      <c r="L329" s="849"/>
      <c r="M329" s="268"/>
      <c r="N329" s="268"/>
      <c r="O329" s="268"/>
      <c r="P329" s="4">
        <f>R329</f>
        <v>0</v>
      </c>
      <c r="Q329" s="268">
        <f>S329+Y329</f>
        <v>0</v>
      </c>
      <c r="R329" s="268">
        <f>S329</f>
        <v>0</v>
      </c>
      <c r="S329" s="268">
        <v>0</v>
      </c>
      <c r="T329" s="268"/>
      <c r="U329" s="268"/>
      <c r="V329" s="268"/>
      <c r="W329" s="268"/>
      <c r="X329" s="165">
        <v>0</v>
      </c>
      <c r="Y329" s="268">
        <v>0</v>
      </c>
      <c r="Z329" s="165">
        <f>AA329+AD329</f>
        <v>0</v>
      </c>
      <c r="AA329" s="268">
        <v>0</v>
      </c>
      <c r="AB329" s="268"/>
      <c r="AC329" s="268">
        <v>0</v>
      </c>
      <c r="AD329" s="268">
        <v>0</v>
      </c>
      <c r="AE329" s="268"/>
      <c r="AF329" s="268"/>
      <c r="AG329" s="268"/>
      <c r="AH329" s="268"/>
      <c r="AI329" s="268"/>
      <c r="AJ329" s="268"/>
      <c r="AK329" s="268"/>
      <c r="AL329" s="268"/>
      <c r="AM329" s="268"/>
      <c r="AN329" s="268"/>
      <c r="AO329" s="418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  <c r="BI329" s="154"/>
      <c r="BJ329" s="154"/>
      <c r="BK329" s="154"/>
      <c r="BL329" s="154"/>
      <c r="BM329" s="154"/>
      <c r="BN329" s="154"/>
      <c r="BO329" s="154"/>
      <c r="BP329" s="154"/>
      <c r="BQ329" s="154"/>
      <c r="BR329" s="154"/>
      <c r="BS329" s="154"/>
      <c r="BT329" s="154"/>
      <c r="BU329" s="154"/>
      <c r="BV329" s="154"/>
      <c r="BW329" s="154"/>
      <c r="BX329" s="154"/>
      <c r="BY329" s="154"/>
      <c r="BZ329" s="154"/>
    </row>
    <row r="330" spans="1:78" s="546" customFormat="1" ht="25.5" x14ac:dyDescent="0.25">
      <c r="A330" s="1360"/>
      <c r="B330" s="102" t="s">
        <v>434</v>
      </c>
      <c r="C330" s="103"/>
      <c r="D330" s="103"/>
      <c r="E330" s="103"/>
      <c r="F330" s="103"/>
      <c r="G330" s="104"/>
      <c r="H330" s="104"/>
      <c r="I330" s="443" t="s">
        <v>347</v>
      </c>
      <c r="J330" s="105"/>
      <c r="K330" s="106"/>
      <c r="L330" s="22"/>
      <c r="M330" s="165"/>
      <c r="N330" s="165"/>
      <c r="O330" s="165"/>
      <c r="P330" s="22"/>
      <c r="Q330" s="165">
        <f>S330+U330</f>
        <v>10.39</v>
      </c>
      <c r="R330" s="165">
        <f>S330</f>
        <v>10.39</v>
      </c>
      <c r="S330" s="165">
        <v>10.39</v>
      </c>
      <c r="T330" s="165"/>
      <c r="U330" s="165">
        <v>0</v>
      </c>
      <c r="V330" s="165"/>
      <c r="W330" s="165"/>
      <c r="X330" s="165"/>
      <c r="Y330" s="165"/>
      <c r="Z330" s="165">
        <f>AA330+AB330+AC330</f>
        <v>10.390169999999999</v>
      </c>
      <c r="AA330" s="165">
        <v>0</v>
      </c>
      <c r="AB330" s="165">
        <v>0</v>
      </c>
      <c r="AC330" s="268">
        <v>10.390169999999999</v>
      </c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421"/>
      <c r="AP330" s="553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  <c r="BD330" s="154"/>
      <c r="BE330" s="154"/>
      <c r="BF330" s="154"/>
      <c r="BG330" s="154"/>
      <c r="BH330" s="154"/>
      <c r="BI330" s="154"/>
      <c r="BJ330" s="154"/>
      <c r="BK330" s="154"/>
      <c r="BL330" s="154"/>
      <c r="BM330" s="154"/>
      <c r="BN330" s="154"/>
      <c r="BO330" s="154"/>
      <c r="BP330" s="154"/>
      <c r="BQ330" s="154"/>
      <c r="BR330" s="154"/>
      <c r="BS330" s="154"/>
      <c r="BT330" s="154"/>
      <c r="BU330" s="154"/>
      <c r="BV330" s="154"/>
      <c r="BW330" s="154"/>
      <c r="BX330" s="154"/>
      <c r="BY330" s="154"/>
      <c r="BZ330" s="554"/>
    </row>
    <row r="331" spans="1:78" s="546" customFormat="1" ht="25.5" x14ac:dyDescent="0.25">
      <c r="A331" s="1360"/>
      <c r="B331" s="102" t="s">
        <v>469</v>
      </c>
      <c r="C331" s="103"/>
      <c r="D331" s="103"/>
      <c r="E331" s="103"/>
      <c r="F331" s="103"/>
      <c r="G331" s="104"/>
      <c r="H331" s="104"/>
      <c r="I331" s="443"/>
      <c r="J331" s="105"/>
      <c r="K331" s="106"/>
      <c r="L331" s="22"/>
      <c r="M331" s="165"/>
      <c r="N331" s="165"/>
      <c r="O331" s="165"/>
      <c r="P331" s="22"/>
      <c r="Q331" s="165">
        <f>S331+U331+W331</f>
        <v>62.801859999999998</v>
      </c>
      <c r="R331" s="165"/>
      <c r="S331" s="165"/>
      <c r="T331" s="165"/>
      <c r="U331" s="165"/>
      <c r="V331" s="165"/>
      <c r="W331" s="165">
        <v>62.801859999999998</v>
      </c>
      <c r="X331" s="165"/>
      <c r="Y331" s="165"/>
      <c r="Z331" s="165">
        <f>AA331+AB331+AC331</f>
        <v>62.801859999999998</v>
      </c>
      <c r="AA331" s="165"/>
      <c r="AB331" s="165"/>
      <c r="AC331" s="165">
        <v>62.801859999999998</v>
      </c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421"/>
      <c r="AP331" s="553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  <c r="BI331" s="154"/>
      <c r="BJ331" s="154"/>
      <c r="BK331" s="154"/>
      <c r="BL331" s="154"/>
      <c r="BM331" s="154"/>
      <c r="BN331" s="154"/>
      <c r="BO331" s="154"/>
      <c r="BP331" s="154"/>
      <c r="BQ331" s="154"/>
      <c r="BR331" s="154"/>
      <c r="BS331" s="154"/>
      <c r="BT331" s="154"/>
      <c r="BU331" s="154"/>
      <c r="BV331" s="154"/>
      <c r="BW331" s="154"/>
      <c r="BX331" s="154"/>
      <c r="BY331" s="154"/>
      <c r="BZ331" s="554"/>
    </row>
    <row r="332" spans="1:78" s="546" customFormat="1" ht="25.5" x14ac:dyDescent="0.25">
      <c r="A332" s="1360"/>
      <c r="B332" s="102" t="s">
        <v>152</v>
      </c>
      <c r="C332" s="103"/>
      <c r="D332" s="103"/>
      <c r="E332" s="103"/>
      <c r="F332" s="103"/>
      <c r="G332" s="104"/>
      <c r="H332" s="104"/>
      <c r="I332" s="443"/>
      <c r="J332" s="105"/>
      <c r="K332" s="106"/>
      <c r="L332" s="22"/>
      <c r="M332" s="165"/>
      <c r="N332" s="165"/>
      <c r="O332" s="165"/>
      <c r="P332" s="22"/>
      <c r="Q332" s="165">
        <f>S332+U332+W332</f>
        <v>60</v>
      </c>
      <c r="R332" s="165"/>
      <c r="S332" s="165"/>
      <c r="T332" s="165"/>
      <c r="U332" s="165"/>
      <c r="V332" s="165">
        <v>60</v>
      </c>
      <c r="W332" s="165">
        <v>60</v>
      </c>
      <c r="X332" s="165"/>
      <c r="Y332" s="165"/>
      <c r="Z332" s="165">
        <f>AA332+AB332+AC332</f>
        <v>60</v>
      </c>
      <c r="AA332" s="165"/>
      <c r="AB332" s="165"/>
      <c r="AC332" s="165">
        <v>60</v>
      </c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421"/>
      <c r="AP332" s="553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  <c r="BI332" s="154"/>
      <c r="BJ332" s="154"/>
      <c r="BK332" s="154"/>
      <c r="BL332" s="154"/>
      <c r="BM332" s="154"/>
      <c r="BN332" s="154"/>
      <c r="BO332" s="154"/>
      <c r="BP332" s="154"/>
      <c r="BQ332" s="154"/>
      <c r="BR332" s="154"/>
      <c r="BS332" s="154"/>
      <c r="BT332" s="154"/>
      <c r="BU332" s="154"/>
      <c r="BV332" s="154"/>
      <c r="BW332" s="154"/>
      <c r="BX332" s="154"/>
      <c r="BY332" s="154"/>
      <c r="BZ332" s="554"/>
    </row>
    <row r="333" spans="1:78" s="51" customFormat="1" ht="25.5" customHeight="1" x14ac:dyDescent="0.25">
      <c r="A333" s="1360"/>
      <c r="B333" s="102" t="s">
        <v>265</v>
      </c>
      <c r="C333" s="103"/>
      <c r="D333" s="103"/>
      <c r="E333" s="103"/>
      <c r="F333" s="103"/>
      <c r="G333" s="104"/>
      <c r="H333" s="104"/>
      <c r="I333" s="119"/>
      <c r="J333" s="105"/>
      <c r="K333" s="106"/>
      <c r="L333" s="22"/>
      <c r="M333" s="165"/>
      <c r="N333" s="165"/>
      <c r="O333" s="165"/>
      <c r="P333" s="22">
        <f>R333+T333</f>
        <v>0</v>
      </c>
      <c r="Q333" s="165">
        <f>S333+U333+W333+Y333</f>
        <v>0</v>
      </c>
      <c r="R333" s="165"/>
      <c r="S333" s="165"/>
      <c r="T333" s="165">
        <v>0</v>
      </c>
      <c r="U333" s="165">
        <v>0</v>
      </c>
      <c r="V333" s="165">
        <f>W333</f>
        <v>0</v>
      </c>
      <c r="W333" s="165">
        <v>0</v>
      </c>
      <c r="X333" s="165"/>
      <c r="Y333" s="165">
        <v>0</v>
      </c>
      <c r="Z333" s="165">
        <f>SUM(AA333:AD333)</f>
        <v>0</v>
      </c>
      <c r="AA333" s="165"/>
      <c r="AB333" s="165">
        <v>0</v>
      </c>
      <c r="AC333" s="165">
        <v>0</v>
      </c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421"/>
      <c r="AP333" s="551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552"/>
    </row>
    <row r="334" spans="1:78" s="51" customFormat="1" ht="25.5" x14ac:dyDescent="0.25">
      <c r="A334" s="1360"/>
      <c r="B334" s="1"/>
      <c r="C334" s="473"/>
      <c r="D334" s="473"/>
      <c r="E334" s="473"/>
      <c r="F334" s="473"/>
      <c r="G334" s="476"/>
      <c r="H334" s="476"/>
      <c r="I334" s="23" t="s">
        <v>10</v>
      </c>
      <c r="J334" s="53"/>
      <c r="K334" s="6"/>
      <c r="L334" s="22">
        <v>263850.07</v>
      </c>
      <c r="M334" s="22">
        <v>263850.07</v>
      </c>
      <c r="N334" s="22">
        <v>263850.07</v>
      </c>
      <c r="O334" s="22">
        <v>263850.07</v>
      </c>
      <c r="P334" s="47">
        <v>0</v>
      </c>
      <c r="Q334" s="47">
        <f t="shared" ref="Q334:AI334" si="379">SUM(Q335:Q337)</f>
        <v>99408.514839999989</v>
      </c>
      <c r="R334" s="47">
        <f t="shared" si="379"/>
        <v>0</v>
      </c>
      <c r="S334" s="47">
        <f t="shared" si="379"/>
        <v>21705.923740000002</v>
      </c>
      <c r="T334" s="47">
        <f t="shared" si="379"/>
        <v>0</v>
      </c>
      <c r="U334" s="47">
        <f t="shared" si="379"/>
        <v>32353.478230000001</v>
      </c>
      <c r="V334" s="47">
        <f t="shared" si="379"/>
        <v>0</v>
      </c>
      <c r="W334" s="47">
        <f t="shared" si="379"/>
        <v>45349.112869999997</v>
      </c>
      <c r="X334" s="47">
        <f t="shared" si="379"/>
        <v>0</v>
      </c>
      <c r="Y334" s="47">
        <f t="shared" si="379"/>
        <v>0</v>
      </c>
      <c r="Z334" s="47">
        <f t="shared" si="379"/>
        <v>114181.18857</v>
      </c>
      <c r="AA334" s="47">
        <f t="shared" si="379"/>
        <v>21705.915000000001</v>
      </c>
      <c r="AB334" s="47">
        <f>SUM(AB335:AB337)</f>
        <v>39739.819470000002</v>
      </c>
      <c r="AC334" s="47">
        <f t="shared" si="379"/>
        <v>52735.454100000003</v>
      </c>
      <c r="AD334" s="47">
        <f t="shared" si="379"/>
        <v>0</v>
      </c>
      <c r="AE334" s="47">
        <f t="shared" si="379"/>
        <v>0</v>
      </c>
      <c r="AF334" s="47">
        <f t="shared" si="379"/>
        <v>0</v>
      </c>
      <c r="AG334" s="47">
        <f t="shared" si="379"/>
        <v>0</v>
      </c>
      <c r="AH334" s="47">
        <f t="shared" si="379"/>
        <v>0</v>
      </c>
      <c r="AI334" s="47">
        <f t="shared" si="379"/>
        <v>0</v>
      </c>
      <c r="AJ334" s="22">
        <f>AJ335</f>
        <v>0</v>
      </c>
      <c r="AK334" s="22">
        <v>0</v>
      </c>
      <c r="AL334" s="22">
        <v>0</v>
      </c>
      <c r="AM334" s="22">
        <v>0</v>
      </c>
      <c r="AN334" s="22">
        <v>0</v>
      </c>
      <c r="AO334" s="419"/>
      <c r="AP334" s="551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552"/>
    </row>
    <row r="335" spans="1:78" s="546" customFormat="1" x14ac:dyDescent="0.25">
      <c r="A335" s="1360"/>
      <c r="B335" s="102" t="s">
        <v>304</v>
      </c>
      <c r="C335" s="103"/>
      <c r="D335" s="103"/>
      <c r="E335" s="103"/>
      <c r="F335" s="103"/>
      <c r="G335" s="104"/>
      <c r="H335" s="104"/>
      <c r="I335" s="443"/>
      <c r="J335" s="105"/>
      <c r="K335" s="106"/>
      <c r="L335" s="22"/>
      <c r="M335" s="165"/>
      <c r="N335" s="165"/>
      <c r="O335" s="165"/>
      <c r="P335" s="22"/>
      <c r="Q335" s="165">
        <f>S335+U335+W335+Y335</f>
        <v>89381.39662</v>
      </c>
      <c r="R335" s="165"/>
      <c r="S335" s="165">
        <f>21662.59874</f>
        <v>21662.598740000001</v>
      </c>
      <c r="T335" s="165"/>
      <c r="U335" s="165">
        <f>8211.12924+16706.17315</f>
        <v>24917.302389999997</v>
      </c>
      <c r="V335" s="165"/>
      <c r="W335" s="165">
        <f>24031.277+18770.21849</f>
        <v>42801.495490000001</v>
      </c>
      <c r="X335" s="165"/>
      <c r="Y335" s="165">
        <v>0</v>
      </c>
      <c r="Z335" s="165">
        <f>AA335+AB335+AC335+AD335</f>
        <v>89381.387879999995</v>
      </c>
      <c r="AA335" s="165">
        <v>21662.59</v>
      </c>
      <c r="AB335" s="165">
        <f>8211.12924+16706.17315</f>
        <v>24917.302389999997</v>
      </c>
      <c r="AC335" s="165">
        <f>24031.277+18770.21849</f>
        <v>42801.495490000001</v>
      </c>
      <c r="AD335" s="165">
        <v>0</v>
      </c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421"/>
      <c r="AP335" s="553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  <c r="BI335" s="154"/>
      <c r="BJ335" s="154"/>
      <c r="BK335" s="154"/>
      <c r="BL335" s="154"/>
      <c r="BM335" s="154"/>
      <c r="BN335" s="154"/>
      <c r="BO335" s="154"/>
      <c r="BP335" s="154"/>
      <c r="BQ335" s="154"/>
      <c r="BR335" s="154"/>
      <c r="BS335" s="154"/>
      <c r="BT335" s="154"/>
      <c r="BU335" s="154"/>
      <c r="BV335" s="154"/>
      <c r="BW335" s="154"/>
      <c r="BX335" s="154"/>
      <c r="BY335" s="154"/>
      <c r="BZ335" s="554"/>
    </row>
    <row r="336" spans="1:78" s="546" customFormat="1" x14ac:dyDescent="0.25">
      <c r="A336" s="1360"/>
      <c r="B336" s="102" t="s">
        <v>305</v>
      </c>
      <c r="C336" s="103"/>
      <c r="D336" s="103"/>
      <c r="E336" s="103"/>
      <c r="F336" s="103"/>
      <c r="G336" s="104"/>
      <c r="H336" s="104"/>
      <c r="I336" s="443"/>
      <c r="J336" s="105"/>
      <c r="K336" s="106"/>
      <c r="L336" s="22"/>
      <c r="M336" s="165"/>
      <c r="N336" s="165"/>
      <c r="O336" s="165"/>
      <c r="P336" s="22"/>
      <c r="Q336" s="165">
        <f>S336+U336+W336+Y336</f>
        <v>178.66324000000003</v>
      </c>
      <c r="R336" s="165"/>
      <c r="S336" s="165">
        <v>43.325000000000003</v>
      </c>
      <c r="T336" s="165"/>
      <c r="U336" s="165">
        <f>16.42226+33.41235</f>
        <v>49.834610000000005</v>
      </c>
      <c r="V336" s="165"/>
      <c r="W336" s="165">
        <f>48.06255+37.44108</f>
        <v>85.503630000000001</v>
      </c>
      <c r="X336" s="165"/>
      <c r="Y336" s="165">
        <v>0</v>
      </c>
      <c r="Z336" s="165">
        <f>AA336+AB336+AC336+AD336</f>
        <v>178.66324000000003</v>
      </c>
      <c r="AA336" s="165">
        <v>43.325000000000003</v>
      </c>
      <c r="AB336" s="165">
        <f>16.42226+33.41235</f>
        <v>49.834610000000005</v>
      </c>
      <c r="AC336" s="165">
        <f>48.06255+37.44108</f>
        <v>85.503630000000001</v>
      </c>
      <c r="AD336" s="165">
        <v>0</v>
      </c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421"/>
      <c r="AP336" s="553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  <c r="BI336" s="154"/>
      <c r="BJ336" s="154"/>
      <c r="BK336" s="154"/>
      <c r="BL336" s="154"/>
      <c r="BM336" s="154"/>
      <c r="BN336" s="154"/>
      <c r="BO336" s="154"/>
      <c r="BP336" s="154"/>
      <c r="BQ336" s="154"/>
      <c r="BR336" s="154"/>
      <c r="BS336" s="154"/>
      <c r="BT336" s="154"/>
      <c r="BU336" s="154"/>
      <c r="BV336" s="154"/>
      <c r="BW336" s="154"/>
      <c r="BX336" s="154"/>
      <c r="BY336" s="154"/>
      <c r="BZ336" s="554"/>
    </row>
    <row r="337" spans="1:78" s="546" customFormat="1" x14ac:dyDescent="0.25">
      <c r="A337" s="1360"/>
      <c r="B337" s="102" t="s">
        <v>400</v>
      </c>
      <c r="C337" s="103"/>
      <c r="D337" s="103"/>
      <c r="E337" s="103"/>
      <c r="F337" s="103"/>
      <c r="G337" s="104"/>
      <c r="H337" s="104"/>
      <c r="I337" s="443"/>
      <c r="J337" s="105"/>
      <c r="K337" s="106"/>
      <c r="L337" s="22"/>
      <c r="M337" s="165"/>
      <c r="N337" s="165"/>
      <c r="O337" s="165"/>
      <c r="P337" s="22"/>
      <c r="Q337" s="165">
        <f>S337+U337+Y337+2462.11375</f>
        <v>9848.4549800000004</v>
      </c>
      <c r="R337" s="165"/>
      <c r="S337" s="165"/>
      <c r="T337" s="165"/>
      <c r="U337" s="165">
        <v>7386.34123</v>
      </c>
      <c r="V337" s="165"/>
      <c r="W337" s="165">
        <v>2462.11375</v>
      </c>
      <c r="X337" s="165"/>
      <c r="Y337" s="165">
        <v>0</v>
      </c>
      <c r="Z337" s="165">
        <f>AA337+AB337+AC337+AD337</f>
        <v>24621.137450000002</v>
      </c>
      <c r="AA337" s="165"/>
      <c r="AB337" s="165">
        <v>14772.68247</v>
      </c>
      <c r="AC337" s="165">
        <v>9848.4549800000004</v>
      </c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421"/>
      <c r="AP337" s="553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  <c r="BI337" s="154"/>
      <c r="BJ337" s="154"/>
      <c r="BK337" s="154"/>
      <c r="BL337" s="154"/>
      <c r="BM337" s="154"/>
      <c r="BN337" s="154"/>
      <c r="BO337" s="154"/>
      <c r="BP337" s="154"/>
      <c r="BQ337" s="154"/>
      <c r="BR337" s="154"/>
      <c r="BS337" s="154"/>
      <c r="BT337" s="154"/>
      <c r="BU337" s="154"/>
      <c r="BV337" s="154"/>
      <c r="BW337" s="154"/>
      <c r="BX337" s="154"/>
      <c r="BY337" s="154"/>
      <c r="BZ337" s="554"/>
    </row>
    <row r="338" spans="1:78" ht="54" customHeight="1" x14ac:dyDescent="0.25">
      <c r="A338" s="1332" t="s">
        <v>143</v>
      </c>
      <c r="B338" s="1335" t="s">
        <v>392</v>
      </c>
      <c r="C338" s="1336"/>
      <c r="D338" s="1336"/>
      <c r="E338" s="1336"/>
      <c r="F338" s="1336"/>
      <c r="G338" s="1336"/>
      <c r="H338" s="1337"/>
      <c r="I338" s="15" t="s">
        <v>19</v>
      </c>
      <c r="J338" s="698">
        <v>0</v>
      </c>
      <c r="K338" s="698">
        <v>0</v>
      </c>
      <c r="L338" s="16">
        <f>M338+N338+O338</f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398"/>
    </row>
    <row r="339" spans="1:78" ht="39.75" customHeight="1" x14ac:dyDescent="0.25">
      <c r="A339" s="1333"/>
      <c r="B339" s="1338"/>
      <c r="C339" s="1339"/>
      <c r="D339" s="1339"/>
      <c r="E339" s="1339"/>
      <c r="F339" s="1339"/>
      <c r="G339" s="1339"/>
      <c r="H339" s="1340"/>
      <c r="I339" s="15" t="s">
        <v>20</v>
      </c>
      <c r="J339" s="698">
        <f>K339+L339</f>
        <v>20718.38</v>
      </c>
      <c r="K339" s="698">
        <f>K342+K376+K379+K388</f>
        <v>0</v>
      </c>
      <c r="L339" s="16">
        <f>L342+L346</f>
        <v>20718.38</v>
      </c>
      <c r="M339" s="22">
        <f t="shared" ref="M339:AA339" si="380">M342</f>
        <v>0</v>
      </c>
      <c r="N339" s="22">
        <f t="shared" si="380"/>
        <v>2081.9299999999998</v>
      </c>
      <c r="O339" s="22">
        <f t="shared" si="380"/>
        <v>4372.5</v>
      </c>
      <c r="P339" s="22">
        <f>P342+P346</f>
        <v>5204.71</v>
      </c>
      <c r="Q339" s="22">
        <f t="shared" si="380"/>
        <v>0</v>
      </c>
      <c r="R339" s="22">
        <f t="shared" si="380"/>
        <v>0</v>
      </c>
      <c r="S339" s="22">
        <f t="shared" si="380"/>
        <v>0</v>
      </c>
      <c r="T339" s="22">
        <f t="shared" si="380"/>
        <v>0</v>
      </c>
      <c r="U339" s="22">
        <f t="shared" si="380"/>
        <v>0</v>
      </c>
      <c r="V339" s="22">
        <f t="shared" si="380"/>
        <v>0</v>
      </c>
      <c r="W339" s="22">
        <f t="shared" si="380"/>
        <v>0</v>
      </c>
      <c r="X339" s="22">
        <f t="shared" si="380"/>
        <v>0</v>
      </c>
      <c r="Y339" s="22">
        <f t="shared" si="380"/>
        <v>0</v>
      </c>
      <c r="Z339" s="22">
        <f t="shared" si="380"/>
        <v>0</v>
      </c>
      <c r="AA339" s="22">
        <f t="shared" si="380"/>
        <v>0</v>
      </c>
      <c r="AB339" s="22">
        <f>AB342</f>
        <v>0</v>
      </c>
      <c r="AC339" s="22">
        <f>AC342</f>
        <v>0</v>
      </c>
      <c r="AD339" s="22">
        <f>AD342</f>
        <v>0</v>
      </c>
      <c r="AE339" s="22">
        <f t="shared" ref="AE339:AN339" si="381">AE342+AE376+AE379+AE388+AE390</f>
        <v>0</v>
      </c>
      <c r="AF339" s="22">
        <f t="shared" si="381"/>
        <v>0</v>
      </c>
      <c r="AG339" s="22">
        <f t="shared" si="381"/>
        <v>0</v>
      </c>
      <c r="AH339" s="22">
        <f t="shared" si="381"/>
        <v>0</v>
      </c>
      <c r="AI339" s="22">
        <f t="shared" si="381"/>
        <v>0</v>
      </c>
      <c r="AJ339" s="22">
        <f t="shared" si="381"/>
        <v>2400.44</v>
      </c>
      <c r="AK339" s="22">
        <f t="shared" si="381"/>
        <v>2400.44</v>
      </c>
      <c r="AL339" s="22">
        <f t="shared" si="381"/>
        <v>0</v>
      </c>
      <c r="AM339" s="22">
        <f t="shared" si="381"/>
        <v>0</v>
      </c>
      <c r="AN339" s="22">
        <f t="shared" si="381"/>
        <v>0</v>
      </c>
      <c r="AO339" s="398"/>
    </row>
    <row r="340" spans="1:78" ht="26.25" customHeight="1" x14ac:dyDescent="0.25">
      <c r="A340" s="1333"/>
      <c r="B340" s="1338"/>
      <c r="C340" s="1339"/>
      <c r="D340" s="1339"/>
      <c r="E340" s="1339"/>
      <c r="F340" s="1339"/>
      <c r="G340" s="1339"/>
      <c r="H340" s="1340"/>
      <c r="I340" s="15" t="s">
        <v>10</v>
      </c>
      <c r="J340" s="698">
        <v>0</v>
      </c>
      <c r="K340" s="698">
        <v>0</v>
      </c>
      <c r="L340" s="16">
        <f>M340+N340+O340</f>
        <v>0</v>
      </c>
      <c r="M340" s="22">
        <v>0</v>
      </c>
      <c r="N340" s="22">
        <v>0</v>
      </c>
      <c r="O340" s="22">
        <v>0</v>
      </c>
      <c r="P340" s="22">
        <v>0</v>
      </c>
      <c r="Q340" s="22">
        <v>0</v>
      </c>
      <c r="R340" s="22">
        <v>0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>
        <v>0</v>
      </c>
      <c r="AD340" s="22">
        <v>0</v>
      </c>
      <c r="AE340" s="22">
        <v>0</v>
      </c>
      <c r="AF340" s="22">
        <v>0</v>
      </c>
      <c r="AG340" s="22">
        <v>0</v>
      </c>
      <c r="AH340" s="22">
        <v>0</v>
      </c>
      <c r="AI340" s="22">
        <v>0</v>
      </c>
      <c r="AJ340" s="22">
        <v>0</v>
      </c>
      <c r="AK340" s="22">
        <v>0</v>
      </c>
      <c r="AL340" s="22">
        <v>0</v>
      </c>
      <c r="AM340" s="22">
        <v>0</v>
      </c>
      <c r="AN340" s="22">
        <v>0</v>
      </c>
      <c r="AO340" s="398"/>
    </row>
    <row r="341" spans="1:78" ht="25.5" x14ac:dyDescent="0.25">
      <c r="A341" s="1334"/>
      <c r="B341" s="1341"/>
      <c r="C341" s="1342"/>
      <c r="D341" s="1342"/>
      <c r="E341" s="1342"/>
      <c r="F341" s="1342"/>
      <c r="G341" s="1342"/>
      <c r="H341" s="1343"/>
      <c r="I341" s="15" t="s">
        <v>9</v>
      </c>
      <c r="J341" s="698">
        <v>0</v>
      </c>
      <c r="K341" s="698">
        <v>0</v>
      </c>
      <c r="L341" s="16">
        <f>M341+N341+O341</f>
        <v>0</v>
      </c>
      <c r="M341" s="22">
        <v>0</v>
      </c>
      <c r="N341" s="22">
        <v>0</v>
      </c>
      <c r="O341" s="22">
        <v>0</v>
      </c>
      <c r="P341" s="22">
        <v>0</v>
      </c>
      <c r="Q341" s="22">
        <v>0</v>
      </c>
      <c r="R341" s="22">
        <v>0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>
        <v>0</v>
      </c>
      <c r="AD341" s="22">
        <v>0</v>
      </c>
      <c r="AE341" s="22">
        <v>0</v>
      </c>
      <c r="AF341" s="22">
        <v>0</v>
      </c>
      <c r="AG341" s="22">
        <v>0</v>
      </c>
      <c r="AH341" s="22">
        <v>0</v>
      </c>
      <c r="AI341" s="22">
        <v>0</v>
      </c>
      <c r="AJ341" s="22">
        <v>0</v>
      </c>
      <c r="AK341" s="22">
        <v>0</v>
      </c>
      <c r="AL341" s="22">
        <v>0</v>
      </c>
      <c r="AM341" s="22">
        <v>0</v>
      </c>
      <c r="AN341" s="22">
        <v>0</v>
      </c>
      <c r="AO341" s="398"/>
    </row>
    <row r="342" spans="1:78" ht="69" customHeight="1" x14ac:dyDescent="0.25">
      <c r="A342" s="1344" t="s">
        <v>389</v>
      </c>
      <c r="B342" s="84" t="s">
        <v>393</v>
      </c>
      <c r="C342" s="1347"/>
      <c r="D342" s="1350"/>
      <c r="E342" s="1350"/>
      <c r="F342" s="1353">
        <v>150000</v>
      </c>
      <c r="G342" s="1326">
        <v>2019</v>
      </c>
      <c r="H342" s="1326">
        <v>2019</v>
      </c>
      <c r="I342" s="1326" t="s">
        <v>20</v>
      </c>
      <c r="J342" s="1329">
        <v>4914.5600000000004</v>
      </c>
      <c r="K342" s="3"/>
      <c r="L342" s="79">
        <f t="shared" ref="L342:AB342" si="382">L345+L343</f>
        <v>6862.74</v>
      </c>
      <c r="M342" s="79">
        <f t="shared" si="382"/>
        <v>0</v>
      </c>
      <c r="N342" s="79">
        <f t="shared" si="382"/>
        <v>2081.9299999999998</v>
      </c>
      <c r="O342" s="79">
        <f t="shared" si="382"/>
        <v>4372.5</v>
      </c>
      <c r="P342" s="79">
        <f t="shared" si="382"/>
        <v>2400.44</v>
      </c>
      <c r="Q342" s="79">
        <f t="shared" si="382"/>
        <v>0</v>
      </c>
      <c r="R342" s="79">
        <f t="shared" si="382"/>
        <v>0</v>
      </c>
      <c r="S342" s="79">
        <f t="shared" si="382"/>
        <v>0</v>
      </c>
      <c r="T342" s="79">
        <f t="shared" si="382"/>
        <v>0</v>
      </c>
      <c r="U342" s="79">
        <f t="shared" si="382"/>
        <v>0</v>
      </c>
      <c r="V342" s="79">
        <f t="shared" si="382"/>
        <v>0</v>
      </c>
      <c r="W342" s="79">
        <f t="shared" si="382"/>
        <v>0</v>
      </c>
      <c r="X342" s="79">
        <f t="shared" si="382"/>
        <v>0</v>
      </c>
      <c r="Y342" s="79">
        <f t="shared" si="382"/>
        <v>0</v>
      </c>
      <c r="Z342" s="79">
        <f t="shared" si="382"/>
        <v>0</v>
      </c>
      <c r="AA342" s="79">
        <f t="shared" si="382"/>
        <v>0</v>
      </c>
      <c r="AB342" s="79">
        <f t="shared" si="382"/>
        <v>0</v>
      </c>
      <c r="AC342" s="79">
        <f>AC345+AC343</f>
        <v>0</v>
      </c>
      <c r="AD342" s="79">
        <f>AD345+AD343</f>
        <v>0</v>
      </c>
      <c r="AE342" s="79">
        <f t="shared" ref="AE342:AH342" si="383">AE345+AE343</f>
        <v>0</v>
      </c>
      <c r="AF342" s="79">
        <f t="shared" si="383"/>
        <v>0</v>
      </c>
      <c r="AG342" s="79">
        <f t="shared" si="383"/>
        <v>0</v>
      </c>
      <c r="AH342" s="79">
        <f t="shared" si="383"/>
        <v>0</v>
      </c>
      <c r="AI342" s="79">
        <f>AI345+AI343</f>
        <v>0</v>
      </c>
      <c r="AJ342" s="79">
        <f>P342-Q342</f>
        <v>2400.44</v>
      </c>
      <c r="AK342" s="79">
        <f>AJ342</f>
        <v>2400.44</v>
      </c>
      <c r="AL342" s="76">
        <f>ROUND((Q342*100%/P342*100),2)</f>
        <v>0</v>
      </c>
      <c r="AM342" s="79">
        <f>AM345</f>
        <v>0</v>
      </c>
      <c r="AN342" s="79">
        <f>AN345</f>
        <v>0</v>
      </c>
      <c r="AO342" s="404"/>
    </row>
    <row r="343" spans="1:78" s="285" customFormat="1" ht="19.5" customHeight="1" x14ac:dyDescent="0.25">
      <c r="A343" s="1345"/>
      <c r="B343" s="1" t="s">
        <v>15</v>
      </c>
      <c r="C343" s="1348"/>
      <c r="D343" s="1351"/>
      <c r="E343" s="1351"/>
      <c r="F343" s="1354"/>
      <c r="G343" s="1327"/>
      <c r="H343" s="1327"/>
      <c r="I343" s="1327"/>
      <c r="J343" s="1330"/>
      <c r="K343" s="47"/>
      <c r="L343" s="47">
        <v>2400.44</v>
      </c>
      <c r="M343" s="4">
        <v>0</v>
      </c>
      <c r="N343" s="4">
        <v>2081.9299999999998</v>
      </c>
      <c r="O343" s="4">
        <f t="shared" ref="O343:AN343" si="384">O344</f>
        <v>0</v>
      </c>
      <c r="P343" s="4">
        <v>2400.44</v>
      </c>
      <c r="Q343" s="4">
        <f t="shared" si="384"/>
        <v>0</v>
      </c>
      <c r="R343" s="4">
        <f t="shared" si="384"/>
        <v>0</v>
      </c>
      <c r="S343" s="4">
        <f t="shared" si="384"/>
        <v>0</v>
      </c>
      <c r="T343" s="4">
        <f t="shared" si="384"/>
        <v>0</v>
      </c>
      <c r="U343" s="4">
        <f t="shared" si="384"/>
        <v>0</v>
      </c>
      <c r="V343" s="4">
        <f t="shared" si="384"/>
        <v>0</v>
      </c>
      <c r="W343" s="4">
        <f t="shared" si="384"/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f t="shared" si="384"/>
        <v>0</v>
      </c>
      <c r="AL343" s="4">
        <f t="shared" si="384"/>
        <v>0</v>
      </c>
      <c r="AM343" s="4">
        <f t="shared" si="384"/>
        <v>0</v>
      </c>
      <c r="AN343" s="4">
        <f t="shared" si="384"/>
        <v>0</v>
      </c>
      <c r="AO343" s="837"/>
    </row>
    <row r="344" spans="1:78" s="266" customFormat="1" hidden="1" x14ac:dyDescent="0.25">
      <c r="A344" s="1345"/>
      <c r="B344" s="92" t="s">
        <v>250</v>
      </c>
      <c r="C344" s="1348"/>
      <c r="D344" s="1351"/>
      <c r="E344" s="1351"/>
      <c r="F344" s="1354"/>
      <c r="G344" s="1327"/>
      <c r="H344" s="1327"/>
      <c r="I344" s="1327"/>
      <c r="J344" s="1330"/>
      <c r="K344" s="95"/>
      <c r="L344" s="47">
        <f>SUM(M344:O344)</f>
        <v>0</v>
      </c>
      <c r="M344" s="268">
        <v>0</v>
      </c>
      <c r="N344" s="263"/>
      <c r="O344" s="263"/>
      <c r="P344" s="50">
        <f>R344+T344</f>
        <v>0</v>
      </c>
      <c r="Q344" s="263">
        <f>Y344</f>
        <v>0</v>
      </c>
      <c r="R344" s="263">
        <f>S344</f>
        <v>0</v>
      </c>
      <c r="S344" s="263">
        <v>0</v>
      </c>
      <c r="T344" s="263">
        <v>0</v>
      </c>
      <c r="U344" s="263">
        <v>0</v>
      </c>
      <c r="V344" s="263">
        <v>0</v>
      </c>
      <c r="W344" s="263">
        <v>0</v>
      </c>
      <c r="X344" s="263">
        <f>Y344</f>
        <v>0</v>
      </c>
      <c r="Y344" s="263">
        <v>0</v>
      </c>
      <c r="Z344" s="263">
        <f>AD344</f>
        <v>0</v>
      </c>
      <c r="AA344" s="263">
        <v>0</v>
      </c>
      <c r="AB344" s="263">
        <v>0</v>
      </c>
      <c r="AC344" s="263"/>
      <c r="AD344" s="263">
        <v>0</v>
      </c>
      <c r="AE344" s="263"/>
      <c r="AF344" s="263"/>
      <c r="AG344" s="263"/>
      <c r="AH344" s="263"/>
      <c r="AI344" s="263"/>
      <c r="AJ344" s="263"/>
      <c r="AK344" s="263"/>
      <c r="AL344" s="263"/>
      <c r="AM344" s="263"/>
      <c r="AN344" s="263"/>
      <c r="AO344" s="413"/>
    </row>
    <row r="345" spans="1:78" ht="18" customHeight="1" x14ac:dyDescent="0.25">
      <c r="A345" s="1346"/>
      <c r="B345" s="575" t="s">
        <v>16</v>
      </c>
      <c r="C345" s="1356"/>
      <c r="D345" s="1356"/>
      <c r="E345" s="1351"/>
      <c r="F345" s="1357"/>
      <c r="G345" s="1327"/>
      <c r="H345" s="1327"/>
      <c r="I345" s="1327"/>
      <c r="J345" s="1331"/>
      <c r="K345" s="47">
        <v>0</v>
      </c>
      <c r="L345" s="47">
        <v>4462.3</v>
      </c>
      <c r="M345" s="4">
        <v>0</v>
      </c>
      <c r="N345" s="4">
        <v>0</v>
      </c>
      <c r="O345" s="4">
        <v>4372.5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837"/>
    </row>
    <row r="346" spans="1:78" ht="54.75" customHeight="1" x14ac:dyDescent="0.25">
      <c r="A346" s="1344" t="s">
        <v>390</v>
      </c>
      <c r="B346" s="84" t="s">
        <v>394</v>
      </c>
      <c r="C346" s="1347"/>
      <c r="D346" s="1350"/>
      <c r="E346" s="1350"/>
      <c r="F346" s="1353">
        <v>150000</v>
      </c>
      <c r="G346" s="1326">
        <v>2019</v>
      </c>
      <c r="H346" s="1326">
        <v>2019</v>
      </c>
      <c r="I346" s="1326" t="s">
        <v>20</v>
      </c>
      <c r="J346" s="1329">
        <v>4914.5600000000004</v>
      </c>
      <c r="K346" s="3"/>
      <c r="L346" s="79">
        <f t="shared" ref="L346:AB346" si="385">L349+L347</f>
        <v>13855.640000000001</v>
      </c>
      <c r="M346" s="79">
        <f t="shared" si="385"/>
        <v>0</v>
      </c>
      <c r="N346" s="79">
        <f t="shared" si="385"/>
        <v>2081.9299999999998</v>
      </c>
      <c r="O346" s="79">
        <f t="shared" si="385"/>
        <v>4372.5</v>
      </c>
      <c r="P346" s="79">
        <f t="shared" si="385"/>
        <v>2804.27</v>
      </c>
      <c r="Q346" s="79">
        <f t="shared" si="385"/>
        <v>0</v>
      </c>
      <c r="R346" s="79">
        <f t="shared" si="385"/>
        <v>0</v>
      </c>
      <c r="S346" s="79">
        <f t="shared" si="385"/>
        <v>0</v>
      </c>
      <c r="T346" s="79">
        <f t="shared" si="385"/>
        <v>0</v>
      </c>
      <c r="U346" s="79">
        <f t="shared" si="385"/>
        <v>0</v>
      </c>
      <c r="V346" s="79">
        <f t="shared" si="385"/>
        <v>0</v>
      </c>
      <c r="W346" s="79">
        <f t="shared" si="385"/>
        <v>0</v>
      </c>
      <c r="X346" s="79">
        <f t="shared" si="385"/>
        <v>0</v>
      </c>
      <c r="Y346" s="79">
        <f t="shared" si="385"/>
        <v>0</v>
      </c>
      <c r="Z346" s="79">
        <f t="shared" si="385"/>
        <v>0</v>
      </c>
      <c r="AA346" s="79">
        <f t="shared" si="385"/>
        <v>0</v>
      </c>
      <c r="AB346" s="79">
        <f t="shared" si="385"/>
        <v>0</v>
      </c>
      <c r="AC346" s="79">
        <f>AC349+AC347</f>
        <v>0</v>
      </c>
      <c r="AD346" s="79">
        <f>AD349+AD347</f>
        <v>0</v>
      </c>
      <c r="AE346" s="79">
        <f t="shared" ref="AE346:AH346" si="386">AE349+AE347</f>
        <v>0</v>
      </c>
      <c r="AF346" s="79">
        <f t="shared" si="386"/>
        <v>0</v>
      </c>
      <c r="AG346" s="79">
        <f t="shared" si="386"/>
        <v>0</v>
      </c>
      <c r="AH346" s="79">
        <f t="shared" si="386"/>
        <v>0</v>
      </c>
      <c r="AI346" s="79">
        <f>AI349+AI347</f>
        <v>0</v>
      </c>
      <c r="AJ346" s="79">
        <f>P346-Q346</f>
        <v>2804.27</v>
      </c>
      <c r="AK346" s="79">
        <f>AJ346</f>
        <v>2804.27</v>
      </c>
      <c r="AL346" s="76">
        <f>ROUND((Q346*100%/P346*100),2)</f>
        <v>0</v>
      </c>
      <c r="AM346" s="79">
        <f>AM349</f>
        <v>0</v>
      </c>
      <c r="AN346" s="79">
        <f>AN349</f>
        <v>0</v>
      </c>
      <c r="AO346" s="404"/>
    </row>
    <row r="347" spans="1:78" s="285" customFormat="1" ht="19.5" customHeight="1" x14ac:dyDescent="0.25">
      <c r="A347" s="1345"/>
      <c r="B347" s="1" t="s">
        <v>15</v>
      </c>
      <c r="C347" s="1348"/>
      <c r="D347" s="1351"/>
      <c r="E347" s="1351"/>
      <c r="F347" s="1354"/>
      <c r="G347" s="1327"/>
      <c r="H347" s="1327"/>
      <c r="I347" s="1327"/>
      <c r="J347" s="1330"/>
      <c r="K347" s="47"/>
      <c r="L347" s="47">
        <v>2804.27</v>
      </c>
      <c r="M347" s="4">
        <v>0</v>
      </c>
      <c r="N347" s="4">
        <v>2081.9299999999998</v>
      </c>
      <c r="O347" s="4">
        <f t="shared" ref="O347:AN347" si="387">O348</f>
        <v>0</v>
      </c>
      <c r="P347" s="4">
        <v>2804.27</v>
      </c>
      <c r="Q347" s="4">
        <f t="shared" si="387"/>
        <v>0</v>
      </c>
      <c r="R347" s="4">
        <f t="shared" si="387"/>
        <v>0</v>
      </c>
      <c r="S347" s="4">
        <f t="shared" si="387"/>
        <v>0</v>
      </c>
      <c r="T347" s="4">
        <f t="shared" si="387"/>
        <v>0</v>
      </c>
      <c r="U347" s="4">
        <f t="shared" si="387"/>
        <v>0</v>
      </c>
      <c r="V347" s="4">
        <f t="shared" si="387"/>
        <v>0</v>
      </c>
      <c r="W347" s="4">
        <f t="shared" si="387"/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f t="shared" si="387"/>
        <v>0</v>
      </c>
      <c r="AL347" s="4">
        <f t="shared" si="387"/>
        <v>0</v>
      </c>
      <c r="AM347" s="4">
        <f t="shared" si="387"/>
        <v>0</v>
      </c>
      <c r="AN347" s="4">
        <f t="shared" si="387"/>
        <v>0</v>
      </c>
      <c r="AO347" s="837"/>
    </row>
    <row r="348" spans="1:78" s="266" customFormat="1" hidden="1" x14ac:dyDescent="0.25">
      <c r="A348" s="1345"/>
      <c r="B348" s="92" t="s">
        <v>250</v>
      </c>
      <c r="C348" s="1348"/>
      <c r="D348" s="1351"/>
      <c r="E348" s="1351"/>
      <c r="F348" s="1354"/>
      <c r="G348" s="1327"/>
      <c r="H348" s="1327"/>
      <c r="I348" s="1327"/>
      <c r="J348" s="1330"/>
      <c r="K348" s="95"/>
      <c r="L348" s="47">
        <f>SUM(M348:O348)</f>
        <v>0</v>
      </c>
      <c r="M348" s="268">
        <v>0</v>
      </c>
      <c r="N348" s="263"/>
      <c r="O348" s="263"/>
      <c r="P348" s="50">
        <f>R348+T348</f>
        <v>0</v>
      </c>
      <c r="Q348" s="263">
        <f>Y348</f>
        <v>0</v>
      </c>
      <c r="R348" s="263">
        <f>S348</f>
        <v>0</v>
      </c>
      <c r="S348" s="263">
        <v>0</v>
      </c>
      <c r="T348" s="263">
        <v>0</v>
      </c>
      <c r="U348" s="263">
        <v>0</v>
      </c>
      <c r="V348" s="263">
        <v>0</v>
      </c>
      <c r="W348" s="263">
        <v>0</v>
      </c>
      <c r="X348" s="263">
        <f>Y348</f>
        <v>0</v>
      </c>
      <c r="Y348" s="263">
        <v>0</v>
      </c>
      <c r="Z348" s="263">
        <f>AD348</f>
        <v>0</v>
      </c>
      <c r="AA348" s="263">
        <v>0</v>
      </c>
      <c r="AB348" s="263">
        <v>0</v>
      </c>
      <c r="AC348" s="263"/>
      <c r="AD348" s="263">
        <v>0</v>
      </c>
      <c r="AE348" s="263"/>
      <c r="AF348" s="263"/>
      <c r="AG348" s="263"/>
      <c r="AH348" s="263"/>
      <c r="AI348" s="263"/>
      <c r="AJ348" s="263"/>
      <c r="AK348" s="263"/>
      <c r="AL348" s="263"/>
      <c r="AM348" s="263"/>
      <c r="AN348" s="263"/>
      <c r="AO348" s="413"/>
    </row>
    <row r="349" spans="1:78" ht="18" customHeight="1" x14ac:dyDescent="0.25">
      <c r="A349" s="1346"/>
      <c r="B349" s="575" t="s">
        <v>16</v>
      </c>
      <c r="C349" s="1356"/>
      <c r="D349" s="1356"/>
      <c r="E349" s="1351"/>
      <c r="F349" s="1357"/>
      <c r="G349" s="1327"/>
      <c r="H349" s="1327"/>
      <c r="I349" s="1327"/>
      <c r="J349" s="1331"/>
      <c r="K349" s="47">
        <v>0</v>
      </c>
      <c r="L349" s="47">
        <v>11051.37</v>
      </c>
      <c r="M349" s="4">
        <v>0</v>
      </c>
      <c r="N349" s="4">
        <v>0</v>
      </c>
      <c r="O349" s="4">
        <v>4372.5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837"/>
    </row>
    <row r="350" spans="1:78" ht="54" customHeight="1" x14ac:dyDescent="0.25">
      <c r="A350" s="1332" t="s">
        <v>145</v>
      </c>
      <c r="B350" s="1335" t="s">
        <v>395</v>
      </c>
      <c r="C350" s="1336"/>
      <c r="D350" s="1336"/>
      <c r="E350" s="1336"/>
      <c r="F350" s="1336"/>
      <c r="G350" s="1336"/>
      <c r="H350" s="1337"/>
      <c r="I350" s="15" t="s">
        <v>19</v>
      </c>
      <c r="J350" s="698">
        <v>0</v>
      </c>
      <c r="K350" s="698">
        <v>0</v>
      </c>
      <c r="L350" s="16">
        <f>M350+N350+O350</f>
        <v>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>
        <v>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>
        <v>0</v>
      </c>
      <c r="AD350" s="22">
        <v>0</v>
      </c>
      <c r="AE350" s="22">
        <v>0</v>
      </c>
      <c r="AF350" s="22">
        <v>0</v>
      </c>
      <c r="AG350" s="22">
        <v>0</v>
      </c>
      <c r="AH350" s="22">
        <v>0</v>
      </c>
      <c r="AI350" s="22">
        <v>0</v>
      </c>
      <c r="AJ350" s="22">
        <v>0</v>
      </c>
      <c r="AK350" s="22">
        <v>0</v>
      </c>
      <c r="AL350" s="22">
        <v>0</v>
      </c>
      <c r="AM350" s="22">
        <v>0</v>
      </c>
      <c r="AN350" s="22">
        <v>0</v>
      </c>
      <c r="AO350" s="398"/>
    </row>
    <row r="351" spans="1:78" ht="39.75" customHeight="1" x14ac:dyDescent="0.25">
      <c r="A351" s="1333"/>
      <c r="B351" s="1338"/>
      <c r="C351" s="1339"/>
      <c r="D351" s="1339"/>
      <c r="E351" s="1339"/>
      <c r="F351" s="1339"/>
      <c r="G351" s="1339"/>
      <c r="H351" s="1340"/>
      <c r="I351" s="15" t="s">
        <v>20</v>
      </c>
      <c r="J351" s="698">
        <f>K351+L351</f>
        <v>1281.26</v>
      </c>
      <c r="K351" s="698">
        <f>K354+K388+K391+K400</f>
        <v>0</v>
      </c>
      <c r="L351" s="16">
        <f>L354+L358</f>
        <v>1281.26</v>
      </c>
      <c r="M351" s="22">
        <f t="shared" ref="M351:AA351" si="388">M354</f>
        <v>0</v>
      </c>
      <c r="N351" s="22">
        <f t="shared" si="388"/>
        <v>2081.9299999999998</v>
      </c>
      <c r="O351" s="22">
        <f t="shared" si="388"/>
        <v>4372.5</v>
      </c>
      <c r="P351" s="22">
        <f t="shared" si="388"/>
        <v>377.92</v>
      </c>
      <c r="Q351" s="22">
        <f t="shared" si="388"/>
        <v>0</v>
      </c>
      <c r="R351" s="22">
        <f t="shared" si="388"/>
        <v>0</v>
      </c>
      <c r="S351" s="22">
        <f t="shared" si="388"/>
        <v>0</v>
      </c>
      <c r="T351" s="22">
        <f t="shared" si="388"/>
        <v>0</v>
      </c>
      <c r="U351" s="22">
        <f t="shared" si="388"/>
        <v>0</v>
      </c>
      <c r="V351" s="22">
        <f t="shared" si="388"/>
        <v>0</v>
      </c>
      <c r="W351" s="22">
        <f t="shared" si="388"/>
        <v>0</v>
      </c>
      <c r="X351" s="22">
        <f t="shared" si="388"/>
        <v>0</v>
      </c>
      <c r="Y351" s="22">
        <f t="shared" si="388"/>
        <v>0</v>
      </c>
      <c r="Z351" s="22">
        <f t="shared" si="388"/>
        <v>0</v>
      </c>
      <c r="AA351" s="22">
        <f t="shared" si="388"/>
        <v>0</v>
      </c>
      <c r="AB351" s="22">
        <f>AB354</f>
        <v>0</v>
      </c>
      <c r="AC351" s="22">
        <f>AC354</f>
        <v>0</v>
      </c>
      <c r="AD351" s="22">
        <f>AD354</f>
        <v>0</v>
      </c>
      <c r="AE351" s="22">
        <f t="shared" ref="AE351:AN351" si="389">AE354+AE388+AE391+AE400+AE402</f>
        <v>0</v>
      </c>
      <c r="AF351" s="22">
        <f t="shared" si="389"/>
        <v>0</v>
      </c>
      <c r="AG351" s="22">
        <f t="shared" si="389"/>
        <v>0</v>
      </c>
      <c r="AH351" s="22">
        <f t="shared" si="389"/>
        <v>0</v>
      </c>
      <c r="AI351" s="22">
        <f t="shared" si="389"/>
        <v>0</v>
      </c>
      <c r="AJ351" s="22">
        <f t="shared" si="389"/>
        <v>377.92</v>
      </c>
      <c r="AK351" s="22">
        <f t="shared" si="389"/>
        <v>377.92</v>
      </c>
      <c r="AL351" s="22">
        <f t="shared" si="389"/>
        <v>0</v>
      </c>
      <c r="AM351" s="22">
        <f t="shared" si="389"/>
        <v>0</v>
      </c>
      <c r="AN351" s="22">
        <f t="shared" si="389"/>
        <v>0</v>
      </c>
      <c r="AO351" s="398"/>
    </row>
    <row r="352" spans="1:78" ht="26.25" customHeight="1" x14ac:dyDescent="0.25">
      <c r="A352" s="1333"/>
      <c r="B352" s="1338"/>
      <c r="C352" s="1339"/>
      <c r="D352" s="1339"/>
      <c r="E352" s="1339"/>
      <c r="F352" s="1339"/>
      <c r="G352" s="1339"/>
      <c r="H352" s="1340"/>
      <c r="I352" s="15" t="s">
        <v>10</v>
      </c>
      <c r="J352" s="698">
        <v>0</v>
      </c>
      <c r="K352" s="698">
        <v>0</v>
      </c>
      <c r="L352" s="16">
        <f>M352+N352+O352</f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>
        <v>0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398"/>
    </row>
    <row r="353" spans="1:41" ht="25.5" x14ac:dyDescent="0.25">
      <c r="A353" s="1334"/>
      <c r="B353" s="1341"/>
      <c r="C353" s="1342"/>
      <c r="D353" s="1342"/>
      <c r="E353" s="1342"/>
      <c r="F353" s="1342"/>
      <c r="G353" s="1342"/>
      <c r="H353" s="1343"/>
      <c r="I353" s="15" t="s">
        <v>9</v>
      </c>
      <c r="J353" s="698">
        <v>0</v>
      </c>
      <c r="K353" s="698">
        <v>0</v>
      </c>
      <c r="L353" s="16">
        <f>M353+N353+O353</f>
        <v>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>
        <v>0</v>
      </c>
      <c r="AD353" s="22">
        <v>0</v>
      </c>
      <c r="AE353" s="22">
        <v>0</v>
      </c>
      <c r="AF353" s="22">
        <v>0</v>
      </c>
      <c r="AG353" s="22">
        <v>0</v>
      </c>
      <c r="AH353" s="22">
        <v>0</v>
      </c>
      <c r="AI353" s="22">
        <v>0</v>
      </c>
      <c r="AJ353" s="22">
        <v>0</v>
      </c>
      <c r="AK353" s="22">
        <v>0</v>
      </c>
      <c r="AL353" s="22">
        <v>0</v>
      </c>
      <c r="AM353" s="22">
        <v>0</v>
      </c>
      <c r="AN353" s="22">
        <v>0</v>
      </c>
      <c r="AO353" s="398"/>
    </row>
    <row r="354" spans="1:41" ht="43.5" customHeight="1" x14ac:dyDescent="0.25">
      <c r="A354" s="1344" t="s">
        <v>391</v>
      </c>
      <c r="B354" s="84" t="s">
        <v>396</v>
      </c>
      <c r="C354" s="1347"/>
      <c r="D354" s="1350"/>
      <c r="E354" s="1350"/>
      <c r="F354" s="1353">
        <v>150000</v>
      </c>
      <c r="G354" s="1326">
        <v>2019</v>
      </c>
      <c r="H354" s="1326">
        <v>2019</v>
      </c>
      <c r="I354" s="1326" t="s">
        <v>20</v>
      </c>
      <c r="J354" s="1329">
        <v>4914.5600000000004</v>
      </c>
      <c r="K354" s="3"/>
      <c r="L354" s="79">
        <f t="shared" ref="L354:AB354" si="390">L357+L355</f>
        <v>1281.26</v>
      </c>
      <c r="M354" s="79">
        <f t="shared" si="390"/>
        <v>0</v>
      </c>
      <c r="N354" s="79">
        <f t="shared" si="390"/>
        <v>2081.9299999999998</v>
      </c>
      <c r="O354" s="79">
        <f t="shared" si="390"/>
        <v>4372.5</v>
      </c>
      <c r="P354" s="79">
        <f t="shared" si="390"/>
        <v>377.92</v>
      </c>
      <c r="Q354" s="79">
        <f t="shared" si="390"/>
        <v>0</v>
      </c>
      <c r="R354" s="79">
        <f t="shared" si="390"/>
        <v>0</v>
      </c>
      <c r="S354" s="79">
        <f t="shared" si="390"/>
        <v>0</v>
      </c>
      <c r="T354" s="79">
        <f t="shared" si="390"/>
        <v>0</v>
      </c>
      <c r="U354" s="79">
        <f t="shared" si="390"/>
        <v>0</v>
      </c>
      <c r="V354" s="79">
        <f t="shared" si="390"/>
        <v>0</v>
      </c>
      <c r="W354" s="79">
        <f t="shared" si="390"/>
        <v>0</v>
      </c>
      <c r="X354" s="79">
        <f t="shared" si="390"/>
        <v>0</v>
      </c>
      <c r="Y354" s="79">
        <f t="shared" si="390"/>
        <v>0</v>
      </c>
      <c r="Z354" s="79">
        <f t="shared" si="390"/>
        <v>0</v>
      </c>
      <c r="AA354" s="79">
        <f t="shared" si="390"/>
        <v>0</v>
      </c>
      <c r="AB354" s="79">
        <f t="shared" si="390"/>
        <v>0</v>
      </c>
      <c r="AC354" s="79">
        <f>AC357+AC355</f>
        <v>0</v>
      </c>
      <c r="AD354" s="79">
        <f>AD357+AD355</f>
        <v>0</v>
      </c>
      <c r="AE354" s="79">
        <f t="shared" ref="AE354:AH354" si="391">AE357+AE355</f>
        <v>0</v>
      </c>
      <c r="AF354" s="79">
        <f t="shared" si="391"/>
        <v>0</v>
      </c>
      <c r="AG354" s="79">
        <f t="shared" si="391"/>
        <v>0</v>
      </c>
      <c r="AH354" s="79">
        <f t="shared" si="391"/>
        <v>0</v>
      </c>
      <c r="AI354" s="79">
        <f>AI357+AI355</f>
        <v>0</v>
      </c>
      <c r="AJ354" s="79">
        <f>P354-Q354</f>
        <v>377.92</v>
      </c>
      <c r="AK354" s="79">
        <f>AJ354</f>
        <v>377.92</v>
      </c>
      <c r="AL354" s="76">
        <f>ROUND((Q354*100%/P354*100),2)</f>
        <v>0</v>
      </c>
      <c r="AM354" s="79">
        <f>AM357</f>
        <v>0</v>
      </c>
      <c r="AN354" s="79">
        <f>AN357</f>
        <v>0</v>
      </c>
      <c r="AO354" s="404"/>
    </row>
    <row r="355" spans="1:41" s="285" customFormat="1" ht="19.5" customHeight="1" x14ac:dyDescent="0.25">
      <c r="A355" s="1345"/>
      <c r="B355" s="1" t="s">
        <v>15</v>
      </c>
      <c r="C355" s="1348"/>
      <c r="D355" s="1351"/>
      <c r="E355" s="1351"/>
      <c r="F355" s="1354"/>
      <c r="G355" s="1327"/>
      <c r="H355" s="1327"/>
      <c r="I355" s="1327"/>
      <c r="J355" s="1330"/>
      <c r="K355" s="47"/>
      <c r="L355" s="47">
        <v>377.92</v>
      </c>
      <c r="M355" s="4">
        <v>0</v>
      </c>
      <c r="N355" s="4">
        <v>2081.9299999999998</v>
      </c>
      <c r="O355" s="4">
        <f t="shared" ref="O355:AN355" si="392">O356</f>
        <v>0</v>
      </c>
      <c r="P355" s="4">
        <v>377.92</v>
      </c>
      <c r="Q355" s="4">
        <f t="shared" si="392"/>
        <v>0</v>
      </c>
      <c r="R355" s="4">
        <f t="shared" si="392"/>
        <v>0</v>
      </c>
      <c r="S355" s="4">
        <f t="shared" si="392"/>
        <v>0</v>
      </c>
      <c r="T355" s="4">
        <f t="shared" si="392"/>
        <v>0</v>
      </c>
      <c r="U355" s="4">
        <f t="shared" si="392"/>
        <v>0</v>
      </c>
      <c r="V355" s="4">
        <f t="shared" si="392"/>
        <v>0</v>
      </c>
      <c r="W355" s="4">
        <f t="shared" si="392"/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f t="shared" si="392"/>
        <v>0</v>
      </c>
      <c r="AL355" s="4">
        <f t="shared" si="392"/>
        <v>0</v>
      </c>
      <c r="AM355" s="4">
        <f t="shared" si="392"/>
        <v>0</v>
      </c>
      <c r="AN355" s="4">
        <f t="shared" si="392"/>
        <v>0</v>
      </c>
      <c r="AO355" s="837"/>
    </row>
    <row r="356" spans="1:41" s="266" customFormat="1" hidden="1" x14ac:dyDescent="0.25">
      <c r="A356" s="1345"/>
      <c r="B356" s="92" t="s">
        <v>250</v>
      </c>
      <c r="C356" s="1348"/>
      <c r="D356" s="1351"/>
      <c r="E356" s="1351"/>
      <c r="F356" s="1354"/>
      <c r="G356" s="1327"/>
      <c r="H356" s="1327"/>
      <c r="I356" s="1327"/>
      <c r="J356" s="1330"/>
      <c r="K356" s="95"/>
      <c r="L356" s="47">
        <f>SUM(M356:O356)</f>
        <v>0</v>
      </c>
      <c r="M356" s="268">
        <v>0</v>
      </c>
      <c r="N356" s="263"/>
      <c r="O356" s="263"/>
      <c r="P356" s="50">
        <f>R356+T356</f>
        <v>0</v>
      </c>
      <c r="Q356" s="263">
        <f>Y356</f>
        <v>0</v>
      </c>
      <c r="R356" s="263">
        <f>S356</f>
        <v>0</v>
      </c>
      <c r="S356" s="263">
        <v>0</v>
      </c>
      <c r="T356" s="263">
        <v>0</v>
      </c>
      <c r="U356" s="263">
        <v>0</v>
      </c>
      <c r="V356" s="263">
        <v>0</v>
      </c>
      <c r="W356" s="263">
        <v>0</v>
      </c>
      <c r="X356" s="263">
        <f>Y356</f>
        <v>0</v>
      </c>
      <c r="Y356" s="263">
        <v>0</v>
      </c>
      <c r="Z356" s="263">
        <f>AD356</f>
        <v>0</v>
      </c>
      <c r="AA356" s="263">
        <v>0</v>
      </c>
      <c r="AB356" s="263">
        <v>0</v>
      </c>
      <c r="AC356" s="263"/>
      <c r="AD356" s="263">
        <v>0</v>
      </c>
      <c r="AE356" s="263"/>
      <c r="AF356" s="263"/>
      <c r="AG356" s="263"/>
      <c r="AH356" s="263"/>
      <c r="AI356" s="263"/>
      <c r="AJ356" s="263"/>
      <c r="AK356" s="263"/>
      <c r="AL356" s="263"/>
      <c r="AM356" s="263"/>
      <c r="AN356" s="263"/>
      <c r="AO356" s="413"/>
    </row>
    <row r="357" spans="1:41" ht="18" customHeight="1" x14ac:dyDescent="0.25">
      <c r="A357" s="1346"/>
      <c r="B357" s="700" t="s">
        <v>16</v>
      </c>
      <c r="C357" s="1349"/>
      <c r="D357" s="1349"/>
      <c r="E357" s="1352"/>
      <c r="F357" s="1355"/>
      <c r="G357" s="1328"/>
      <c r="H357" s="1328"/>
      <c r="I357" s="1328"/>
      <c r="J357" s="1331"/>
      <c r="K357" s="47">
        <v>0</v>
      </c>
      <c r="L357" s="47">
        <v>903.34</v>
      </c>
      <c r="M357" s="47">
        <v>0</v>
      </c>
      <c r="N357" s="47">
        <v>0</v>
      </c>
      <c r="O357" s="47">
        <v>4372.5</v>
      </c>
      <c r="P357" s="47">
        <v>0</v>
      </c>
      <c r="Q357" s="47">
        <v>0</v>
      </c>
      <c r="R357" s="47">
        <v>0</v>
      </c>
      <c r="S357" s="47">
        <v>0</v>
      </c>
      <c r="T357" s="47">
        <v>0</v>
      </c>
      <c r="U357" s="47">
        <v>0</v>
      </c>
      <c r="V357" s="47">
        <v>0</v>
      </c>
      <c r="W357" s="47">
        <v>0</v>
      </c>
      <c r="X357" s="47">
        <v>0</v>
      </c>
      <c r="Y357" s="47">
        <v>0</v>
      </c>
      <c r="Z357" s="47">
        <v>0</v>
      </c>
      <c r="AA357" s="47">
        <v>0</v>
      </c>
      <c r="AB357" s="47">
        <v>0</v>
      </c>
      <c r="AC357" s="47">
        <v>0</v>
      </c>
      <c r="AD357" s="47">
        <v>0</v>
      </c>
      <c r="AE357" s="47">
        <v>0</v>
      </c>
      <c r="AF357" s="47">
        <v>0</v>
      </c>
      <c r="AG357" s="47">
        <v>0</v>
      </c>
      <c r="AH357" s="47">
        <v>0</v>
      </c>
      <c r="AI357" s="47">
        <v>0</v>
      </c>
      <c r="AJ357" s="47">
        <v>0</v>
      </c>
      <c r="AK357" s="47">
        <v>0</v>
      </c>
      <c r="AL357" s="47">
        <v>0</v>
      </c>
      <c r="AM357" s="47">
        <v>0</v>
      </c>
      <c r="AN357" s="47">
        <v>0</v>
      </c>
      <c r="AO357" s="397"/>
    </row>
    <row r="358" spans="1:41" ht="15.75" x14ac:dyDescent="0.25"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29"/>
      <c r="M358" s="108"/>
      <c r="N358" s="108"/>
      <c r="O358" s="108"/>
      <c r="P358" s="129"/>
      <c r="Q358" s="108"/>
      <c r="R358" s="129"/>
      <c r="S358" s="129"/>
      <c r="T358" s="108"/>
      <c r="U358" s="108"/>
      <c r="V358" s="108"/>
      <c r="W358" s="108"/>
    </row>
    <row r="359" spans="1:41" ht="15.75" x14ac:dyDescent="0.25"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29"/>
      <c r="M359" s="108"/>
      <c r="N359" s="108"/>
      <c r="O359" s="108"/>
      <c r="P359" s="129"/>
      <c r="Q359" s="108"/>
      <c r="R359" s="129"/>
      <c r="S359" s="129"/>
      <c r="T359" s="108"/>
      <c r="U359" s="108"/>
      <c r="V359" s="108"/>
      <c r="W359" s="108"/>
    </row>
    <row r="360" spans="1:41" ht="15.75" x14ac:dyDescent="0.25">
      <c r="B360" s="108" t="s">
        <v>96</v>
      </c>
      <c r="C360" s="108"/>
      <c r="D360" s="108"/>
      <c r="E360" s="108"/>
      <c r="F360" s="108"/>
      <c r="G360" s="108"/>
      <c r="H360" s="108"/>
      <c r="I360" s="108"/>
      <c r="J360" s="108"/>
      <c r="K360" s="108"/>
      <c r="L360" s="129"/>
      <c r="M360" s="108"/>
      <c r="N360" s="108"/>
      <c r="O360" s="108"/>
      <c r="Q360" s="129" t="s">
        <v>97</v>
      </c>
      <c r="R360" s="129"/>
      <c r="S360" s="129"/>
      <c r="T360" s="108"/>
      <c r="U360" s="108"/>
      <c r="V360" s="108"/>
      <c r="W360" s="108"/>
    </row>
    <row r="361" spans="1:41" ht="15.75" x14ac:dyDescent="0.25"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29"/>
      <c r="M361" s="108"/>
      <c r="N361" s="108"/>
      <c r="O361" s="108"/>
      <c r="P361" s="129"/>
      <c r="Q361" s="108"/>
      <c r="R361" s="129"/>
      <c r="S361" s="129"/>
      <c r="T361" s="108"/>
      <c r="U361" s="108"/>
      <c r="V361" s="108"/>
      <c r="W361" s="108"/>
    </row>
    <row r="362" spans="1:41" ht="15.75" x14ac:dyDescent="0.25">
      <c r="B362" s="108" t="s">
        <v>328</v>
      </c>
      <c r="C362" s="108"/>
      <c r="D362" s="108"/>
      <c r="E362" s="108"/>
      <c r="F362" s="108"/>
      <c r="G362" s="108"/>
      <c r="H362" s="108"/>
      <c r="I362" s="108"/>
      <c r="J362" s="108"/>
      <c r="K362" s="108"/>
      <c r="L362" s="129"/>
      <c r="M362" s="108"/>
      <c r="N362" s="108"/>
      <c r="O362" s="108"/>
      <c r="Q362" s="129"/>
      <c r="R362" s="129"/>
      <c r="S362" s="129"/>
      <c r="T362" s="108"/>
      <c r="U362" s="108"/>
      <c r="V362" s="108"/>
      <c r="W362" s="108"/>
    </row>
    <row r="363" spans="1:41" ht="15.75" x14ac:dyDescent="0.25">
      <c r="B363" s="108" t="s">
        <v>329</v>
      </c>
      <c r="C363" s="108"/>
      <c r="D363" s="108"/>
      <c r="E363" s="108"/>
      <c r="F363" s="108"/>
      <c r="G363" s="108"/>
      <c r="H363" s="108"/>
      <c r="I363" s="108"/>
      <c r="J363" s="108"/>
      <c r="K363" s="108"/>
      <c r="L363" s="129"/>
      <c r="M363" s="108"/>
      <c r="N363" s="108"/>
      <c r="O363" s="108"/>
      <c r="Q363" s="129" t="s">
        <v>95</v>
      </c>
      <c r="R363" s="129"/>
      <c r="S363" s="129"/>
      <c r="T363" s="108"/>
      <c r="U363" s="108"/>
      <c r="V363" s="108"/>
      <c r="W363" s="108"/>
    </row>
    <row r="364" spans="1:41" ht="15.75" x14ac:dyDescent="0.25"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29"/>
      <c r="M364" s="108"/>
      <c r="N364" s="108"/>
      <c r="O364" s="108"/>
      <c r="P364" s="129"/>
      <c r="Q364" s="108"/>
      <c r="R364" s="129"/>
      <c r="S364" s="129"/>
      <c r="T364" s="108"/>
      <c r="U364" s="108"/>
      <c r="V364" s="108"/>
      <c r="W364" s="108"/>
    </row>
    <row r="366" spans="1:41" ht="15.75" x14ac:dyDescent="0.25">
      <c r="B366" s="108" t="s">
        <v>100</v>
      </c>
      <c r="C366" s="108"/>
      <c r="D366" s="108"/>
      <c r="E366" s="108"/>
      <c r="F366" s="108"/>
      <c r="G366" s="108"/>
      <c r="H366" s="108"/>
      <c r="I366" s="108"/>
      <c r="J366" s="108"/>
      <c r="K366" s="108"/>
      <c r="L366" s="129"/>
      <c r="M366" s="108"/>
      <c r="N366" s="108"/>
      <c r="O366" s="108"/>
      <c r="Q366" s="129" t="s">
        <v>101</v>
      </c>
      <c r="R366" s="129"/>
      <c r="S366" s="129"/>
      <c r="T366" s="108"/>
      <c r="U366" s="108"/>
      <c r="V366" s="108"/>
      <c r="W366" s="108"/>
    </row>
    <row r="367" spans="1:41" ht="15.75" x14ac:dyDescent="0.25"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29"/>
      <c r="M367" s="108"/>
      <c r="N367" s="108"/>
      <c r="O367" s="108"/>
      <c r="P367" s="129"/>
      <c r="Q367" s="108"/>
      <c r="R367" s="129"/>
      <c r="S367" s="129"/>
      <c r="T367" s="108"/>
      <c r="U367" s="108"/>
      <c r="V367" s="108"/>
      <c r="W367" s="108"/>
    </row>
    <row r="368" spans="1:41" ht="15.75" x14ac:dyDescent="0.25"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29"/>
      <c r="M368" s="108"/>
      <c r="N368" s="108"/>
      <c r="O368" s="108"/>
      <c r="Q368" s="129"/>
      <c r="R368" s="129"/>
      <c r="S368" s="129"/>
      <c r="T368" s="108"/>
      <c r="U368" s="108"/>
      <c r="V368" s="108"/>
      <c r="W368" s="108"/>
    </row>
    <row r="369" spans="2:41" ht="15.75" x14ac:dyDescent="0.25">
      <c r="B369" s="108" t="s">
        <v>98</v>
      </c>
      <c r="C369" s="108"/>
      <c r="D369" s="108"/>
      <c r="E369" s="108"/>
      <c r="F369" s="108"/>
      <c r="G369" s="108"/>
      <c r="H369" s="108"/>
      <c r="I369" s="108"/>
      <c r="J369" s="108"/>
      <c r="K369" s="108"/>
      <c r="L369" s="129"/>
      <c r="M369" s="108"/>
      <c r="N369" s="108"/>
      <c r="O369" s="108"/>
      <c r="Q369" s="129" t="s">
        <v>99</v>
      </c>
      <c r="R369" s="129"/>
      <c r="S369" s="129"/>
      <c r="T369" s="108"/>
      <c r="U369" s="108"/>
      <c r="V369" s="108"/>
      <c r="W369" s="108"/>
      <c r="AA369" s="108"/>
      <c r="AN369" s="108"/>
      <c r="AO369" s="108"/>
    </row>
    <row r="370" spans="2:41" ht="15.75" x14ac:dyDescent="0.25"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29"/>
      <c r="M370" s="108"/>
      <c r="N370" s="108"/>
      <c r="O370" s="108"/>
      <c r="P370" s="129"/>
      <c r="Q370" s="108"/>
      <c r="R370" s="129"/>
      <c r="S370" s="129"/>
      <c r="T370" s="108"/>
      <c r="U370" s="108"/>
      <c r="V370" s="108"/>
      <c r="W370" s="108"/>
      <c r="AA370" s="108"/>
      <c r="AB370" s="196"/>
      <c r="AC370" s="108"/>
      <c r="AD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</row>
    <row r="371" spans="2:41" ht="15.75" x14ac:dyDescent="0.25">
      <c r="S371" s="108"/>
      <c r="T371" s="108"/>
      <c r="AA371" s="108"/>
      <c r="AB371" s="196"/>
      <c r="AC371" s="108"/>
      <c r="AD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</row>
    <row r="372" spans="2:41" ht="15.75" x14ac:dyDescent="0.25">
      <c r="S372" s="108"/>
      <c r="T372" s="108"/>
      <c r="W372" s="108"/>
      <c r="AA372" s="108"/>
      <c r="AB372" s="196"/>
      <c r="AC372" s="108"/>
      <c r="AD372" s="108"/>
      <c r="AF372" s="108"/>
      <c r="AG372" s="108"/>
      <c r="AH372" s="108"/>
      <c r="AI372" s="108"/>
      <c r="AJ372" s="108"/>
      <c r="AK372" s="108"/>
      <c r="AL372" s="108"/>
      <c r="AM372" s="108"/>
    </row>
    <row r="373" spans="2:41" ht="15.75" x14ac:dyDescent="0.25">
      <c r="W373" s="108"/>
      <c r="AI373" s="108"/>
    </row>
    <row r="374" spans="2:41" ht="15.75" x14ac:dyDescent="0.25">
      <c r="AI374" s="108"/>
    </row>
    <row r="375" spans="2:41" s="129" customFormat="1" ht="15.75" hidden="1" x14ac:dyDescent="0.25">
      <c r="B375" s="129" t="s">
        <v>242</v>
      </c>
      <c r="T375" s="129" t="s">
        <v>151</v>
      </c>
      <c r="X375" s="482"/>
      <c r="Y375" s="482"/>
      <c r="AA375" s="129" t="s">
        <v>151</v>
      </c>
      <c r="AO375" s="202"/>
    </row>
    <row r="377" spans="2:41" s="196" customFormat="1" ht="15.75" x14ac:dyDescent="0.25">
      <c r="Q377" s="108"/>
      <c r="S377" s="108"/>
      <c r="X377" s="393"/>
      <c r="Y377" s="393"/>
      <c r="AO377" s="422"/>
    </row>
    <row r="378" spans="2:41" s="196" customFormat="1" ht="15.75" x14ac:dyDescent="0.25">
      <c r="Q378" s="108"/>
      <c r="S378" s="108"/>
      <c r="T378" s="108"/>
      <c r="U378" s="108"/>
      <c r="X378" s="393"/>
      <c r="Y378" s="393"/>
      <c r="AO378" s="422"/>
    </row>
    <row r="379" spans="2:41" s="196" customFormat="1" ht="15.75" x14ac:dyDescent="0.25">
      <c r="Q379" s="108"/>
      <c r="S379" s="108"/>
      <c r="T379" s="108"/>
      <c r="U379" s="108"/>
      <c r="X379" s="393"/>
      <c r="Y379" s="393"/>
      <c r="AO379" s="422"/>
    </row>
    <row r="380" spans="2:41" s="196" customFormat="1" ht="15.75" x14ac:dyDescent="0.25">
      <c r="C380" s="108"/>
      <c r="D380" s="108"/>
      <c r="E380" s="108"/>
      <c r="F380" s="108"/>
      <c r="G380" s="108"/>
      <c r="H380" s="108"/>
      <c r="I380" s="108"/>
      <c r="J380" s="108"/>
      <c r="K380" s="108"/>
      <c r="L380" s="129"/>
      <c r="M380" s="108"/>
      <c r="N380" s="108"/>
      <c r="O380" s="108"/>
      <c r="P380" s="129"/>
      <c r="Q380" s="108"/>
      <c r="S380" s="108"/>
      <c r="T380" s="108"/>
      <c r="U380" s="108"/>
      <c r="X380" s="393"/>
      <c r="Y380" s="393"/>
      <c r="AO380" s="422"/>
    </row>
    <row r="381" spans="2:41" ht="15.75" x14ac:dyDescent="0.25">
      <c r="T381" s="108"/>
      <c r="U381" s="108"/>
    </row>
  </sheetData>
  <mergeCells count="285">
    <mergeCell ref="J171:J173"/>
    <mergeCell ref="A291:A292"/>
    <mergeCell ref="I291:I292"/>
    <mergeCell ref="A237:A238"/>
    <mergeCell ref="A279:A282"/>
    <mergeCell ref="B279:H282"/>
    <mergeCell ref="I283:I284"/>
    <mergeCell ref="I85:I86"/>
    <mergeCell ref="I90:I91"/>
    <mergeCell ref="I143:I144"/>
    <mergeCell ref="J187:J188"/>
    <mergeCell ref="I190:I193"/>
    <mergeCell ref="I187:I188"/>
    <mergeCell ref="A190:A193"/>
    <mergeCell ref="A228:A231"/>
    <mergeCell ref="H271:H274"/>
    <mergeCell ref="A232:A236"/>
    <mergeCell ref="I237:I238"/>
    <mergeCell ref="H262:H266"/>
    <mergeCell ref="I249:I250"/>
    <mergeCell ref="I254:I255"/>
    <mergeCell ref="I265:I266"/>
    <mergeCell ref="J262:J266"/>
    <mergeCell ref="A222:A224"/>
    <mergeCell ref="I300:I301"/>
    <mergeCell ref="A97:A98"/>
    <mergeCell ref="I97:I98"/>
    <mergeCell ref="I108:I109"/>
    <mergeCell ref="AO8:AO10"/>
    <mergeCell ref="AK9:AK10"/>
    <mergeCell ref="AL9:AL10"/>
    <mergeCell ref="AM9:AN9"/>
    <mergeCell ref="P8:Q9"/>
    <mergeCell ref="R8:S9"/>
    <mergeCell ref="T8:U9"/>
    <mergeCell ref="V8:W9"/>
    <mergeCell ref="X8:Y9"/>
    <mergeCell ref="AJ8:AJ10"/>
    <mergeCell ref="Z8:AD9"/>
    <mergeCell ref="AE8:AI9"/>
    <mergeCell ref="AK8:AN8"/>
    <mergeCell ref="L8:L10"/>
    <mergeCell ref="N9:N10"/>
    <mergeCell ref="O9:O10"/>
    <mergeCell ref="M8:O8"/>
    <mergeCell ref="J8:J10"/>
    <mergeCell ref="K8:K10"/>
    <mergeCell ref="K44:K47"/>
    <mergeCell ref="A286:A290"/>
    <mergeCell ref="A208:A209"/>
    <mergeCell ref="G194:G195"/>
    <mergeCell ref="I114:I115"/>
    <mergeCell ref="I117:I122"/>
    <mergeCell ref="A123:A127"/>
    <mergeCell ref="I123:I127"/>
    <mergeCell ref="A194:A195"/>
    <mergeCell ref="I219:I220"/>
    <mergeCell ref="A219:A221"/>
    <mergeCell ref="I286:I290"/>
    <mergeCell ref="G262:G266"/>
    <mergeCell ref="F194:F195"/>
    <mergeCell ref="I225:I226"/>
    <mergeCell ref="I256:I257"/>
    <mergeCell ref="B258:H261"/>
    <mergeCell ref="C262:C266"/>
    <mergeCell ref="A275:A278"/>
    <mergeCell ref="C275:C278"/>
    <mergeCell ref="D275:D278"/>
    <mergeCell ref="E275:E278"/>
    <mergeCell ref="A225:A227"/>
    <mergeCell ref="D194:D195"/>
    <mergeCell ref="E194:E195"/>
    <mergeCell ref="J161:J165"/>
    <mergeCell ref="A161:A165"/>
    <mergeCell ref="C81:C84"/>
    <mergeCell ref="C271:C274"/>
    <mergeCell ref="D271:D274"/>
    <mergeCell ref="E271:E274"/>
    <mergeCell ref="G187:G188"/>
    <mergeCell ref="A187:A188"/>
    <mergeCell ref="C187:C188"/>
    <mergeCell ref="D187:D188"/>
    <mergeCell ref="I150:I151"/>
    <mergeCell ref="I171:I173"/>
    <mergeCell ref="A114:A115"/>
    <mergeCell ref="I174:I176"/>
    <mergeCell ref="A111:A113"/>
    <mergeCell ref="I243:I244"/>
    <mergeCell ref="F190:F193"/>
    <mergeCell ref="A256:A257"/>
    <mergeCell ref="A258:A261"/>
    <mergeCell ref="A262:A266"/>
    <mergeCell ref="D262:D266"/>
    <mergeCell ref="E262:E266"/>
    <mergeCell ref="F262:F266"/>
    <mergeCell ref="I81:I84"/>
    <mergeCell ref="I135:I139"/>
    <mergeCell ref="A140:A141"/>
    <mergeCell ref="I140:I141"/>
    <mergeCell ref="I128:I129"/>
    <mergeCell ref="I131:I134"/>
    <mergeCell ref="A178:H182"/>
    <mergeCell ref="B157:H160"/>
    <mergeCell ref="A157:A160"/>
    <mergeCell ref="I161:I165"/>
    <mergeCell ref="B183:H186"/>
    <mergeCell ref="F187:F188"/>
    <mergeCell ref="A150:A154"/>
    <mergeCell ref="A167:A170"/>
    <mergeCell ref="B167:H170"/>
    <mergeCell ref="A171:A173"/>
    <mergeCell ref="A174:A176"/>
    <mergeCell ref="H187:H188"/>
    <mergeCell ref="A131:A134"/>
    <mergeCell ref="A135:A139"/>
    <mergeCell ref="J271:J274"/>
    <mergeCell ref="F271:F274"/>
    <mergeCell ref="G271:G274"/>
    <mergeCell ref="I232:I236"/>
    <mergeCell ref="B267:H270"/>
    <mergeCell ref="B228:H231"/>
    <mergeCell ref="I194:I195"/>
    <mergeCell ref="J194:J195"/>
    <mergeCell ref="I271:I274"/>
    <mergeCell ref="J232:J236"/>
    <mergeCell ref="C232:C236"/>
    <mergeCell ref="D232:D236"/>
    <mergeCell ref="E232:E236"/>
    <mergeCell ref="H194:H195"/>
    <mergeCell ref="F232:F236"/>
    <mergeCell ref="I208:I209"/>
    <mergeCell ref="I211:I212"/>
    <mergeCell ref="C194:C195"/>
    <mergeCell ref="I222:I223"/>
    <mergeCell ref="A283:A285"/>
    <mergeCell ref="E187:E188"/>
    <mergeCell ref="A183:A186"/>
    <mergeCell ref="I203:I207"/>
    <mergeCell ref="A211:A218"/>
    <mergeCell ref="J174:J176"/>
    <mergeCell ref="I68:I71"/>
    <mergeCell ref="A8:A10"/>
    <mergeCell ref="B8:B10"/>
    <mergeCell ref="C8:C10"/>
    <mergeCell ref="D8:D10"/>
    <mergeCell ref="E8:F9"/>
    <mergeCell ref="G8:G10"/>
    <mergeCell ref="H8:H10"/>
    <mergeCell ref="A53:A56"/>
    <mergeCell ref="H27:H28"/>
    <mergeCell ref="C27:C28"/>
    <mergeCell ref="D27:D28"/>
    <mergeCell ref="A48:A52"/>
    <mergeCell ref="A73:A77"/>
    <mergeCell ref="A85:A86"/>
    <mergeCell ref="A90:A91"/>
    <mergeCell ref="A143:A147"/>
    <mergeCell ref="I8:I10"/>
    <mergeCell ref="A17:H17"/>
    <mergeCell ref="K57:K61"/>
    <mergeCell ref="E27:E28"/>
    <mergeCell ref="A57:A61"/>
    <mergeCell ref="A41:A43"/>
    <mergeCell ref="A27:A36"/>
    <mergeCell ref="A13:H16"/>
    <mergeCell ref="A18:H22"/>
    <mergeCell ref="A23:A26"/>
    <mergeCell ref="B23:H26"/>
    <mergeCell ref="F27:F28"/>
    <mergeCell ref="A44:A47"/>
    <mergeCell ref="G27:G28"/>
    <mergeCell ref="B53:H56"/>
    <mergeCell ref="K41:K43"/>
    <mergeCell ref="K48:K51"/>
    <mergeCell ref="I48:I51"/>
    <mergeCell ref="I44:I47"/>
    <mergeCell ref="I41:I43"/>
    <mergeCell ref="J57:J61"/>
    <mergeCell ref="J41:J43"/>
    <mergeCell ref="I57:I61"/>
    <mergeCell ref="A267:A270"/>
    <mergeCell ref="D305:D306"/>
    <mergeCell ref="E305:E306"/>
    <mergeCell ref="F305:F306"/>
    <mergeCell ref="K187:K188"/>
    <mergeCell ref="A3:AO3"/>
    <mergeCell ref="I305:I308"/>
    <mergeCell ref="A93:A96"/>
    <mergeCell ref="B93:H96"/>
    <mergeCell ref="I101:I106"/>
    <mergeCell ref="C101:C106"/>
    <mergeCell ref="D101:D106"/>
    <mergeCell ref="E101:E106"/>
    <mergeCell ref="F101:F106"/>
    <mergeCell ref="F65:F67"/>
    <mergeCell ref="I65:I67"/>
    <mergeCell ref="C68:C71"/>
    <mergeCell ref="D68:D71"/>
    <mergeCell ref="E68:E71"/>
    <mergeCell ref="F68:F71"/>
    <mergeCell ref="A303:A304"/>
    <mergeCell ref="A203:A207"/>
    <mergeCell ref="K194:K195"/>
    <mergeCell ref="B12:F12"/>
    <mergeCell ref="F309:F310"/>
    <mergeCell ref="I309:I313"/>
    <mergeCell ref="A314:A320"/>
    <mergeCell ref="C314:C315"/>
    <mergeCell ref="D314:D315"/>
    <mergeCell ref="E314:E315"/>
    <mergeCell ref="F314:F315"/>
    <mergeCell ref="I314:I320"/>
    <mergeCell ref="J303:J304"/>
    <mergeCell ref="C305:C306"/>
    <mergeCell ref="C303:C304"/>
    <mergeCell ref="A305:A308"/>
    <mergeCell ref="I303:I304"/>
    <mergeCell ref="D303:D304"/>
    <mergeCell ref="E303:E304"/>
    <mergeCell ref="F303:F304"/>
    <mergeCell ref="AO28:AO38"/>
    <mergeCell ref="AO42:AO43"/>
    <mergeCell ref="A78:A80"/>
    <mergeCell ref="A65:A67"/>
    <mergeCell ref="A128:A129"/>
    <mergeCell ref="A62:A64"/>
    <mergeCell ref="C65:C67"/>
    <mergeCell ref="I76:I77"/>
    <mergeCell ref="A68:A72"/>
    <mergeCell ref="B62:H64"/>
    <mergeCell ref="D65:D67"/>
    <mergeCell ref="E65:E67"/>
    <mergeCell ref="B78:H80"/>
    <mergeCell ref="D81:D84"/>
    <mergeCell ref="E81:E84"/>
    <mergeCell ref="F81:F84"/>
    <mergeCell ref="A108:A110"/>
    <mergeCell ref="A81:A84"/>
    <mergeCell ref="J81:J84"/>
    <mergeCell ref="I111:I112"/>
    <mergeCell ref="A117:A122"/>
    <mergeCell ref="F275:F278"/>
    <mergeCell ref="G275:G278"/>
    <mergeCell ref="H275:H278"/>
    <mergeCell ref="I275:I278"/>
    <mergeCell ref="J275:J278"/>
    <mergeCell ref="A271:A274"/>
    <mergeCell ref="A338:A341"/>
    <mergeCell ref="B338:H341"/>
    <mergeCell ref="A342:A345"/>
    <mergeCell ref="C342:C345"/>
    <mergeCell ref="D342:D345"/>
    <mergeCell ref="E342:E345"/>
    <mergeCell ref="F342:F345"/>
    <mergeCell ref="G342:G345"/>
    <mergeCell ref="H342:H345"/>
    <mergeCell ref="I342:I345"/>
    <mergeCell ref="J342:J345"/>
    <mergeCell ref="A327:A337"/>
    <mergeCell ref="A321:A326"/>
    <mergeCell ref="I321:I326"/>
    <mergeCell ref="A309:A313"/>
    <mergeCell ref="C309:C310"/>
    <mergeCell ref="D309:D310"/>
    <mergeCell ref="E309:E310"/>
    <mergeCell ref="A346:A349"/>
    <mergeCell ref="C346:C349"/>
    <mergeCell ref="D346:D349"/>
    <mergeCell ref="E346:E349"/>
    <mergeCell ref="F346:F349"/>
    <mergeCell ref="G346:G349"/>
    <mergeCell ref="H346:H349"/>
    <mergeCell ref="I346:I349"/>
    <mergeCell ref="J346:J349"/>
    <mergeCell ref="I354:I357"/>
    <mergeCell ref="J354:J357"/>
    <mergeCell ref="A350:A353"/>
    <mergeCell ref="B350:H353"/>
    <mergeCell ref="A354:A357"/>
    <mergeCell ref="C354:C357"/>
    <mergeCell ref="D354:D357"/>
    <mergeCell ref="E354:E357"/>
    <mergeCell ref="F354:F357"/>
    <mergeCell ref="G354:G357"/>
    <mergeCell ref="H354:H357"/>
  </mergeCells>
  <pageMargins left="0" right="0" top="0.19685039370078741" bottom="0.15748031496062992" header="0.31496062992125984" footer="0.31496062992125984"/>
  <pageSetup paperSize="9" fitToHeight="28" orientation="landscape" r:id="rId1"/>
  <rowBreaks count="3" manualBreakCount="3">
    <brk id="56" max="16383" man="1"/>
    <brk id="207" max="16383" man="1"/>
    <brk id="285" max="16383" man="1"/>
  </rowBreaks>
  <colBreaks count="1" manualBreakCount="1">
    <brk id="4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242"/>
  <sheetViews>
    <sheetView topLeftCell="T7" zoomScale="150" zoomScaleNormal="150" zoomScaleSheetLayoutView="80" workbookViewId="0">
      <pane xSplit="12" ySplit="5" topLeftCell="AF187" activePane="bottomRight" state="frozen"/>
      <selection activeCell="T7" sqref="T7"/>
      <selection pane="topRight" activeCell="AF7" sqref="AF7"/>
      <selection pane="bottomLeft" activeCell="T12" sqref="T12"/>
      <selection pane="bottomRight" activeCell="AF11" sqref="AF11"/>
    </sheetView>
  </sheetViews>
  <sheetFormatPr defaultRowHeight="15" x14ac:dyDescent="0.25"/>
  <cols>
    <col min="1" max="1" width="11.28515625" style="12" hidden="1" customWidth="1"/>
    <col min="2" max="2" width="13" style="12" hidden="1" customWidth="1"/>
    <col min="3" max="3" width="11.28515625" style="12" hidden="1" customWidth="1"/>
    <col min="4" max="4" width="10.5703125" style="12" hidden="1" customWidth="1"/>
    <col min="5" max="5" width="12.42578125" style="12" hidden="1" customWidth="1"/>
    <col min="6" max="6" width="11.42578125" style="12" hidden="1" customWidth="1"/>
    <col min="7" max="7" width="10.42578125" style="12" hidden="1" customWidth="1"/>
    <col min="8" max="8" width="10.5703125" style="97" hidden="1" customWidth="1"/>
    <col min="9" max="9" width="12.5703125" style="97" hidden="1" customWidth="1"/>
    <col min="10" max="10" width="12.42578125" style="12" hidden="1" customWidth="1"/>
    <col min="11" max="11" width="11.85546875" style="12" hidden="1" customWidth="1"/>
    <col min="12" max="12" width="12.5703125" style="12" hidden="1" customWidth="1"/>
    <col min="13" max="13" width="10.85546875" style="12" hidden="1" customWidth="1"/>
    <col min="14" max="14" width="11.42578125" style="12" hidden="1" customWidth="1"/>
    <col min="15" max="15" width="12.42578125" style="12" hidden="1" customWidth="1"/>
    <col min="16" max="18" width="9.28515625" style="12" hidden="1" customWidth="1"/>
    <col min="19" max="19" width="9.28515625" style="305" hidden="1" customWidth="1"/>
    <col min="20" max="20" width="7.140625" style="12" customWidth="1"/>
    <col min="21" max="21" width="42.7109375" style="12" customWidth="1"/>
    <col min="22" max="22" width="10" style="12" hidden="1" customWidth="1"/>
    <col min="23" max="23" width="12" style="12" hidden="1" customWidth="1"/>
    <col min="24" max="24" width="9.42578125" style="12" hidden="1" customWidth="1"/>
    <col min="25" max="25" width="11" style="12" hidden="1" customWidth="1"/>
    <col min="26" max="26" width="10.28515625" style="12" hidden="1" customWidth="1"/>
    <col min="27" max="27" width="10.5703125" style="12" hidden="1" customWidth="1"/>
    <col min="28" max="28" width="13.140625" style="12" customWidth="1"/>
    <col min="29" max="29" width="16.140625" style="12" hidden="1" customWidth="1"/>
    <col min="30" max="30" width="13.140625" style="12" hidden="1" customWidth="1"/>
    <col min="31" max="31" width="13.28515625" style="12" customWidth="1"/>
    <col min="32" max="32" width="11.28515625" style="12" customWidth="1"/>
    <col min="33" max="33" width="11.5703125" style="12" hidden="1" customWidth="1"/>
    <col min="34" max="34" width="13.28515625" style="111" customWidth="1"/>
    <col min="35" max="35" width="11.28515625" style="111" customWidth="1"/>
    <col min="36" max="36" width="9.140625" style="111"/>
    <col min="37" max="37" width="9.42578125" style="111" bestFit="1" customWidth="1"/>
    <col min="40" max="40" width="11.85546875" customWidth="1"/>
    <col min="41" max="41" width="12.7109375" customWidth="1"/>
    <col min="42" max="16384" width="9.140625" style="12"/>
  </cols>
  <sheetData>
    <row r="1" spans="1:69" s="26" customFormat="1" ht="45" customHeight="1" x14ac:dyDescent="0.25">
      <c r="T1" s="1388" t="s">
        <v>460</v>
      </c>
      <c r="U1" s="1389"/>
      <c r="V1" s="1389"/>
      <c r="W1" s="1389"/>
      <c r="X1" s="1389"/>
      <c r="Y1" s="1389"/>
      <c r="Z1" s="1389"/>
      <c r="AA1" s="1389"/>
      <c r="AB1" s="1389"/>
      <c r="AC1" s="1389"/>
      <c r="AD1" s="1389"/>
      <c r="AE1" s="1389"/>
      <c r="AF1" s="1389"/>
      <c r="AG1" s="1389"/>
      <c r="AH1" s="1389"/>
      <c r="AI1" s="1389"/>
      <c r="AJ1" s="1389"/>
      <c r="AK1" s="1389"/>
      <c r="AL1" s="1389"/>
      <c r="AM1" s="1389"/>
      <c r="AN1" s="1389"/>
      <c r="AO1" s="1389"/>
      <c r="AP1" s="502"/>
      <c r="AQ1" s="502"/>
      <c r="AR1" s="502"/>
      <c r="AS1" s="502"/>
      <c r="AT1" s="502"/>
      <c r="AU1" s="502"/>
      <c r="AV1" s="502"/>
      <c r="AW1" s="502"/>
      <c r="AX1" s="502"/>
      <c r="AY1" s="529"/>
      <c r="AZ1" s="529"/>
      <c r="BA1" s="529"/>
      <c r="BB1" s="529"/>
      <c r="BC1" s="529"/>
      <c r="BD1" s="529"/>
      <c r="BE1" s="529"/>
      <c r="BF1" s="529"/>
      <c r="BG1" s="529"/>
      <c r="BH1" s="529"/>
      <c r="BI1" s="529"/>
      <c r="BJ1" s="529"/>
      <c r="BK1" s="529"/>
      <c r="BL1" s="529"/>
      <c r="BM1" s="529"/>
      <c r="BN1" s="529"/>
      <c r="BO1" s="529"/>
      <c r="BP1" s="529"/>
      <c r="BQ1" s="529"/>
    </row>
    <row r="2" spans="1:69" s="26" customFormat="1" ht="20.25" x14ac:dyDescent="0.3">
      <c r="A2" s="1546"/>
      <c r="B2" s="1546"/>
      <c r="C2" s="1546"/>
      <c r="D2" s="1546"/>
      <c r="E2" s="1546"/>
      <c r="F2" s="1546"/>
      <c r="G2" s="1546"/>
      <c r="H2" s="1546"/>
      <c r="I2" s="1546"/>
      <c r="J2" s="1546"/>
      <c r="K2" s="1546"/>
      <c r="L2" s="1546"/>
      <c r="M2" s="1546"/>
      <c r="N2" s="1546"/>
      <c r="O2" s="1546"/>
      <c r="P2" s="1546"/>
      <c r="Q2" s="1546"/>
      <c r="R2" s="1546"/>
      <c r="S2" s="1546"/>
      <c r="T2" s="320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H2" s="503"/>
      <c r="AI2" s="503"/>
      <c r="AJ2" s="503"/>
      <c r="AK2" s="503"/>
      <c r="AL2" s="503"/>
      <c r="AM2" s="503"/>
      <c r="AN2" s="503"/>
      <c r="AO2" s="528" t="s">
        <v>241</v>
      </c>
    </row>
    <row r="3" spans="1:69" s="26" customFormat="1" ht="20.25" x14ac:dyDescent="0.3">
      <c r="H3" s="154"/>
      <c r="I3" s="154"/>
      <c r="S3" s="388" t="s">
        <v>91</v>
      </c>
      <c r="T3" s="320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H3" s="109"/>
      <c r="AI3" s="110"/>
      <c r="AJ3" s="110"/>
      <c r="AK3" s="111"/>
      <c r="AL3"/>
      <c r="AM3" s="382"/>
      <c r="AN3" s="382"/>
      <c r="AO3" s="528" t="s">
        <v>296</v>
      </c>
    </row>
    <row r="4" spans="1:69" s="26" customFormat="1" ht="20.25" x14ac:dyDescent="0.3">
      <c r="H4" s="154"/>
      <c r="I4" s="154"/>
      <c r="S4" s="388" t="s">
        <v>157</v>
      </c>
      <c r="T4" s="320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H4" s="109"/>
      <c r="AI4" s="110"/>
      <c r="AJ4" s="110"/>
      <c r="AK4" s="111"/>
      <c r="AL4"/>
      <c r="AM4" s="382"/>
      <c r="AN4" s="382"/>
      <c r="AO4" s="839" t="s">
        <v>422</v>
      </c>
    </row>
    <row r="5" spans="1:69" s="26" customFormat="1" ht="20.25" x14ac:dyDescent="0.25">
      <c r="H5" s="154"/>
      <c r="I5" s="154"/>
      <c r="S5" s="289" t="s">
        <v>92</v>
      </c>
      <c r="T5" s="320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H5" s="109"/>
      <c r="AI5" s="110"/>
      <c r="AJ5" s="110"/>
      <c r="AK5" s="111"/>
      <c r="AL5"/>
      <c r="AM5" s="382"/>
      <c r="AN5" s="382"/>
      <c r="AO5" s="391" t="s">
        <v>92</v>
      </c>
    </row>
    <row r="6" spans="1:69" s="26" customFormat="1" ht="20.25" x14ac:dyDescent="0.25">
      <c r="H6" s="154"/>
      <c r="I6" s="154"/>
      <c r="O6" s="89"/>
      <c r="P6" s="89"/>
      <c r="Q6" s="89"/>
      <c r="R6" s="89"/>
      <c r="S6" s="289"/>
      <c r="T6" s="320"/>
      <c r="U6" s="502"/>
      <c r="V6" s="502"/>
      <c r="W6" s="502"/>
      <c r="X6" s="502"/>
      <c r="Y6" s="502"/>
      <c r="Z6" s="502"/>
      <c r="AA6" s="502"/>
      <c r="AB6" s="502"/>
      <c r="AC6" s="502"/>
      <c r="AD6" s="502"/>
      <c r="AE6" s="502"/>
      <c r="AF6" s="502"/>
      <c r="AH6" s="112"/>
      <c r="AI6" s="113"/>
      <c r="AJ6" s="113"/>
      <c r="AK6" s="114"/>
      <c r="AL6" s="114"/>
      <c r="AM6" s="115"/>
      <c r="AN6" s="115"/>
    </row>
    <row r="7" spans="1:69" ht="73.5" customHeight="1" x14ac:dyDescent="0.25">
      <c r="A7" s="1501"/>
      <c r="B7" s="1504" t="s">
        <v>67</v>
      </c>
      <c r="C7" s="1505"/>
      <c r="D7" s="1508" t="s">
        <v>68</v>
      </c>
      <c r="E7" s="1509"/>
      <c r="F7" s="1508" t="s">
        <v>69</v>
      </c>
      <c r="G7" s="1509"/>
      <c r="H7" s="1547" t="s">
        <v>70</v>
      </c>
      <c r="I7" s="1548"/>
      <c r="J7" s="1551" t="s">
        <v>71</v>
      </c>
      <c r="K7" s="1552"/>
      <c r="L7" s="1500" t="s">
        <v>72</v>
      </c>
      <c r="M7" s="1555"/>
      <c r="N7" s="1512" t="s">
        <v>73</v>
      </c>
      <c r="O7" s="1558" t="s">
        <v>74</v>
      </c>
      <c r="P7" s="1559"/>
      <c r="Q7" s="1559"/>
      <c r="R7" s="1560"/>
      <c r="S7" s="1495" t="s">
        <v>75</v>
      </c>
      <c r="T7" s="1455" t="s">
        <v>3</v>
      </c>
      <c r="U7" s="1455" t="s">
        <v>4</v>
      </c>
      <c r="V7" s="1456" t="s">
        <v>6</v>
      </c>
      <c r="W7" s="1456" t="s">
        <v>14</v>
      </c>
      <c r="X7" s="1459" t="s">
        <v>5</v>
      </c>
      <c r="Y7" s="1460"/>
      <c r="Z7" s="1456" t="s">
        <v>1</v>
      </c>
      <c r="AA7" s="1456" t="s">
        <v>2</v>
      </c>
      <c r="AB7" s="1456" t="s">
        <v>0</v>
      </c>
      <c r="AC7" s="1456" t="s">
        <v>51</v>
      </c>
      <c r="AD7" s="1456" t="s">
        <v>52</v>
      </c>
      <c r="AE7" s="1390" t="s">
        <v>275</v>
      </c>
      <c r="AF7" s="1500" t="s">
        <v>440</v>
      </c>
      <c r="AG7" s="1501"/>
      <c r="AH7" s="1525" t="s">
        <v>102</v>
      </c>
      <c r="AI7" s="1526"/>
      <c r="AJ7" s="1526"/>
      <c r="AK7" s="1527"/>
      <c r="AL7" s="1525" t="s">
        <v>103</v>
      </c>
      <c r="AM7" s="1526"/>
      <c r="AN7" s="1526"/>
      <c r="AO7" s="1527"/>
    </row>
    <row r="8" spans="1:69" ht="28.5" customHeight="1" x14ac:dyDescent="0.25">
      <c r="A8" s="1503"/>
      <c r="B8" s="1506"/>
      <c r="C8" s="1507"/>
      <c r="D8" s="1510"/>
      <c r="E8" s="1511"/>
      <c r="F8" s="1510"/>
      <c r="G8" s="1511"/>
      <c r="H8" s="1549"/>
      <c r="I8" s="1550"/>
      <c r="J8" s="1553"/>
      <c r="K8" s="1554"/>
      <c r="L8" s="1556"/>
      <c r="M8" s="1557"/>
      <c r="N8" s="1513"/>
      <c r="O8" s="1498" t="s">
        <v>76</v>
      </c>
      <c r="P8" s="1498" t="s">
        <v>77</v>
      </c>
      <c r="Q8" s="1499" t="s">
        <v>78</v>
      </c>
      <c r="R8" s="1499"/>
      <c r="S8" s="1496"/>
      <c r="T8" s="1455"/>
      <c r="U8" s="1455"/>
      <c r="V8" s="1457"/>
      <c r="W8" s="1457"/>
      <c r="X8" s="1461"/>
      <c r="Y8" s="1462"/>
      <c r="Z8" s="1457"/>
      <c r="AA8" s="1457"/>
      <c r="AB8" s="1457"/>
      <c r="AC8" s="1457"/>
      <c r="AD8" s="1457"/>
      <c r="AE8" s="1356"/>
      <c r="AF8" s="1502"/>
      <c r="AG8" s="1503"/>
      <c r="AH8" s="1538" t="s">
        <v>104</v>
      </c>
      <c r="AI8" s="1539"/>
      <c r="AJ8" s="1538" t="s">
        <v>82</v>
      </c>
      <c r="AK8" s="1539"/>
      <c r="AL8" s="1525" t="s">
        <v>104</v>
      </c>
      <c r="AM8" s="1527"/>
      <c r="AN8" s="1538" t="s">
        <v>82</v>
      </c>
      <c r="AO8" s="1539"/>
    </row>
    <row r="9" spans="1:69" ht="24" customHeight="1" x14ac:dyDescent="0.25">
      <c r="A9" s="63" t="s">
        <v>80</v>
      </c>
      <c r="B9" s="359" t="s">
        <v>81</v>
      </c>
      <c r="C9" s="359" t="s">
        <v>82</v>
      </c>
      <c r="D9" s="62" t="s">
        <v>81</v>
      </c>
      <c r="E9" s="62" t="s">
        <v>82</v>
      </c>
      <c r="F9" s="62" t="s">
        <v>83</v>
      </c>
      <c r="G9" s="62" t="s">
        <v>82</v>
      </c>
      <c r="H9" s="359" t="s">
        <v>83</v>
      </c>
      <c r="I9" s="383" t="s">
        <v>82</v>
      </c>
      <c r="J9" s="378" t="s">
        <v>154</v>
      </c>
      <c r="K9" s="64" t="s">
        <v>222</v>
      </c>
      <c r="L9" s="378" t="s">
        <v>154</v>
      </c>
      <c r="M9" s="378" t="s">
        <v>222</v>
      </c>
      <c r="N9" s="1514"/>
      <c r="O9" s="1498"/>
      <c r="P9" s="1498"/>
      <c r="Q9" s="379" t="s">
        <v>84</v>
      </c>
      <c r="R9" s="379" t="s">
        <v>85</v>
      </c>
      <c r="S9" s="1497"/>
      <c r="T9" s="1455"/>
      <c r="U9" s="1455"/>
      <c r="V9" s="1458"/>
      <c r="W9" s="1458"/>
      <c r="X9" s="513" t="s">
        <v>64</v>
      </c>
      <c r="Y9" s="513" t="s">
        <v>65</v>
      </c>
      <c r="Z9" s="1458"/>
      <c r="AA9" s="1458"/>
      <c r="AB9" s="1458"/>
      <c r="AC9" s="1458"/>
      <c r="AD9" s="1458"/>
      <c r="AE9" s="1349"/>
      <c r="AF9" s="445" t="s">
        <v>79</v>
      </c>
      <c r="AG9" s="62" t="s">
        <v>80</v>
      </c>
      <c r="AH9" s="116" t="s">
        <v>105</v>
      </c>
      <c r="AI9" s="116" t="s">
        <v>106</v>
      </c>
      <c r="AJ9" s="116" t="s">
        <v>105</v>
      </c>
      <c r="AK9" s="116" t="s">
        <v>106</v>
      </c>
      <c r="AL9" s="116" t="s">
        <v>105</v>
      </c>
      <c r="AM9" s="116" t="s">
        <v>106</v>
      </c>
      <c r="AN9" s="116" t="s">
        <v>105</v>
      </c>
      <c r="AO9" s="116" t="s">
        <v>106</v>
      </c>
    </row>
    <row r="10" spans="1:69" ht="15.75" x14ac:dyDescent="0.25">
      <c r="A10" s="66">
        <v>6</v>
      </c>
      <c r="B10" s="381">
        <v>7</v>
      </c>
      <c r="C10" s="381">
        <v>8</v>
      </c>
      <c r="D10" s="66">
        <v>9</v>
      </c>
      <c r="E10" s="66">
        <v>10</v>
      </c>
      <c r="F10" s="66">
        <v>11</v>
      </c>
      <c r="G10" s="66">
        <v>12</v>
      </c>
      <c r="H10" s="376">
        <v>13</v>
      </c>
      <c r="I10" s="381">
        <v>14</v>
      </c>
      <c r="J10" s="66">
        <v>15</v>
      </c>
      <c r="K10" s="66">
        <v>16</v>
      </c>
      <c r="L10" s="66">
        <v>17</v>
      </c>
      <c r="M10" s="66">
        <v>18</v>
      </c>
      <c r="N10" s="381">
        <v>19</v>
      </c>
      <c r="O10" s="67">
        <v>20</v>
      </c>
      <c r="P10" s="67">
        <v>21</v>
      </c>
      <c r="Q10" s="380">
        <v>22</v>
      </c>
      <c r="R10" s="380">
        <v>23</v>
      </c>
      <c r="S10" s="290">
        <v>24</v>
      </c>
      <c r="T10" s="14">
        <v>1</v>
      </c>
      <c r="U10" s="14">
        <v>2</v>
      </c>
      <c r="V10" s="14">
        <v>3</v>
      </c>
      <c r="W10" s="14">
        <v>4</v>
      </c>
      <c r="X10" s="14">
        <v>5</v>
      </c>
      <c r="Y10" s="14">
        <v>6</v>
      </c>
      <c r="Z10" s="14">
        <v>7</v>
      </c>
      <c r="AA10" s="14">
        <v>8</v>
      </c>
      <c r="AB10" s="14">
        <v>3</v>
      </c>
      <c r="AC10" s="14"/>
      <c r="AD10" s="14"/>
      <c r="AE10" s="14">
        <v>4</v>
      </c>
      <c r="AF10" s="522">
        <v>5</v>
      </c>
      <c r="AG10" s="66">
        <v>6</v>
      </c>
      <c r="AH10" s="117">
        <v>6</v>
      </c>
      <c r="AI10" s="117">
        <v>7</v>
      </c>
      <c r="AJ10" s="117">
        <v>8</v>
      </c>
      <c r="AK10" s="117">
        <v>9</v>
      </c>
      <c r="AL10" s="117">
        <v>10</v>
      </c>
      <c r="AM10" s="117">
        <v>11</v>
      </c>
      <c r="AN10" s="117">
        <v>12</v>
      </c>
      <c r="AO10" s="117">
        <v>13</v>
      </c>
    </row>
    <row r="11" spans="1:69" ht="15.75" x14ac:dyDescent="0.25">
      <c r="A11" s="354" t="e">
        <f>A12+A13+A14+A15</f>
        <v>#REF!</v>
      </c>
      <c r="B11" s="354" t="e">
        <f t="shared" ref="B11:R11" si="0">B12+B13+B14+B15</f>
        <v>#REF!</v>
      </c>
      <c r="C11" s="354" t="e">
        <f t="shared" si="0"/>
        <v>#REF!</v>
      </c>
      <c r="D11" s="354" t="e">
        <f t="shared" si="0"/>
        <v>#REF!</v>
      </c>
      <c r="E11" s="354" t="e">
        <f t="shared" si="0"/>
        <v>#REF!</v>
      </c>
      <c r="F11" s="354" t="e">
        <f t="shared" si="0"/>
        <v>#REF!</v>
      </c>
      <c r="G11" s="354" t="e">
        <f t="shared" si="0"/>
        <v>#REF!</v>
      </c>
      <c r="H11" s="354" t="e">
        <f t="shared" si="0"/>
        <v>#REF!</v>
      </c>
      <c r="I11" s="354" t="e">
        <f t="shared" si="0"/>
        <v>#REF!</v>
      </c>
      <c r="J11" s="354" t="e">
        <f>J12+J13+J14+J15</f>
        <v>#REF!</v>
      </c>
      <c r="K11" s="354" t="e">
        <f>K12+K13+K14+K15</f>
        <v>#REF!</v>
      </c>
      <c r="L11" s="354" t="e">
        <f>L12+L13+L14+L15</f>
        <v>#REF!</v>
      </c>
      <c r="M11" s="354" t="e">
        <f>M12+M13+M14+M15</f>
        <v>#REF!</v>
      </c>
      <c r="N11" s="354" t="e">
        <f>N12+N13+N14+N15</f>
        <v>#REF!</v>
      </c>
      <c r="O11" s="354" t="e">
        <f t="shared" si="0"/>
        <v>#REF!</v>
      </c>
      <c r="P11" s="354" t="e">
        <f>ROUND((A11*100%/#REF!*100),2)</f>
        <v>#REF!</v>
      </c>
      <c r="Q11" s="354" t="e">
        <f t="shared" si="0"/>
        <v>#REF!</v>
      </c>
      <c r="R11" s="354" t="e">
        <f t="shared" si="0"/>
        <v>#REF!</v>
      </c>
      <c r="S11" s="291"/>
      <c r="T11" s="530"/>
      <c r="U11" s="1543" t="s">
        <v>11</v>
      </c>
      <c r="V11" s="1544"/>
      <c r="W11" s="1544"/>
      <c r="X11" s="1544"/>
      <c r="Y11" s="1545"/>
      <c r="Z11" s="531"/>
      <c r="AA11" s="531"/>
      <c r="AB11" s="532"/>
      <c r="AC11" s="354">
        <f t="shared" ref="AC11:AO11" si="1">AC12+AC13+AC14+AC15</f>
        <v>2104313.88</v>
      </c>
      <c r="AD11" s="354">
        <f t="shared" si="1"/>
        <v>979387.0199999999</v>
      </c>
      <c r="AE11" s="354">
        <f t="shared" si="1"/>
        <v>2778922.9899999998</v>
      </c>
      <c r="AF11" s="920">
        <f t="shared" si="1"/>
        <v>273244.23</v>
      </c>
      <c r="AG11" s="354" t="e">
        <f t="shared" si="1"/>
        <v>#REF!</v>
      </c>
      <c r="AH11" s="354">
        <f t="shared" si="1"/>
        <v>0</v>
      </c>
      <c r="AI11" s="354">
        <f t="shared" si="1"/>
        <v>0</v>
      </c>
      <c r="AJ11" s="354">
        <f t="shared" si="1"/>
        <v>0</v>
      </c>
      <c r="AK11" s="354">
        <f>AK114</f>
        <v>43000</v>
      </c>
      <c r="AL11" s="354">
        <f t="shared" si="1"/>
        <v>0</v>
      </c>
      <c r="AM11" s="354">
        <f t="shared" si="1"/>
        <v>0</v>
      </c>
      <c r="AN11" s="354">
        <f t="shared" si="1"/>
        <v>0</v>
      </c>
      <c r="AO11" s="354">
        <f t="shared" si="1"/>
        <v>0</v>
      </c>
    </row>
    <row r="12" spans="1:69" ht="59.25" customHeight="1" x14ac:dyDescent="0.25">
      <c r="A12" s="16">
        <f t="shared" ref="A12:O12" si="2">A18+A98</f>
        <v>123902.23100000003</v>
      </c>
      <c r="B12" s="16">
        <f t="shared" si="2"/>
        <v>75183.449000000008</v>
      </c>
      <c r="C12" s="16">
        <f t="shared" si="2"/>
        <v>75183.449000000008</v>
      </c>
      <c r="D12" s="16">
        <f t="shared" si="2"/>
        <v>18517.998</v>
      </c>
      <c r="E12" s="16">
        <f t="shared" si="2"/>
        <v>18517.998</v>
      </c>
      <c r="F12" s="16">
        <f t="shared" si="2"/>
        <v>786.48</v>
      </c>
      <c r="G12" s="16">
        <f t="shared" si="2"/>
        <v>13330.153</v>
      </c>
      <c r="H12" s="16">
        <f t="shared" si="2"/>
        <v>32198.722999999998</v>
      </c>
      <c r="I12" s="16">
        <f t="shared" si="2"/>
        <v>16870.630999999994</v>
      </c>
      <c r="J12" s="16">
        <f t="shared" si="2"/>
        <v>131836.66800000001</v>
      </c>
      <c r="K12" s="16">
        <f t="shared" si="2"/>
        <v>21313.051000000007</v>
      </c>
      <c r="L12" s="16" t="e">
        <f t="shared" si="2"/>
        <v>#REF!</v>
      </c>
      <c r="M12" s="16">
        <f t="shared" si="2"/>
        <v>0</v>
      </c>
      <c r="N12" s="16" t="e">
        <f t="shared" si="2"/>
        <v>#REF!</v>
      </c>
      <c r="O12" s="16" t="e">
        <f t="shared" si="2"/>
        <v>#REF!</v>
      </c>
      <c r="P12" s="385" t="e">
        <f>ROUND((A12*100%/#REF!*100),2)</f>
        <v>#REF!</v>
      </c>
      <c r="Q12" s="16">
        <f t="shared" ref="Q12:R15" si="3">Q18+Q98</f>
        <v>0</v>
      </c>
      <c r="R12" s="16">
        <f t="shared" si="3"/>
        <v>0</v>
      </c>
      <c r="S12" s="292"/>
      <c r="T12" s="1410"/>
      <c r="U12" s="1411"/>
      <c r="V12" s="1411"/>
      <c r="W12" s="1411"/>
      <c r="X12" s="1411"/>
      <c r="Y12" s="1411"/>
      <c r="Z12" s="1411"/>
      <c r="AA12" s="1412"/>
      <c r="AB12" s="15" t="s">
        <v>19</v>
      </c>
      <c r="AC12" s="16">
        <f t="shared" ref="AC12:AG15" si="4">AC18+AC115</f>
        <v>1130844</v>
      </c>
      <c r="AD12" s="16">
        <f t="shared" si="4"/>
        <v>277183.29999999993</v>
      </c>
      <c r="AE12" s="16">
        <f t="shared" si="4"/>
        <v>911959.7</v>
      </c>
      <c r="AF12" s="16">
        <f t="shared" si="4"/>
        <v>185102.85</v>
      </c>
      <c r="AG12" s="16">
        <f t="shared" si="4"/>
        <v>0</v>
      </c>
      <c r="AH12" s="16">
        <f>AH18+AH98</f>
        <v>0</v>
      </c>
      <c r="AI12" s="16">
        <f>AI18+AI78</f>
        <v>0</v>
      </c>
      <c r="AJ12" s="16">
        <f>AJ18+AJ114</f>
        <v>0</v>
      </c>
      <c r="AK12" s="16">
        <f>AK18+AK115</f>
        <v>0</v>
      </c>
      <c r="AL12" s="16">
        <f t="shared" ref="AJ12:AO13" si="5">AL18+AL98</f>
        <v>0</v>
      </c>
      <c r="AM12" s="16">
        <f t="shared" si="5"/>
        <v>0</v>
      </c>
      <c r="AN12" s="16">
        <f t="shared" si="5"/>
        <v>0</v>
      </c>
      <c r="AO12" s="16">
        <f t="shared" si="5"/>
        <v>0</v>
      </c>
    </row>
    <row r="13" spans="1:69" ht="44.25" customHeight="1" x14ac:dyDescent="0.25">
      <c r="A13" s="16" t="e">
        <f t="shared" ref="A13:O13" si="6">A19+A99</f>
        <v>#REF!</v>
      </c>
      <c r="B13" s="16" t="e">
        <f t="shared" si="6"/>
        <v>#REF!</v>
      </c>
      <c r="C13" s="16" t="e">
        <f t="shared" si="6"/>
        <v>#REF!</v>
      </c>
      <c r="D13" s="16" t="e">
        <f t="shared" si="6"/>
        <v>#REF!</v>
      </c>
      <c r="E13" s="16" t="e">
        <f t="shared" si="6"/>
        <v>#REF!</v>
      </c>
      <c r="F13" s="16" t="e">
        <f t="shared" si="6"/>
        <v>#REF!</v>
      </c>
      <c r="G13" s="16" t="e">
        <f t="shared" si="6"/>
        <v>#REF!</v>
      </c>
      <c r="H13" s="16" t="e">
        <f t="shared" si="6"/>
        <v>#REF!</v>
      </c>
      <c r="I13" s="16" t="e">
        <f t="shared" si="6"/>
        <v>#REF!</v>
      </c>
      <c r="J13" s="16" t="e">
        <f t="shared" si="6"/>
        <v>#REF!</v>
      </c>
      <c r="K13" s="16" t="e">
        <f t="shared" si="6"/>
        <v>#REF!</v>
      </c>
      <c r="L13" s="16" t="e">
        <f t="shared" si="6"/>
        <v>#REF!</v>
      </c>
      <c r="M13" s="16" t="e">
        <f t="shared" si="6"/>
        <v>#REF!</v>
      </c>
      <c r="N13" s="16" t="e">
        <f t="shared" si="6"/>
        <v>#REF!</v>
      </c>
      <c r="O13" s="16" t="e">
        <f t="shared" si="6"/>
        <v>#REF!</v>
      </c>
      <c r="P13" s="385" t="e">
        <f>ROUND((A13*100%/#REF!*100),2)</f>
        <v>#REF!</v>
      </c>
      <c r="Q13" s="16" t="e">
        <f t="shared" si="3"/>
        <v>#REF!</v>
      </c>
      <c r="R13" s="16" t="e">
        <f t="shared" si="3"/>
        <v>#REF!</v>
      </c>
      <c r="S13" s="292"/>
      <c r="T13" s="1413"/>
      <c r="U13" s="1414"/>
      <c r="V13" s="1414"/>
      <c r="W13" s="1414"/>
      <c r="X13" s="1414"/>
      <c r="Y13" s="1414"/>
      <c r="Z13" s="1414"/>
      <c r="AA13" s="1415"/>
      <c r="AB13" s="15" t="s">
        <v>20</v>
      </c>
      <c r="AC13" s="16">
        <f t="shared" si="4"/>
        <v>247848.8</v>
      </c>
      <c r="AD13" s="16">
        <f t="shared" si="4"/>
        <v>0</v>
      </c>
      <c r="AE13" s="16">
        <f t="shared" si="4"/>
        <v>581812.35999999987</v>
      </c>
      <c r="AF13" s="16">
        <f t="shared" si="4"/>
        <v>88141.38</v>
      </c>
      <c r="AG13" s="16" t="e">
        <f t="shared" si="4"/>
        <v>#REF!</v>
      </c>
      <c r="AH13" s="16">
        <f>AH19+AH99</f>
        <v>0</v>
      </c>
      <c r="AI13" s="16">
        <f>AI19+AI99</f>
        <v>0</v>
      </c>
      <c r="AJ13" s="16">
        <f t="shared" si="5"/>
        <v>0</v>
      </c>
      <c r="AK13" s="16">
        <f t="shared" si="5"/>
        <v>0</v>
      </c>
      <c r="AL13" s="16">
        <f t="shared" si="5"/>
        <v>0</v>
      </c>
      <c r="AM13" s="16">
        <f t="shared" si="5"/>
        <v>0</v>
      </c>
      <c r="AN13" s="16">
        <f t="shared" si="5"/>
        <v>0</v>
      </c>
      <c r="AO13" s="16">
        <f t="shared" si="5"/>
        <v>0</v>
      </c>
    </row>
    <row r="14" spans="1:69" ht="25.5" customHeight="1" x14ac:dyDescent="0.25">
      <c r="A14" s="16" t="e">
        <f t="shared" ref="A14:O14" si="7">A20+A100</f>
        <v>#REF!</v>
      </c>
      <c r="B14" s="16" t="e">
        <f t="shared" si="7"/>
        <v>#REF!</v>
      </c>
      <c r="C14" s="16" t="e">
        <f t="shared" si="7"/>
        <v>#REF!</v>
      </c>
      <c r="D14" s="16" t="e">
        <f t="shared" si="7"/>
        <v>#REF!</v>
      </c>
      <c r="E14" s="16" t="e">
        <f t="shared" si="7"/>
        <v>#REF!</v>
      </c>
      <c r="F14" s="16" t="e">
        <f t="shared" si="7"/>
        <v>#REF!</v>
      </c>
      <c r="G14" s="16" t="e">
        <f t="shared" si="7"/>
        <v>#REF!</v>
      </c>
      <c r="H14" s="16" t="e">
        <f t="shared" si="7"/>
        <v>#REF!</v>
      </c>
      <c r="I14" s="16" t="e">
        <f t="shared" si="7"/>
        <v>#REF!</v>
      </c>
      <c r="J14" s="16" t="e">
        <f t="shared" si="7"/>
        <v>#REF!</v>
      </c>
      <c r="K14" s="16" t="e">
        <f t="shared" si="7"/>
        <v>#REF!</v>
      </c>
      <c r="L14" s="16" t="e">
        <f t="shared" si="7"/>
        <v>#REF!</v>
      </c>
      <c r="M14" s="16" t="e">
        <f t="shared" si="7"/>
        <v>#REF!</v>
      </c>
      <c r="N14" s="16" t="e">
        <f t="shared" si="7"/>
        <v>#REF!</v>
      </c>
      <c r="O14" s="16" t="e">
        <f t="shared" si="7"/>
        <v>#REF!</v>
      </c>
      <c r="P14" s="385" t="e">
        <f>ROUND((A14*100%/#REF!*100),2)</f>
        <v>#REF!</v>
      </c>
      <c r="Q14" s="16" t="e">
        <f t="shared" si="3"/>
        <v>#REF!</v>
      </c>
      <c r="R14" s="16" t="e">
        <f t="shared" si="3"/>
        <v>#REF!</v>
      </c>
      <c r="S14" s="292"/>
      <c r="T14" s="1413"/>
      <c r="U14" s="1414"/>
      <c r="V14" s="1414"/>
      <c r="W14" s="1414"/>
      <c r="X14" s="1414"/>
      <c r="Y14" s="1414"/>
      <c r="Z14" s="1414"/>
      <c r="AA14" s="1415"/>
      <c r="AB14" s="15" t="s">
        <v>10</v>
      </c>
      <c r="AC14" s="16">
        <f t="shared" si="4"/>
        <v>23417.360000000001</v>
      </c>
      <c r="AD14" s="16">
        <f t="shared" si="4"/>
        <v>0</v>
      </c>
      <c r="AE14" s="16">
        <f t="shared" si="4"/>
        <v>495533.09</v>
      </c>
      <c r="AF14" s="16">
        <f t="shared" si="4"/>
        <v>0</v>
      </c>
      <c r="AG14" s="16">
        <f t="shared" si="4"/>
        <v>0</v>
      </c>
      <c r="AH14" s="16">
        <f>AI14+AJ14+AK14</f>
        <v>0</v>
      </c>
      <c r="AI14" s="16">
        <f>AI20+AI80</f>
        <v>0</v>
      </c>
      <c r="AJ14" s="16">
        <f>AJ20+AJ80</f>
        <v>0</v>
      </c>
      <c r="AK14" s="16">
        <f>AK20+AK80</f>
        <v>0</v>
      </c>
      <c r="AL14" s="16">
        <f t="shared" ref="AL14:AO15" si="8">AL20+AL100</f>
        <v>0</v>
      </c>
      <c r="AM14" s="16">
        <f t="shared" si="8"/>
        <v>0</v>
      </c>
      <c r="AN14" s="16">
        <f t="shared" si="8"/>
        <v>0</v>
      </c>
      <c r="AO14" s="16">
        <f t="shared" si="8"/>
        <v>0</v>
      </c>
    </row>
    <row r="15" spans="1:69" ht="25.5" x14ac:dyDescent="0.25">
      <c r="A15" s="16">
        <f t="shared" ref="A15:O15" si="9">A21+A101</f>
        <v>340731.15900000004</v>
      </c>
      <c r="B15" s="16">
        <f t="shared" si="9"/>
        <v>0</v>
      </c>
      <c r="C15" s="16">
        <f t="shared" si="9"/>
        <v>0</v>
      </c>
      <c r="D15" s="16">
        <f t="shared" si="9"/>
        <v>0</v>
      </c>
      <c r="E15" s="16">
        <f t="shared" si="9"/>
        <v>233380.04500000001</v>
      </c>
      <c r="F15" s="16">
        <f t="shared" si="9"/>
        <v>0</v>
      </c>
      <c r="G15" s="16">
        <f t="shared" si="9"/>
        <v>59762.495999999999</v>
      </c>
      <c r="H15" s="16">
        <f t="shared" si="9"/>
        <v>0</v>
      </c>
      <c r="I15" s="16">
        <f t="shared" si="9"/>
        <v>47588.618000000002</v>
      </c>
      <c r="J15" s="16">
        <f t="shared" si="9"/>
        <v>210711.94399999999</v>
      </c>
      <c r="K15" s="16">
        <f t="shared" si="9"/>
        <v>77225.87</v>
      </c>
      <c r="L15" s="16">
        <f t="shared" si="9"/>
        <v>133486.07199999999</v>
      </c>
      <c r="M15" s="16">
        <f t="shared" si="9"/>
        <v>0</v>
      </c>
      <c r="N15" s="16">
        <f t="shared" si="9"/>
        <v>0</v>
      </c>
      <c r="O15" s="16">
        <f t="shared" si="9"/>
        <v>0</v>
      </c>
      <c r="P15" s="385" t="e">
        <f>ROUND((A15*100%/#REF!*100),2)</f>
        <v>#REF!</v>
      </c>
      <c r="Q15" s="16">
        <f t="shared" si="3"/>
        <v>0</v>
      </c>
      <c r="R15" s="16">
        <f t="shared" si="3"/>
        <v>0</v>
      </c>
      <c r="S15" s="292"/>
      <c r="T15" s="1416"/>
      <c r="U15" s="1417"/>
      <c r="V15" s="1417"/>
      <c r="W15" s="1417"/>
      <c r="X15" s="1417"/>
      <c r="Y15" s="1417"/>
      <c r="Z15" s="1417"/>
      <c r="AA15" s="1418"/>
      <c r="AB15" s="15" t="s">
        <v>9</v>
      </c>
      <c r="AC15" s="16">
        <f t="shared" si="4"/>
        <v>702203.72</v>
      </c>
      <c r="AD15" s="16">
        <f t="shared" si="4"/>
        <v>702203.72</v>
      </c>
      <c r="AE15" s="16">
        <f t="shared" si="4"/>
        <v>789617.84</v>
      </c>
      <c r="AF15" s="16">
        <f t="shared" si="4"/>
        <v>0</v>
      </c>
      <c r="AG15" s="16">
        <f t="shared" si="4"/>
        <v>0</v>
      </c>
      <c r="AH15" s="16">
        <f>AH21</f>
        <v>0</v>
      </c>
      <c r="AI15" s="16">
        <f>AI21</f>
        <v>0</v>
      </c>
      <c r="AJ15" s="16">
        <f>AJ21</f>
        <v>0</v>
      </c>
      <c r="AK15" s="16">
        <f>AK21</f>
        <v>0</v>
      </c>
      <c r="AL15" s="16">
        <f t="shared" si="8"/>
        <v>0</v>
      </c>
      <c r="AM15" s="16">
        <f t="shared" si="8"/>
        <v>0</v>
      </c>
      <c r="AN15" s="16">
        <f t="shared" si="8"/>
        <v>0</v>
      </c>
      <c r="AO15" s="16">
        <f t="shared" si="8"/>
        <v>0</v>
      </c>
    </row>
    <row r="16" spans="1:69" ht="15.75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293"/>
      <c r="T16" s="1405" t="s">
        <v>12</v>
      </c>
      <c r="U16" s="1406"/>
      <c r="V16" s="1406"/>
      <c r="W16" s="1406"/>
      <c r="X16" s="1406"/>
      <c r="Y16" s="1406"/>
      <c r="Z16" s="1406"/>
      <c r="AA16" s="1407"/>
      <c r="AB16" s="17"/>
      <c r="AC16" s="17"/>
      <c r="AD16" s="17"/>
      <c r="AE16" s="18"/>
      <c r="AF16" s="17"/>
      <c r="AG16" s="17"/>
      <c r="AH16" s="118"/>
      <c r="AI16" s="118"/>
      <c r="AJ16" s="118"/>
      <c r="AK16" s="118"/>
      <c r="AL16" s="118"/>
      <c r="AM16" s="118"/>
      <c r="AN16" s="118"/>
      <c r="AO16" s="118"/>
    </row>
    <row r="17" spans="1:41" ht="15.75" x14ac:dyDescent="0.25">
      <c r="A17" s="47" t="e">
        <f t="shared" ref="A17:R17" si="10">A18+A19+A20+A21</f>
        <v>#REF!</v>
      </c>
      <c r="B17" s="47" t="e">
        <f t="shared" si="10"/>
        <v>#REF!</v>
      </c>
      <c r="C17" s="47" t="e">
        <f t="shared" si="10"/>
        <v>#REF!</v>
      </c>
      <c r="D17" s="47" t="e">
        <f t="shared" si="10"/>
        <v>#REF!</v>
      </c>
      <c r="E17" s="47" t="e">
        <f t="shared" si="10"/>
        <v>#REF!</v>
      </c>
      <c r="F17" s="47" t="e">
        <f t="shared" si="10"/>
        <v>#REF!</v>
      </c>
      <c r="G17" s="47" t="e">
        <f t="shared" si="10"/>
        <v>#REF!</v>
      </c>
      <c r="H17" s="47" t="e">
        <f t="shared" si="10"/>
        <v>#REF!</v>
      </c>
      <c r="I17" s="47" t="e">
        <f t="shared" si="10"/>
        <v>#REF!</v>
      </c>
      <c r="J17" s="47" t="e">
        <f t="shared" si="10"/>
        <v>#REF!</v>
      </c>
      <c r="K17" s="47" t="e">
        <f t="shared" si="10"/>
        <v>#REF!</v>
      </c>
      <c r="L17" s="47" t="e">
        <f t="shared" si="10"/>
        <v>#REF!</v>
      </c>
      <c r="M17" s="47" t="e">
        <f t="shared" si="10"/>
        <v>#REF!</v>
      </c>
      <c r="N17" s="47" t="e">
        <f t="shared" si="10"/>
        <v>#REF!</v>
      </c>
      <c r="O17" s="47" t="e">
        <f t="shared" si="10"/>
        <v>#REF!</v>
      </c>
      <c r="P17" s="47" t="e">
        <f t="shared" si="10"/>
        <v>#REF!</v>
      </c>
      <c r="Q17" s="47" t="e">
        <f t="shared" si="10"/>
        <v>#REF!</v>
      </c>
      <c r="R17" s="47" t="e">
        <f t="shared" si="10"/>
        <v>#REF!</v>
      </c>
      <c r="S17" s="294"/>
      <c r="T17" s="1419"/>
      <c r="U17" s="1420"/>
      <c r="V17" s="1420"/>
      <c r="W17" s="1420"/>
      <c r="X17" s="1420"/>
      <c r="Y17" s="1420"/>
      <c r="Z17" s="1420"/>
      <c r="AA17" s="1421"/>
      <c r="AB17" s="19" t="s">
        <v>21</v>
      </c>
      <c r="AC17" s="20">
        <f t="shared" ref="AC17:AO17" si="11">AC18+AC19+AC20+AC21</f>
        <v>1940430.69</v>
      </c>
      <c r="AD17" s="20">
        <f t="shared" si="11"/>
        <v>954032.91999999993</v>
      </c>
      <c r="AE17" s="20">
        <f t="shared" si="11"/>
        <v>1738885.73</v>
      </c>
      <c r="AF17" s="47">
        <f t="shared" si="11"/>
        <v>167554.31</v>
      </c>
      <c r="AG17" s="47" t="e">
        <f t="shared" si="11"/>
        <v>#REF!</v>
      </c>
      <c r="AH17" s="47">
        <f t="shared" si="11"/>
        <v>0</v>
      </c>
      <c r="AI17" s="47">
        <f t="shared" si="11"/>
        <v>0</v>
      </c>
      <c r="AJ17" s="47">
        <f t="shared" si="11"/>
        <v>0</v>
      </c>
      <c r="AK17" s="47">
        <f t="shared" si="11"/>
        <v>0</v>
      </c>
      <c r="AL17" s="47">
        <f t="shared" si="11"/>
        <v>0</v>
      </c>
      <c r="AM17" s="47">
        <f t="shared" si="11"/>
        <v>0</v>
      </c>
      <c r="AN17" s="47">
        <f t="shared" si="11"/>
        <v>0</v>
      </c>
      <c r="AO17" s="47">
        <f t="shared" si="11"/>
        <v>0</v>
      </c>
    </row>
    <row r="18" spans="1:41" ht="53.25" customHeight="1" x14ac:dyDescent="0.25">
      <c r="A18" s="22">
        <f t="shared" ref="A18:R18" si="12">A22+A91</f>
        <v>90762.328000000023</v>
      </c>
      <c r="B18" s="22">
        <f t="shared" si="12"/>
        <v>75183.449000000008</v>
      </c>
      <c r="C18" s="22">
        <f t="shared" si="12"/>
        <v>75183.449000000008</v>
      </c>
      <c r="D18" s="22">
        <f t="shared" si="12"/>
        <v>18363.297999999999</v>
      </c>
      <c r="E18" s="22">
        <f t="shared" si="12"/>
        <v>18363.297999999999</v>
      </c>
      <c r="F18" s="22">
        <f t="shared" si="12"/>
        <v>0</v>
      </c>
      <c r="G18" s="22">
        <f t="shared" si="12"/>
        <v>12543.673000000001</v>
      </c>
      <c r="H18" s="22">
        <f t="shared" si="12"/>
        <v>0</v>
      </c>
      <c r="I18" s="22">
        <f t="shared" si="12"/>
        <v>-15328.092000000002</v>
      </c>
      <c r="J18" s="22">
        <f t="shared" si="12"/>
        <v>67972.061000000002</v>
      </c>
      <c r="K18" s="22">
        <f t="shared" si="12"/>
        <v>-41610.375999999997</v>
      </c>
      <c r="L18" s="22" t="e">
        <f t="shared" si="12"/>
        <v>#REF!</v>
      </c>
      <c r="M18" s="22">
        <f t="shared" si="12"/>
        <v>0</v>
      </c>
      <c r="N18" s="22" t="e">
        <f t="shared" si="12"/>
        <v>#REF!</v>
      </c>
      <c r="O18" s="22" t="e">
        <f t="shared" si="12"/>
        <v>#REF!</v>
      </c>
      <c r="P18" s="22" t="e">
        <f t="shared" si="12"/>
        <v>#REF!</v>
      </c>
      <c r="Q18" s="22">
        <f t="shared" si="12"/>
        <v>0</v>
      </c>
      <c r="R18" s="22">
        <f t="shared" si="12"/>
        <v>0</v>
      </c>
      <c r="S18" s="295"/>
      <c r="T18" s="1422"/>
      <c r="U18" s="1423"/>
      <c r="V18" s="1423"/>
      <c r="W18" s="1423"/>
      <c r="X18" s="1423"/>
      <c r="Y18" s="1423"/>
      <c r="Z18" s="1423"/>
      <c r="AA18" s="1424"/>
      <c r="AB18" s="15" t="s">
        <v>19</v>
      </c>
      <c r="AC18" s="16">
        <f>AC22+AC104</f>
        <v>977955.46</v>
      </c>
      <c r="AD18" s="16">
        <f>AD22+AD104</f>
        <v>251829.19999999995</v>
      </c>
      <c r="AE18" s="16">
        <f>AE22+AE104</f>
        <v>718936.52</v>
      </c>
      <c r="AF18" s="47">
        <f>AF22+AF104</f>
        <v>129338.56</v>
      </c>
      <c r="AG18" s="22">
        <f>AG22+AG104</f>
        <v>0</v>
      </c>
      <c r="AH18" s="22">
        <f>AH22+AH72</f>
        <v>0</v>
      </c>
      <c r="AI18" s="22">
        <f>AI22</f>
        <v>0</v>
      </c>
      <c r="AJ18" s="22">
        <f>AJ22+AJ72</f>
        <v>0</v>
      </c>
      <c r="AK18" s="22">
        <f>AK22+AK68</f>
        <v>0</v>
      </c>
      <c r="AL18" s="22">
        <f>AL22+AL72</f>
        <v>0</v>
      </c>
      <c r="AM18" s="22">
        <f>AM22+AM72</f>
        <v>0</v>
      </c>
      <c r="AN18" s="22">
        <f>AN22+AN72</f>
        <v>0</v>
      </c>
      <c r="AO18" s="22">
        <f>AO22+AO72</f>
        <v>0</v>
      </c>
    </row>
    <row r="19" spans="1:41" ht="38.25" customHeight="1" x14ac:dyDescent="0.25">
      <c r="A19" s="22" t="e">
        <f>A23+A47+A52+A61+A69+#REF!</f>
        <v>#REF!</v>
      </c>
      <c r="B19" s="22" t="e">
        <f>B23+B47+B52+B61+B69+#REF!</f>
        <v>#REF!</v>
      </c>
      <c r="C19" s="22" t="e">
        <f>C23+C47+C52+C61+C69+#REF!</f>
        <v>#REF!</v>
      </c>
      <c r="D19" s="22" t="e">
        <f>D23+D47+D52+D61+D69+#REF!</f>
        <v>#REF!</v>
      </c>
      <c r="E19" s="22" t="e">
        <f>E23+E47+E52+E61+E69+#REF!</f>
        <v>#REF!</v>
      </c>
      <c r="F19" s="22" t="e">
        <f>F23+F47+F52+F61+F69+#REF!</f>
        <v>#REF!</v>
      </c>
      <c r="G19" s="22" t="e">
        <f>G23+G47+G52+G61+G69+#REF!</f>
        <v>#REF!</v>
      </c>
      <c r="H19" s="22" t="e">
        <f>H23+H47+H52+H61+H69+#REF!</f>
        <v>#REF!</v>
      </c>
      <c r="I19" s="22" t="e">
        <f>I23+I47+I52+I61+I69+#REF!</f>
        <v>#REF!</v>
      </c>
      <c r="J19" s="22" t="e">
        <f>J23+J47+J52+J61+J69+#REF!</f>
        <v>#REF!</v>
      </c>
      <c r="K19" s="22" t="e">
        <f>K23+K47+K52+K61+K69+#REF!</f>
        <v>#REF!</v>
      </c>
      <c r="L19" s="22" t="e">
        <f>L23+L47+L52+L61+L69+#REF!</f>
        <v>#REF!</v>
      </c>
      <c r="M19" s="22" t="e">
        <f>M23+M47+M52+M61+M69+#REF!</f>
        <v>#REF!</v>
      </c>
      <c r="N19" s="22" t="e">
        <f>N23+N47+N52+N61+N69+#REF!</f>
        <v>#REF!</v>
      </c>
      <c r="O19" s="22" t="e">
        <f>O23+O47+O52+O61+O69+#REF!</f>
        <v>#REF!</v>
      </c>
      <c r="P19" s="22" t="e">
        <f>P23+P47+P52+P61+P69+#REF!</f>
        <v>#REF!</v>
      </c>
      <c r="Q19" s="22" t="e">
        <f>Q23+Q47+Q52+Q61+Q69+#REF!</f>
        <v>#REF!</v>
      </c>
      <c r="R19" s="22" t="e">
        <f>R23+R47+R52+R61+R69+#REF!</f>
        <v>#REF!</v>
      </c>
      <c r="S19" s="295"/>
      <c r="T19" s="1422"/>
      <c r="U19" s="1423"/>
      <c r="V19" s="1423"/>
      <c r="W19" s="1423"/>
      <c r="X19" s="1423"/>
      <c r="Y19" s="1423"/>
      <c r="Z19" s="1423"/>
      <c r="AA19" s="1424"/>
      <c r="AB19" s="15" t="s">
        <v>20</v>
      </c>
      <c r="AC19" s="16">
        <f>AC23+AC48+AC54+AC63+AC71+AC105</f>
        <v>236854.15</v>
      </c>
      <c r="AD19" s="16">
        <f>AD23+AD63+AD105</f>
        <v>0</v>
      </c>
      <c r="AE19" s="16">
        <f>AE23+AE48+AE54+AE63+AE71+AE105</f>
        <v>230331.37</v>
      </c>
      <c r="AF19" s="47">
        <f>AF23+AF48+AF54+AF63+AF71+AF105</f>
        <v>38215.75</v>
      </c>
      <c r="AG19" s="47" t="e">
        <f t="shared" ref="AG19:AJ19" si="13">AG23+AG48+AG54+AG63+AG71+AG105</f>
        <v>#REF!</v>
      </c>
      <c r="AH19" s="47">
        <f t="shared" si="13"/>
        <v>0</v>
      </c>
      <c r="AI19" s="47">
        <f t="shared" si="13"/>
        <v>0</v>
      </c>
      <c r="AJ19" s="47">
        <f t="shared" si="13"/>
        <v>0</v>
      </c>
      <c r="AK19" s="22">
        <f>AK23+AK43+AK48+AK57+AK64+AK73</f>
        <v>0</v>
      </c>
      <c r="AL19" s="22">
        <f>AL23+AL43+AL48+AL57+AL64+AL73</f>
        <v>0</v>
      </c>
      <c r="AM19" s="22">
        <f>AM23+AM43+AM48+AM57+AM64+AM73</f>
        <v>0</v>
      </c>
      <c r="AN19" s="22">
        <f>AN23+AN43+AN48+AN57+AN64+AN73</f>
        <v>0</v>
      </c>
      <c r="AO19" s="22">
        <f>AO23+AO43+AO48+AO57+AO64+AO73</f>
        <v>0</v>
      </c>
    </row>
    <row r="20" spans="1:41" ht="25.5" customHeight="1" x14ac:dyDescent="0.25">
      <c r="A20" s="22" t="e">
        <f>A24+A62+#REF!+A48</f>
        <v>#REF!</v>
      </c>
      <c r="B20" s="22" t="e">
        <f>B24+B62+#REF!+B48</f>
        <v>#REF!</v>
      </c>
      <c r="C20" s="22" t="e">
        <f>C24+C62+#REF!+C48</f>
        <v>#REF!</v>
      </c>
      <c r="D20" s="22" t="e">
        <f>D24+D62+#REF!+D48</f>
        <v>#REF!</v>
      </c>
      <c r="E20" s="22" t="e">
        <f>E24+E62+#REF!+E48</f>
        <v>#REF!</v>
      </c>
      <c r="F20" s="22" t="e">
        <f>F24+F62+#REF!+F48</f>
        <v>#REF!</v>
      </c>
      <c r="G20" s="22" t="e">
        <f>G24+G62+#REF!+G48</f>
        <v>#REF!</v>
      </c>
      <c r="H20" s="22" t="e">
        <f>H24+H62+#REF!+H48</f>
        <v>#REF!</v>
      </c>
      <c r="I20" s="22" t="e">
        <f>I24+I62+#REF!+I48</f>
        <v>#REF!</v>
      </c>
      <c r="J20" s="22" t="e">
        <f>J24+J62+#REF!+J48</f>
        <v>#REF!</v>
      </c>
      <c r="K20" s="22" t="e">
        <f>K24+K62+#REF!+K48</f>
        <v>#REF!</v>
      </c>
      <c r="L20" s="22" t="e">
        <f>L24+L62+#REF!+L48</f>
        <v>#REF!</v>
      </c>
      <c r="M20" s="22" t="e">
        <f>M24+M62+#REF!+M48</f>
        <v>#REF!</v>
      </c>
      <c r="N20" s="22" t="e">
        <f>N24+N62+#REF!+N48</f>
        <v>#REF!</v>
      </c>
      <c r="O20" s="22" t="e">
        <f>O24+O62+#REF!+O48</f>
        <v>#REF!</v>
      </c>
      <c r="P20" s="22" t="e">
        <f>P24+P62+#REF!+P48</f>
        <v>#REF!</v>
      </c>
      <c r="Q20" s="22" t="e">
        <f>Q24+Q62+#REF!+Q48</f>
        <v>#REF!</v>
      </c>
      <c r="R20" s="22" t="e">
        <f>R24+R62+#REF!+R48</f>
        <v>#REF!</v>
      </c>
      <c r="S20" s="295"/>
      <c r="T20" s="1422"/>
      <c r="U20" s="1423"/>
      <c r="V20" s="1423"/>
      <c r="W20" s="1423"/>
      <c r="X20" s="1423"/>
      <c r="Y20" s="1423"/>
      <c r="Z20" s="1423"/>
      <c r="AA20" s="1424"/>
      <c r="AB20" s="15" t="s">
        <v>10</v>
      </c>
      <c r="AC20" s="16">
        <f>AC24+AC64+AC106+AC49</f>
        <v>23417.360000000001</v>
      </c>
      <c r="AD20" s="16">
        <f>AD24+AD64+AD106+AD49</f>
        <v>0</v>
      </c>
      <c r="AE20" s="16">
        <f>AE24+AE64+AE106+AE49</f>
        <v>0</v>
      </c>
      <c r="AF20" s="22">
        <f>AF24+AF64+AF106+AF49</f>
        <v>0</v>
      </c>
      <c r="AG20" s="22">
        <f>AG24+AG64+AG106+AG49</f>
        <v>0</v>
      </c>
      <c r="AH20" s="22">
        <f t="shared" ref="AH20:AO20" si="14">AH24+AH58+AH74+AH44</f>
        <v>0</v>
      </c>
      <c r="AI20" s="22">
        <f t="shared" si="14"/>
        <v>0</v>
      </c>
      <c r="AJ20" s="22">
        <f t="shared" si="14"/>
        <v>0</v>
      </c>
      <c r="AK20" s="22">
        <f t="shared" si="14"/>
        <v>0</v>
      </c>
      <c r="AL20" s="22">
        <f t="shared" si="14"/>
        <v>0</v>
      </c>
      <c r="AM20" s="22">
        <f t="shared" si="14"/>
        <v>0</v>
      </c>
      <c r="AN20" s="22">
        <f t="shared" si="14"/>
        <v>0</v>
      </c>
      <c r="AO20" s="22">
        <f t="shared" si="14"/>
        <v>0</v>
      </c>
    </row>
    <row r="21" spans="1:41" ht="25.5" x14ac:dyDescent="0.25">
      <c r="A21" s="69">
        <f t="shared" ref="A21:R21" si="15">A25+A63+A92</f>
        <v>340731.15900000004</v>
      </c>
      <c r="B21" s="69">
        <f t="shared" si="15"/>
        <v>0</v>
      </c>
      <c r="C21" s="69">
        <f t="shared" si="15"/>
        <v>0</v>
      </c>
      <c r="D21" s="69">
        <f t="shared" si="15"/>
        <v>0</v>
      </c>
      <c r="E21" s="69">
        <f t="shared" si="15"/>
        <v>233380.04500000001</v>
      </c>
      <c r="F21" s="69">
        <f t="shared" si="15"/>
        <v>0</v>
      </c>
      <c r="G21" s="69">
        <f t="shared" si="15"/>
        <v>59762.495999999999</v>
      </c>
      <c r="H21" s="69">
        <f t="shared" si="15"/>
        <v>0</v>
      </c>
      <c r="I21" s="69">
        <f t="shared" si="15"/>
        <v>47588.618000000002</v>
      </c>
      <c r="J21" s="69">
        <f t="shared" si="15"/>
        <v>210711.94399999999</v>
      </c>
      <c r="K21" s="69">
        <f t="shared" si="15"/>
        <v>77225.87</v>
      </c>
      <c r="L21" s="69">
        <f t="shared" si="15"/>
        <v>133486.07199999999</v>
      </c>
      <c r="M21" s="69">
        <f t="shared" si="15"/>
        <v>0</v>
      </c>
      <c r="N21" s="69">
        <f t="shared" si="15"/>
        <v>0</v>
      </c>
      <c r="O21" s="69">
        <f t="shared" si="15"/>
        <v>0</v>
      </c>
      <c r="P21" s="69">
        <f t="shared" si="15"/>
        <v>0</v>
      </c>
      <c r="Q21" s="69">
        <f t="shared" si="15"/>
        <v>0</v>
      </c>
      <c r="R21" s="69">
        <f t="shared" si="15"/>
        <v>0</v>
      </c>
      <c r="S21" s="296"/>
      <c r="T21" s="1425"/>
      <c r="U21" s="1426"/>
      <c r="V21" s="1426"/>
      <c r="W21" s="1426"/>
      <c r="X21" s="1426"/>
      <c r="Y21" s="1426"/>
      <c r="Z21" s="1426"/>
      <c r="AA21" s="1427"/>
      <c r="AB21" s="15" t="s">
        <v>9</v>
      </c>
      <c r="AC21" s="21">
        <f>AC25+AC65+AC107</f>
        <v>702203.72</v>
      </c>
      <c r="AD21" s="21">
        <f>AD25+AD65+AD107</f>
        <v>702203.72</v>
      </c>
      <c r="AE21" s="21">
        <f>AE25+AE65+AE107</f>
        <v>789617.84</v>
      </c>
      <c r="AF21" s="69">
        <f>AF25+AF65+AF107</f>
        <v>0</v>
      </c>
      <c r="AG21" s="69">
        <f>AG25+AG65+AG107</f>
        <v>0</v>
      </c>
      <c r="AH21" s="69">
        <f>AH25+AH59+AH75</f>
        <v>0</v>
      </c>
      <c r="AI21" s="69">
        <f>AI25</f>
        <v>0</v>
      </c>
      <c r="AJ21" s="69">
        <f t="shared" ref="AJ21:AO21" si="16">AJ25+AJ59+AJ75</f>
        <v>0</v>
      </c>
      <c r="AK21" s="69">
        <f t="shared" si="16"/>
        <v>0</v>
      </c>
      <c r="AL21" s="69">
        <f t="shared" si="16"/>
        <v>0</v>
      </c>
      <c r="AM21" s="69">
        <f t="shared" si="16"/>
        <v>0</v>
      </c>
      <c r="AN21" s="69">
        <f t="shared" si="16"/>
        <v>0</v>
      </c>
      <c r="AO21" s="69">
        <f t="shared" si="16"/>
        <v>0</v>
      </c>
    </row>
    <row r="22" spans="1:41" ht="51.75" customHeight="1" x14ac:dyDescent="0.25">
      <c r="A22" s="22">
        <f t="shared" ref="A22:R22" si="17">A27+A40+A43</f>
        <v>90762.328000000023</v>
      </c>
      <c r="B22" s="22">
        <f t="shared" si="17"/>
        <v>75183.449000000008</v>
      </c>
      <c r="C22" s="22">
        <f t="shared" si="17"/>
        <v>75183.449000000008</v>
      </c>
      <c r="D22" s="22">
        <f t="shared" si="17"/>
        <v>18363.297999999999</v>
      </c>
      <c r="E22" s="22">
        <f t="shared" si="17"/>
        <v>18363.297999999999</v>
      </c>
      <c r="F22" s="22">
        <f t="shared" si="17"/>
        <v>0</v>
      </c>
      <c r="G22" s="22">
        <f t="shared" si="17"/>
        <v>12543.673000000001</v>
      </c>
      <c r="H22" s="22">
        <f t="shared" si="17"/>
        <v>0</v>
      </c>
      <c r="I22" s="22">
        <f t="shared" si="17"/>
        <v>-15328.092000000002</v>
      </c>
      <c r="J22" s="22">
        <f t="shared" si="17"/>
        <v>67972.061000000002</v>
      </c>
      <c r="K22" s="22">
        <f t="shared" si="17"/>
        <v>-41610.375999999997</v>
      </c>
      <c r="L22" s="22" t="e">
        <f t="shared" si="17"/>
        <v>#REF!</v>
      </c>
      <c r="M22" s="22">
        <f t="shared" si="17"/>
        <v>0</v>
      </c>
      <c r="N22" s="22" t="e">
        <f t="shared" si="17"/>
        <v>#REF!</v>
      </c>
      <c r="O22" s="22" t="e">
        <f t="shared" si="17"/>
        <v>#REF!</v>
      </c>
      <c r="P22" s="22" t="e">
        <f t="shared" si="17"/>
        <v>#REF!</v>
      </c>
      <c r="Q22" s="22">
        <f t="shared" si="17"/>
        <v>0</v>
      </c>
      <c r="R22" s="22">
        <f t="shared" si="17"/>
        <v>0</v>
      </c>
      <c r="S22" s="295"/>
      <c r="T22" s="1428" t="s">
        <v>25</v>
      </c>
      <c r="U22" s="1431" t="s">
        <v>40</v>
      </c>
      <c r="V22" s="1432"/>
      <c r="W22" s="1432"/>
      <c r="X22" s="1432"/>
      <c r="Y22" s="1432"/>
      <c r="Z22" s="1432"/>
      <c r="AA22" s="1433"/>
      <c r="AB22" s="15" t="s">
        <v>19</v>
      </c>
      <c r="AC22" s="22">
        <f>AC27+AC40+AC43</f>
        <v>977955.46</v>
      </c>
      <c r="AD22" s="22">
        <f>AD27+AD40+AD43</f>
        <v>251829.19999999995</v>
      </c>
      <c r="AE22" s="16">
        <f>AE27+AE40+AE43</f>
        <v>718936.52</v>
      </c>
      <c r="AF22" s="22">
        <f>AF27+AF40+AF43</f>
        <v>129338.56</v>
      </c>
      <c r="AG22" s="22">
        <f>AG27+AG40+AG43</f>
        <v>0</v>
      </c>
      <c r="AH22" s="22">
        <f t="shared" ref="AH22:AO22" si="18">AH27+AH37+AH39</f>
        <v>0</v>
      </c>
      <c r="AI22" s="22">
        <f t="shared" si="18"/>
        <v>0</v>
      </c>
      <c r="AJ22" s="22">
        <f t="shared" si="18"/>
        <v>0</v>
      </c>
      <c r="AK22" s="22">
        <f t="shared" si="18"/>
        <v>0</v>
      </c>
      <c r="AL22" s="22">
        <f t="shared" si="18"/>
        <v>0</v>
      </c>
      <c r="AM22" s="22">
        <f t="shared" si="18"/>
        <v>0</v>
      </c>
      <c r="AN22" s="22">
        <f t="shared" si="18"/>
        <v>0</v>
      </c>
      <c r="AO22" s="22">
        <f t="shared" si="18"/>
        <v>0</v>
      </c>
    </row>
    <row r="23" spans="1:41" ht="38.25" customHeight="1" x14ac:dyDescent="0.25">
      <c r="A23" s="22">
        <v>0</v>
      </c>
      <c r="B23" s="22">
        <v>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95"/>
      <c r="T23" s="1429"/>
      <c r="U23" s="1434"/>
      <c r="V23" s="1435"/>
      <c r="W23" s="1435"/>
      <c r="X23" s="1435"/>
      <c r="Y23" s="1435"/>
      <c r="Z23" s="1435"/>
      <c r="AA23" s="1436"/>
      <c r="AB23" s="15" t="s">
        <v>20</v>
      </c>
      <c r="AC23" s="16">
        <v>0</v>
      </c>
      <c r="AD23" s="16">
        <v>0</v>
      </c>
      <c r="AE23" s="16">
        <v>0</v>
      </c>
      <c r="AF23" s="22">
        <v>0</v>
      </c>
      <c r="AG23" s="22">
        <v>0</v>
      </c>
      <c r="AH23" s="22">
        <f t="shared" ref="AH23:AO23" si="19">AH28+AH38+AH40</f>
        <v>0</v>
      </c>
      <c r="AI23" s="22">
        <f t="shared" si="19"/>
        <v>0</v>
      </c>
      <c r="AJ23" s="22">
        <f t="shared" si="19"/>
        <v>0</v>
      </c>
      <c r="AK23" s="22">
        <f t="shared" si="19"/>
        <v>0</v>
      </c>
      <c r="AL23" s="22">
        <f t="shared" si="19"/>
        <v>0</v>
      </c>
      <c r="AM23" s="22">
        <f t="shared" si="19"/>
        <v>0</v>
      </c>
      <c r="AN23" s="22">
        <f t="shared" si="19"/>
        <v>0</v>
      </c>
      <c r="AO23" s="22">
        <f t="shared" si="19"/>
        <v>0</v>
      </c>
    </row>
    <row r="24" spans="1:41" ht="25.5" customHeight="1" x14ac:dyDescent="0.25">
      <c r="A24" s="22">
        <f>A37</f>
        <v>109472.18</v>
      </c>
      <c r="B24" s="22">
        <f t="shared" ref="B24:M24" si="20">B37</f>
        <v>83335.64</v>
      </c>
      <c r="C24" s="22">
        <f t="shared" si="20"/>
        <v>83335.64</v>
      </c>
      <c r="D24" s="22">
        <f t="shared" si="20"/>
        <v>0</v>
      </c>
      <c r="E24" s="22">
        <f t="shared" si="20"/>
        <v>0</v>
      </c>
      <c r="F24" s="22">
        <f t="shared" si="20"/>
        <v>0</v>
      </c>
      <c r="G24" s="22">
        <f t="shared" si="20"/>
        <v>0</v>
      </c>
      <c r="H24" s="22">
        <f t="shared" si="20"/>
        <v>0</v>
      </c>
      <c r="I24" s="22">
        <f t="shared" si="20"/>
        <v>26136.54</v>
      </c>
      <c r="J24" s="22">
        <f t="shared" si="20"/>
        <v>109472.18</v>
      </c>
      <c r="K24" s="22">
        <f t="shared" si="20"/>
        <v>26136.54</v>
      </c>
      <c r="L24" s="22">
        <f t="shared" si="20"/>
        <v>83335.64</v>
      </c>
      <c r="M24" s="22">
        <f t="shared" si="20"/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95"/>
      <c r="T24" s="1429"/>
      <c r="U24" s="1434"/>
      <c r="V24" s="1435"/>
      <c r="W24" s="1435"/>
      <c r="X24" s="1435"/>
      <c r="Y24" s="1435"/>
      <c r="Z24" s="1435"/>
      <c r="AA24" s="1436"/>
      <c r="AB24" s="15" t="s">
        <v>10</v>
      </c>
      <c r="AC24" s="16">
        <v>0</v>
      </c>
      <c r="AD24" s="16">
        <v>0</v>
      </c>
      <c r="AE24" s="16">
        <f>AG24+AH24+AI24</f>
        <v>0</v>
      </c>
      <c r="AF24" s="22">
        <f>AF37</f>
        <v>0</v>
      </c>
      <c r="AG24" s="22">
        <f>AG37</f>
        <v>0</v>
      </c>
      <c r="AH24" s="22">
        <f t="shared" ref="AH24:AO24" si="21">AH29+AH39+AH41</f>
        <v>0</v>
      </c>
      <c r="AI24" s="22">
        <f t="shared" si="21"/>
        <v>0</v>
      </c>
      <c r="AJ24" s="22">
        <f t="shared" si="21"/>
        <v>0</v>
      </c>
      <c r="AK24" s="22">
        <f t="shared" si="21"/>
        <v>0</v>
      </c>
      <c r="AL24" s="22">
        <f t="shared" si="21"/>
        <v>0</v>
      </c>
      <c r="AM24" s="22">
        <f t="shared" si="21"/>
        <v>0</v>
      </c>
      <c r="AN24" s="22">
        <f t="shared" si="21"/>
        <v>0</v>
      </c>
      <c r="AO24" s="22">
        <f t="shared" si="21"/>
        <v>0</v>
      </c>
    </row>
    <row r="25" spans="1:41" ht="25.5" x14ac:dyDescent="0.25">
      <c r="A25" s="22">
        <f t="shared" ref="A25:R25" si="22">A35</f>
        <v>340731.15900000004</v>
      </c>
      <c r="B25" s="22">
        <f t="shared" si="22"/>
        <v>0</v>
      </c>
      <c r="C25" s="22">
        <f t="shared" si="22"/>
        <v>0</v>
      </c>
      <c r="D25" s="22">
        <f t="shared" si="22"/>
        <v>0</v>
      </c>
      <c r="E25" s="22">
        <f t="shared" si="22"/>
        <v>233380.04500000001</v>
      </c>
      <c r="F25" s="22">
        <f t="shared" si="22"/>
        <v>0</v>
      </c>
      <c r="G25" s="22">
        <f t="shared" si="22"/>
        <v>59762.495999999999</v>
      </c>
      <c r="H25" s="22">
        <f t="shared" si="22"/>
        <v>0</v>
      </c>
      <c r="I25" s="22">
        <f t="shared" si="22"/>
        <v>47588.618000000002</v>
      </c>
      <c r="J25" s="22">
        <f t="shared" si="22"/>
        <v>210711.94399999999</v>
      </c>
      <c r="K25" s="22">
        <f t="shared" si="22"/>
        <v>77225.87</v>
      </c>
      <c r="L25" s="22">
        <f t="shared" si="22"/>
        <v>133486.07199999999</v>
      </c>
      <c r="M25" s="22">
        <f t="shared" si="22"/>
        <v>0</v>
      </c>
      <c r="N25" s="22">
        <f t="shared" si="22"/>
        <v>0</v>
      </c>
      <c r="O25" s="22">
        <f t="shared" si="22"/>
        <v>0</v>
      </c>
      <c r="P25" s="22">
        <f t="shared" si="22"/>
        <v>0</v>
      </c>
      <c r="Q25" s="22">
        <f t="shared" si="22"/>
        <v>0</v>
      </c>
      <c r="R25" s="22">
        <f t="shared" si="22"/>
        <v>0</v>
      </c>
      <c r="S25" s="295"/>
      <c r="T25" s="1430"/>
      <c r="U25" s="1437"/>
      <c r="V25" s="1438"/>
      <c r="W25" s="1438"/>
      <c r="X25" s="1438"/>
      <c r="Y25" s="1438"/>
      <c r="Z25" s="1438"/>
      <c r="AA25" s="1439"/>
      <c r="AB25" s="15" t="s">
        <v>9</v>
      </c>
      <c r="AC25" s="16">
        <f>AC35</f>
        <v>702203.72</v>
      </c>
      <c r="AD25" s="16">
        <f>AD35</f>
        <v>702203.72</v>
      </c>
      <c r="AE25" s="16">
        <f>AE35</f>
        <v>789617.84</v>
      </c>
      <c r="AF25" s="22">
        <f>AF35</f>
        <v>0</v>
      </c>
      <c r="AG25" s="22">
        <f>AG35</f>
        <v>0</v>
      </c>
      <c r="AH25" s="22">
        <f>AH33</f>
        <v>0</v>
      </c>
      <c r="AI25" s="22">
        <f>AI35</f>
        <v>0</v>
      </c>
      <c r="AJ25" s="22">
        <f t="shared" ref="AJ25:AO25" si="23">AJ33</f>
        <v>0</v>
      </c>
      <c r="AK25" s="22">
        <f t="shared" si="23"/>
        <v>0</v>
      </c>
      <c r="AL25" s="22">
        <f t="shared" si="23"/>
        <v>0</v>
      </c>
      <c r="AM25" s="22">
        <f t="shared" si="23"/>
        <v>0</v>
      </c>
      <c r="AN25" s="22">
        <f t="shared" si="23"/>
        <v>0</v>
      </c>
      <c r="AO25" s="22">
        <f t="shared" si="23"/>
        <v>0</v>
      </c>
    </row>
    <row r="26" spans="1:41" ht="25.5" customHeight="1" x14ac:dyDescent="0.25">
      <c r="A26" s="76">
        <f>A27+A35+A37</f>
        <v>540965.66700000013</v>
      </c>
      <c r="B26" s="76">
        <f t="shared" ref="B26:H26" si="24">B27+B35</f>
        <v>75183.449000000008</v>
      </c>
      <c r="C26" s="76">
        <f t="shared" si="24"/>
        <v>75183.449000000008</v>
      </c>
      <c r="D26" s="76">
        <f t="shared" si="24"/>
        <v>18363.297999999999</v>
      </c>
      <c r="E26" s="76">
        <f t="shared" si="24"/>
        <v>251743.34300000002</v>
      </c>
      <c r="F26" s="76">
        <f t="shared" si="24"/>
        <v>0</v>
      </c>
      <c r="G26" s="76">
        <f t="shared" si="24"/>
        <v>72306.168999999994</v>
      </c>
      <c r="H26" s="76">
        <f t="shared" si="24"/>
        <v>0</v>
      </c>
      <c r="I26" s="76">
        <f>I27+I35+I37</f>
        <v>58397.065999999999</v>
      </c>
      <c r="J26" s="76">
        <f>J27+J35+J37</f>
        <v>388156.185</v>
      </c>
      <c r="K26" s="76">
        <f>K27+K35</f>
        <v>35615.493999999999</v>
      </c>
      <c r="L26" s="76" t="e">
        <f>L27+L35</f>
        <v>#REF!</v>
      </c>
      <c r="M26" s="76">
        <f>M27+M35</f>
        <v>0</v>
      </c>
      <c r="N26" s="76" t="e">
        <f>#REF!-A26</f>
        <v>#REF!</v>
      </c>
      <c r="O26" s="76" t="e">
        <f>N26</f>
        <v>#REF!</v>
      </c>
      <c r="P26" s="76" t="e">
        <f>ROUND((A26*100%/#REF!*100),2)</f>
        <v>#REF!</v>
      </c>
      <c r="Q26" s="76">
        <f>Q27+Q35</f>
        <v>0</v>
      </c>
      <c r="R26" s="76">
        <f>R27+R35</f>
        <v>0</v>
      </c>
      <c r="S26" s="1540" t="s">
        <v>155</v>
      </c>
      <c r="T26" s="1376" t="s">
        <v>26</v>
      </c>
      <c r="U26" s="75" t="s">
        <v>18</v>
      </c>
      <c r="V26" s="1350"/>
      <c r="W26" s="1350"/>
      <c r="X26" s="1350"/>
      <c r="Y26" s="1440" t="s">
        <v>44</v>
      </c>
      <c r="Z26" s="1350">
        <v>2018</v>
      </c>
      <c r="AA26" s="1350">
        <v>2020</v>
      </c>
      <c r="AB26" s="525"/>
      <c r="AC26" s="24">
        <v>1075576.6499999999</v>
      </c>
      <c r="AD26" s="25">
        <f>AD27+AD35</f>
        <v>954032.91999999993</v>
      </c>
      <c r="AE26" s="76">
        <f>AE27+AE35+AE37</f>
        <v>1083165.3899999999</v>
      </c>
      <c r="AF26" s="76">
        <f>AF27+AF35+AF37</f>
        <v>0</v>
      </c>
      <c r="AG26" s="76">
        <f>AG27+AG35+AG37</f>
        <v>0</v>
      </c>
      <c r="AH26" s="76">
        <f>AH27+AH33</f>
        <v>0</v>
      </c>
      <c r="AI26" s="76">
        <f>AI27+AI35+AI37</f>
        <v>0</v>
      </c>
      <c r="AJ26" s="76">
        <f t="shared" ref="AJ26:AO26" si="25">AJ27+AJ33</f>
        <v>0</v>
      </c>
      <c r="AK26" s="76">
        <f t="shared" si="25"/>
        <v>0</v>
      </c>
      <c r="AL26" s="76">
        <f t="shared" si="25"/>
        <v>0</v>
      </c>
      <c r="AM26" s="76">
        <f t="shared" si="25"/>
        <v>0</v>
      </c>
      <c r="AN26" s="76">
        <f t="shared" si="25"/>
        <v>0</v>
      </c>
      <c r="AO26" s="76">
        <f t="shared" si="25"/>
        <v>0</v>
      </c>
    </row>
    <row r="27" spans="1:41" ht="51.75" customHeight="1" x14ac:dyDescent="0.25">
      <c r="A27" s="47">
        <f>SUM(A28:A34)</f>
        <v>90762.328000000023</v>
      </c>
      <c r="B27" s="47">
        <f t="shared" ref="B27:I27" si="26">SUM(B28:B34)</f>
        <v>75183.449000000008</v>
      </c>
      <c r="C27" s="47">
        <f t="shared" si="26"/>
        <v>75183.449000000008</v>
      </c>
      <c r="D27" s="47">
        <f t="shared" si="26"/>
        <v>18363.297999999999</v>
      </c>
      <c r="E27" s="47">
        <f t="shared" si="26"/>
        <v>18363.297999999999</v>
      </c>
      <c r="F27" s="47">
        <f t="shared" si="26"/>
        <v>0</v>
      </c>
      <c r="G27" s="47">
        <f t="shared" si="26"/>
        <v>12543.673000000001</v>
      </c>
      <c r="H27" s="47">
        <f t="shared" si="26"/>
        <v>0</v>
      </c>
      <c r="I27" s="47">
        <f t="shared" si="26"/>
        <v>-15328.092000000002</v>
      </c>
      <c r="J27" s="47">
        <f>SUM(J28:J34)</f>
        <v>67972.061000000002</v>
      </c>
      <c r="K27" s="47">
        <f>SUM(K28:K34)</f>
        <v>-41610.375999999997</v>
      </c>
      <c r="L27" s="47" t="e">
        <f>SUM(L28:L34)</f>
        <v>#REF!</v>
      </c>
      <c r="M27" s="47">
        <f>SUM(M28:M34)</f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1541"/>
      <c r="T27" s="1377"/>
      <c r="U27" s="358" t="s">
        <v>16</v>
      </c>
      <c r="V27" s="1351"/>
      <c r="W27" s="1351"/>
      <c r="X27" s="1351"/>
      <c r="Y27" s="1441"/>
      <c r="Z27" s="1351"/>
      <c r="AA27" s="1351"/>
      <c r="AB27" s="525" t="s">
        <v>19</v>
      </c>
      <c r="AC27" s="27">
        <v>373372.92999999993</v>
      </c>
      <c r="AD27" s="28">
        <f>AC27-AE27</f>
        <v>251829.19999999995</v>
      </c>
      <c r="AE27" s="3">
        <v>121543.73</v>
      </c>
      <c r="AF27" s="47">
        <v>0</v>
      </c>
      <c r="AG27" s="47">
        <f>SUM(AG28:AG34)</f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</row>
    <row r="28" spans="1:41" s="97" customFormat="1" ht="25.5" hidden="1" customHeight="1" x14ac:dyDescent="0.25">
      <c r="A28" s="96">
        <f t="shared" ref="A28:A34" si="27">C28+E28+G28+I28</f>
        <v>985</v>
      </c>
      <c r="B28" s="96">
        <v>0</v>
      </c>
      <c r="C28" s="96">
        <v>0</v>
      </c>
      <c r="D28" s="96">
        <f>E28</f>
        <v>394</v>
      </c>
      <c r="E28" s="96">
        <f>98.5+98.5+98.5+98.5</f>
        <v>394</v>
      </c>
      <c r="F28" s="96">
        <v>0</v>
      </c>
      <c r="G28" s="96">
        <f>98.5+98.5+98.5</f>
        <v>295.5</v>
      </c>
      <c r="H28" s="96"/>
      <c r="I28" s="96">
        <f>98.5+98.5+98.5</f>
        <v>295.5</v>
      </c>
      <c r="J28" s="96">
        <f>98.5+98.5+98.5+98.5+295.5+K28</f>
        <v>985</v>
      </c>
      <c r="K28" s="96">
        <f>98.5+98.5+98.5</f>
        <v>295.5</v>
      </c>
      <c r="L28" s="96">
        <f>98.5+98.5+98.5+98.5+295.5+M28</f>
        <v>689.5</v>
      </c>
      <c r="M28" s="96">
        <v>0</v>
      </c>
      <c r="N28" s="96"/>
      <c r="O28" s="96"/>
      <c r="P28" s="96"/>
      <c r="Q28" s="96"/>
      <c r="R28" s="96"/>
      <c r="S28" s="1541"/>
      <c r="T28" s="1377"/>
      <c r="U28" s="361" t="s">
        <v>215</v>
      </c>
      <c r="V28" s="90"/>
      <c r="W28" s="90"/>
      <c r="X28" s="90"/>
      <c r="Y28" s="91"/>
      <c r="Z28" s="90"/>
      <c r="AA28" s="90"/>
      <c r="AB28" s="269">
        <f>AL27+AN27+AP27</f>
        <v>0</v>
      </c>
      <c r="AC28" s="93"/>
      <c r="AD28" s="94"/>
      <c r="AE28" s="95"/>
      <c r="AF28" s="96">
        <f>AH28+AJ28+AL28+AN28</f>
        <v>0</v>
      </c>
      <c r="AG28" s="96">
        <f>AI28+AK28+AM28+AO28</f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</row>
    <row r="29" spans="1:41" s="97" customFormat="1" ht="15" hidden="1" customHeight="1" x14ac:dyDescent="0.25">
      <c r="A29" s="96">
        <f t="shared" si="27"/>
        <v>992.75499999999988</v>
      </c>
      <c r="B29" s="96">
        <f>C29</f>
        <v>490.80799999999999</v>
      </c>
      <c r="C29" s="96">
        <f>383.057+107.751</f>
        <v>490.80799999999999</v>
      </c>
      <c r="D29" s="96">
        <f t="shared" ref="D29:D34" si="28">E29</f>
        <v>217.298</v>
      </c>
      <c r="E29" s="96">
        <f>96.905+120.393</f>
        <v>217.298</v>
      </c>
      <c r="F29" s="96">
        <v>0</v>
      </c>
      <c r="G29" s="96">
        <f>67.521+46.254+45.458</f>
        <v>159.233</v>
      </c>
      <c r="H29" s="96"/>
      <c r="I29" s="96">
        <f>54.694+70.722</f>
        <v>125.416</v>
      </c>
      <c r="J29" s="96">
        <f>587.72+ 67.349+53.044+113.775+45.46+K29</f>
        <v>992.76300000000003</v>
      </c>
      <c r="K29" s="96">
        <f>54.694+37.08+33.641</f>
        <v>125.41499999999999</v>
      </c>
      <c r="L29" s="96" t="e">
        <f>587.72+ 67.349+53.044+113.775+45.46+#REF!</f>
        <v>#REF!</v>
      </c>
      <c r="M29" s="96">
        <v>0</v>
      </c>
      <c r="N29" s="96"/>
      <c r="O29" s="96"/>
      <c r="P29" s="96"/>
      <c r="Q29" s="96"/>
      <c r="R29" s="96"/>
      <c r="S29" s="1541"/>
      <c r="T29" s="1377"/>
      <c r="U29" s="361" t="s">
        <v>216</v>
      </c>
      <c r="V29" s="90"/>
      <c r="W29" s="90"/>
      <c r="X29" s="90"/>
      <c r="Y29" s="91"/>
      <c r="Z29" s="90"/>
      <c r="AA29" s="90"/>
      <c r="AB29" s="269">
        <f>AM27+AO27+AQ27</f>
        <v>0</v>
      </c>
      <c r="AC29" s="93"/>
      <c r="AD29" s="94"/>
      <c r="AE29" s="95"/>
      <c r="AF29" s="96">
        <f>AG29</f>
        <v>0</v>
      </c>
      <c r="AG29" s="96">
        <f t="shared" ref="AG29:AG34" si="29">AI29+AK29+AM29+AO29</f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</row>
    <row r="30" spans="1:41" s="97" customFormat="1" ht="15" hidden="1" customHeight="1" x14ac:dyDescent="0.25">
      <c r="A30" s="96">
        <f t="shared" si="27"/>
        <v>1485.463</v>
      </c>
      <c r="B30" s="96">
        <f>C30</f>
        <v>881.57399999999996</v>
      </c>
      <c r="C30" s="96">
        <f>574.585+161.627+145.362</f>
        <v>881.57399999999996</v>
      </c>
      <c r="D30" s="96">
        <f t="shared" si="28"/>
        <v>253.95600000000002</v>
      </c>
      <c r="E30" s="96">
        <f>101.023+79.566+73.367</f>
        <v>253.95600000000002</v>
      </c>
      <c r="F30" s="96">
        <v>0</v>
      </c>
      <c r="G30" s="96">
        <f>94.174</f>
        <v>94.174000000000007</v>
      </c>
      <c r="H30" s="96"/>
      <c r="I30" s="96">
        <f>112.992+37.237+50.464+55.066</f>
        <v>255.75900000000001</v>
      </c>
      <c r="J30" s="96">
        <f>881.57+101.023+79.566+73.367+94.174+150.23+K30</f>
        <v>1485.4580000000001</v>
      </c>
      <c r="K30" s="96">
        <f>50.462+55.066</f>
        <v>105.52800000000001</v>
      </c>
      <c r="L30" s="96">
        <f>881.57+101.023+79.566+73.367+94.174+150.23+M30</f>
        <v>1379.93</v>
      </c>
      <c r="M30" s="96">
        <v>0</v>
      </c>
      <c r="N30" s="96"/>
      <c r="O30" s="96"/>
      <c r="P30" s="96"/>
      <c r="Q30" s="96"/>
      <c r="R30" s="96"/>
      <c r="S30" s="1541"/>
      <c r="T30" s="1377"/>
      <c r="U30" s="361" t="s">
        <v>217</v>
      </c>
      <c r="V30" s="90"/>
      <c r="W30" s="90"/>
      <c r="X30" s="90"/>
      <c r="Y30" s="91"/>
      <c r="Z30" s="90"/>
      <c r="AA30" s="90"/>
      <c r="AB30" s="92"/>
      <c r="AC30" s="93"/>
      <c r="AD30" s="94"/>
      <c r="AE30" s="95"/>
      <c r="AF30" s="96">
        <f>AH30</f>
        <v>0</v>
      </c>
      <c r="AG30" s="96">
        <f t="shared" si="29"/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</row>
    <row r="31" spans="1:41" s="97" customFormat="1" ht="15" hidden="1" customHeight="1" x14ac:dyDescent="0.25">
      <c r="A31" s="96">
        <f t="shared" si="27"/>
        <v>54.398999999999994</v>
      </c>
      <c r="B31" s="96">
        <f>C31</f>
        <v>4.0810000000000004</v>
      </c>
      <c r="C31" s="96">
        <v>4.0810000000000004</v>
      </c>
      <c r="D31" s="96">
        <f t="shared" si="28"/>
        <v>22.061</v>
      </c>
      <c r="E31" s="96">
        <f>9.026+13.035</f>
        <v>22.061</v>
      </c>
      <c r="F31" s="96">
        <v>0</v>
      </c>
      <c r="G31" s="96">
        <v>15.622</v>
      </c>
      <c r="H31" s="96"/>
      <c r="I31" s="96">
        <v>12.635</v>
      </c>
      <c r="J31" s="96">
        <f>13.11+13.035+15.61+K31</f>
        <v>54.394999999999996</v>
      </c>
      <c r="K31" s="96">
        <v>12.64</v>
      </c>
      <c r="L31" s="96">
        <f>13.11+13.035+15.62+M31</f>
        <v>41.765000000000001</v>
      </c>
      <c r="M31" s="96">
        <v>0</v>
      </c>
      <c r="N31" s="96"/>
      <c r="O31" s="96"/>
      <c r="P31" s="96"/>
      <c r="Q31" s="96"/>
      <c r="R31" s="96"/>
      <c r="S31" s="1541"/>
      <c r="T31" s="1377"/>
      <c r="U31" s="361" t="s">
        <v>218</v>
      </c>
      <c r="V31" s="90"/>
      <c r="W31" s="90"/>
      <c r="X31" s="90"/>
      <c r="Y31" s="91"/>
      <c r="Z31" s="90"/>
      <c r="AA31" s="90"/>
      <c r="AB31" s="92"/>
      <c r="AC31" s="93"/>
      <c r="AD31" s="94"/>
      <c r="AE31" s="95"/>
      <c r="AF31" s="96">
        <f>AH31</f>
        <v>0</v>
      </c>
      <c r="AG31" s="96">
        <f t="shared" si="29"/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</row>
    <row r="32" spans="1:41" s="97" customFormat="1" ht="15" hidden="1" customHeight="1" x14ac:dyDescent="0.25">
      <c r="A32" s="96">
        <f t="shared" si="27"/>
        <v>26.65</v>
      </c>
      <c r="B32" s="96"/>
      <c r="C32" s="96"/>
      <c r="D32" s="96"/>
      <c r="E32" s="96"/>
      <c r="F32" s="96">
        <v>0</v>
      </c>
      <c r="G32" s="96">
        <v>26.65</v>
      </c>
      <c r="H32" s="96"/>
      <c r="I32" s="96"/>
      <c r="J32" s="96">
        <v>37.799999999999997</v>
      </c>
      <c r="K32" s="96">
        <v>0</v>
      </c>
      <c r="L32" s="96">
        <v>37.799999999999997</v>
      </c>
      <c r="M32" s="96">
        <v>0</v>
      </c>
      <c r="N32" s="96"/>
      <c r="O32" s="96"/>
      <c r="P32" s="96"/>
      <c r="Q32" s="96"/>
      <c r="R32" s="96"/>
      <c r="S32" s="1541"/>
      <c r="T32" s="1377"/>
      <c r="U32" s="361" t="s">
        <v>261</v>
      </c>
      <c r="V32" s="90"/>
      <c r="W32" s="90"/>
      <c r="X32" s="90"/>
      <c r="Y32" s="91"/>
      <c r="Z32" s="90"/>
      <c r="AA32" s="90"/>
      <c r="AB32" s="92"/>
      <c r="AC32" s="93"/>
      <c r="AD32" s="94"/>
      <c r="AE32" s="95"/>
      <c r="AF32" s="96">
        <v>0</v>
      </c>
      <c r="AG32" s="96">
        <f t="shared" si="29"/>
        <v>0</v>
      </c>
      <c r="AH32" s="22"/>
      <c r="AI32" s="22"/>
      <c r="AJ32" s="22"/>
      <c r="AK32" s="22"/>
      <c r="AL32" s="22"/>
      <c r="AM32" s="22"/>
      <c r="AN32" s="22"/>
      <c r="AO32" s="22"/>
    </row>
    <row r="33" spans="1:41" s="97" customFormat="1" ht="15" hidden="1" customHeight="1" x14ac:dyDescent="0.25">
      <c r="A33" s="96">
        <f t="shared" si="27"/>
        <v>379.82100000000003</v>
      </c>
      <c r="B33" s="96"/>
      <c r="C33" s="96"/>
      <c r="D33" s="96"/>
      <c r="E33" s="96"/>
      <c r="F33" s="96"/>
      <c r="G33" s="96"/>
      <c r="H33" s="96"/>
      <c r="I33" s="96">
        <v>379.82100000000003</v>
      </c>
      <c r="J33" s="96">
        <f>K33</f>
        <v>379.82100000000003</v>
      </c>
      <c r="K33" s="96">
        <v>379.82100000000003</v>
      </c>
      <c r="L33" s="96"/>
      <c r="M33" s="96"/>
      <c r="N33" s="96"/>
      <c r="O33" s="96"/>
      <c r="P33" s="96"/>
      <c r="Q33" s="96"/>
      <c r="R33" s="96"/>
      <c r="S33" s="1541"/>
      <c r="T33" s="1377"/>
      <c r="U33" s="361" t="s">
        <v>223</v>
      </c>
      <c r="V33" s="90"/>
      <c r="W33" s="90"/>
      <c r="X33" s="90"/>
      <c r="Y33" s="91"/>
      <c r="Z33" s="90"/>
      <c r="AA33" s="90"/>
      <c r="AB33" s="92"/>
      <c r="AC33" s="93"/>
      <c r="AD33" s="94"/>
      <c r="AE33" s="95"/>
      <c r="AF33" s="96">
        <v>0</v>
      </c>
      <c r="AG33" s="96">
        <f t="shared" si="29"/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</row>
    <row r="34" spans="1:41" s="97" customFormat="1" ht="15.75" hidden="1" customHeight="1" x14ac:dyDescent="0.25">
      <c r="A34" s="96">
        <f t="shared" si="27"/>
        <v>86838.24000000002</v>
      </c>
      <c r="B34" s="96">
        <f>C34</f>
        <v>73806.986000000004</v>
      </c>
      <c r="C34" s="96">
        <f>19431.338+240.415+9150.073+10020.865+25951.879+9012.416</f>
        <v>73806.986000000004</v>
      </c>
      <c r="D34" s="96">
        <f t="shared" si="28"/>
        <v>17475.983</v>
      </c>
      <c r="E34" s="96">
        <f>6263.42+4933.086+6279.477</f>
        <v>17475.983</v>
      </c>
      <c r="F34" s="96">
        <v>0</v>
      </c>
      <c r="G34" s="96">
        <f>4419.724+4545.848+2986.922</f>
        <v>11952.494000000001</v>
      </c>
      <c r="H34" s="96"/>
      <c r="I34" s="96">
        <f>2482.504+3364.14+36.932+3671.08-25951.879</f>
        <v>-16397.223000000002</v>
      </c>
      <c r="J34" s="96">
        <f>79868.89+5304.394+6752.126+4625.42+4545.848+2986.922+2482.504+K34</f>
        <v>64036.824000000008</v>
      </c>
      <c r="K34" s="96">
        <f>8745.274-25951.879-25322.675</f>
        <v>-42529.279999999999</v>
      </c>
      <c r="L34" s="96">
        <f>79868.89+M34+5304.394+6752.126+4625.42+10015.27</f>
        <v>106566.1</v>
      </c>
      <c r="M34" s="96">
        <v>0</v>
      </c>
      <c r="N34" s="96"/>
      <c r="O34" s="96"/>
      <c r="P34" s="96"/>
      <c r="Q34" s="96"/>
      <c r="R34" s="96"/>
      <c r="S34" s="1541"/>
      <c r="T34" s="1377"/>
      <c r="U34" s="361" t="s">
        <v>221</v>
      </c>
      <c r="V34" s="90"/>
      <c r="W34" s="90"/>
      <c r="X34" s="90"/>
      <c r="Y34" s="91"/>
      <c r="Z34" s="90"/>
      <c r="AA34" s="90"/>
      <c r="AB34" s="92"/>
      <c r="AC34" s="93"/>
      <c r="AD34" s="94"/>
      <c r="AE34" s="95"/>
      <c r="AF34" s="96">
        <f>AH34</f>
        <v>0</v>
      </c>
      <c r="AG34" s="96">
        <f t="shared" si="29"/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</row>
    <row r="35" spans="1:41" ht="36" customHeight="1" x14ac:dyDescent="0.25">
      <c r="A35" s="71">
        <f>SUM(A36:A36)</f>
        <v>340731.15900000004</v>
      </c>
      <c r="B35" s="71">
        <v>0</v>
      </c>
      <c r="C35" s="71">
        <f t="shared" ref="C35:M35" si="30">SUM(C36:C36)</f>
        <v>0</v>
      </c>
      <c r="D35" s="71">
        <f t="shared" si="30"/>
        <v>0</v>
      </c>
      <c r="E35" s="71">
        <f t="shared" si="30"/>
        <v>233380.04500000001</v>
      </c>
      <c r="F35" s="71">
        <f t="shared" si="30"/>
        <v>0</v>
      </c>
      <c r="G35" s="71">
        <f t="shared" si="30"/>
        <v>59762.495999999999</v>
      </c>
      <c r="H35" s="71">
        <f t="shared" si="30"/>
        <v>0</v>
      </c>
      <c r="I35" s="71">
        <f t="shared" si="30"/>
        <v>47588.618000000002</v>
      </c>
      <c r="J35" s="71">
        <f t="shared" si="30"/>
        <v>210711.94399999999</v>
      </c>
      <c r="K35" s="71">
        <f>SUM(K36:K36)</f>
        <v>77225.87</v>
      </c>
      <c r="L35" s="71">
        <f t="shared" si="30"/>
        <v>133486.07199999999</v>
      </c>
      <c r="M35" s="71">
        <f t="shared" si="30"/>
        <v>0</v>
      </c>
      <c r="N35" s="71">
        <v>0</v>
      </c>
      <c r="O35" s="71">
        <v>0</v>
      </c>
      <c r="P35" s="71">
        <v>0</v>
      </c>
      <c r="Q35" s="71">
        <v>0</v>
      </c>
      <c r="R35" s="71">
        <v>0</v>
      </c>
      <c r="S35" s="1542"/>
      <c r="T35" s="1377"/>
      <c r="U35" s="446"/>
      <c r="V35" s="505"/>
      <c r="W35" s="505"/>
      <c r="X35" s="505"/>
      <c r="Y35" s="511"/>
      <c r="Z35" s="505"/>
      <c r="AA35" s="505"/>
      <c r="AB35" s="15" t="s">
        <v>9</v>
      </c>
      <c r="AC35" s="518">
        <f>AD35</f>
        <v>702203.72</v>
      </c>
      <c r="AD35" s="29">
        <v>702203.72</v>
      </c>
      <c r="AE35" s="71">
        <v>789617.84</v>
      </c>
      <c r="AF35" s="71">
        <v>0</v>
      </c>
      <c r="AG35" s="71">
        <f>SUM(AG36:AG36)</f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</row>
    <row r="36" spans="1:41" s="97" customFormat="1" ht="15.75" hidden="1" customHeight="1" x14ac:dyDescent="0.25">
      <c r="A36" s="96">
        <f>C36+E36+G36+I36</f>
        <v>340731.15900000004</v>
      </c>
      <c r="B36" s="96">
        <f>C36</f>
        <v>0</v>
      </c>
      <c r="C36" s="100">
        <v>0</v>
      </c>
      <c r="D36" s="100">
        <v>0</v>
      </c>
      <c r="E36" s="100">
        <f>50833.737+50104.326+45062.062+31317.102+24665.43+31397.388</f>
        <v>233380.04500000001</v>
      </c>
      <c r="F36" s="100">
        <v>0</v>
      </c>
      <c r="G36" s="100">
        <f>22098.622+22729.242+14934.612+0.02</f>
        <v>59762.495999999999</v>
      </c>
      <c r="H36" s="100"/>
      <c r="I36" s="100">
        <f>12412.518+16820.698+18355.402</f>
        <v>47588.618000000002</v>
      </c>
      <c r="J36" s="100">
        <f>26521.968+33760.632+23127.102+22729.242+14934.612+12412.518+K36</f>
        <v>210711.94399999999</v>
      </c>
      <c r="K36" s="100">
        <f>43541.707+33684.163</f>
        <v>77225.87</v>
      </c>
      <c r="L36" s="100">
        <f>26521.968+33760.632+23127.102+M36+50076.37</f>
        <v>133486.07199999999</v>
      </c>
      <c r="M36" s="100">
        <v>0</v>
      </c>
      <c r="N36" s="100"/>
      <c r="O36" s="100"/>
      <c r="P36" s="100"/>
      <c r="Q36" s="100"/>
      <c r="R36" s="100"/>
      <c r="S36" s="297"/>
      <c r="T36" s="322"/>
      <c r="U36" s="426" t="s">
        <v>246</v>
      </c>
      <c r="V36" s="90"/>
      <c r="W36" s="90"/>
      <c r="X36" s="90"/>
      <c r="Y36" s="91"/>
      <c r="Z36" s="90"/>
      <c r="AA36" s="90"/>
      <c r="AB36" s="101"/>
      <c r="AC36" s="98"/>
      <c r="AD36" s="99"/>
      <c r="AE36" s="100"/>
      <c r="AF36" s="96">
        <f>AG36</f>
        <v>0</v>
      </c>
      <c r="AG36" s="96">
        <f>AI36+AK36+AM36+AO36</f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</row>
    <row r="37" spans="1:41" ht="25.5" x14ac:dyDescent="0.25">
      <c r="A37" s="47">
        <f>SUM(A38:A39)</f>
        <v>109472.18</v>
      </c>
      <c r="B37" s="47">
        <f t="shared" ref="B37:M37" si="31">SUM(B38:B39)</f>
        <v>83335.64</v>
      </c>
      <c r="C37" s="47">
        <f t="shared" si="31"/>
        <v>83335.64</v>
      </c>
      <c r="D37" s="47">
        <f t="shared" si="31"/>
        <v>0</v>
      </c>
      <c r="E37" s="47">
        <f t="shared" si="31"/>
        <v>0</v>
      </c>
      <c r="F37" s="47">
        <f t="shared" si="31"/>
        <v>0</v>
      </c>
      <c r="G37" s="47">
        <f t="shared" si="31"/>
        <v>0</v>
      </c>
      <c r="H37" s="47">
        <f t="shared" si="31"/>
        <v>0</v>
      </c>
      <c r="I37" s="47">
        <f t="shared" si="31"/>
        <v>26136.54</v>
      </c>
      <c r="J37" s="47">
        <f t="shared" si="31"/>
        <v>109472.18</v>
      </c>
      <c r="K37" s="47">
        <f t="shared" si="31"/>
        <v>26136.54</v>
      </c>
      <c r="L37" s="47">
        <f t="shared" si="31"/>
        <v>83335.64</v>
      </c>
      <c r="M37" s="47">
        <f t="shared" si="31"/>
        <v>0</v>
      </c>
      <c r="N37" s="71"/>
      <c r="O37" s="71"/>
      <c r="P37" s="71"/>
      <c r="Q37" s="71"/>
      <c r="R37" s="71"/>
      <c r="S37" s="298"/>
      <c r="T37" s="506"/>
      <c r="U37" s="446"/>
      <c r="V37" s="505"/>
      <c r="W37" s="505"/>
      <c r="X37" s="505"/>
      <c r="Y37" s="511"/>
      <c r="Z37" s="505"/>
      <c r="AA37" s="505"/>
      <c r="AB37" s="520" t="s">
        <v>10</v>
      </c>
      <c r="AC37" s="500"/>
      <c r="AD37" s="283"/>
      <c r="AE37" s="71">
        <f>SUM(AE38:AE39)</f>
        <v>172003.82</v>
      </c>
      <c r="AF37" s="71">
        <v>0</v>
      </c>
      <c r="AG37" s="47">
        <f>SUM(AG38:AG39)</f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</row>
    <row r="38" spans="1:41" s="97" customFormat="1" ht="15.75" hidden="1" customHeight="1" x14ac:dyDescent="0.25">
      <c r="A38" s="96">
        <f>C38+E38+G38+I38</f>
        <v>27472.18</v>
      </c>
      <c r="B38" s="96">
        <f>C38</f>
        <v>1335.64</v>
      </c>
      <c r="C38" s="100">
        <v>1335.64</v>
      </c>
      <c r="D38" s="100">
        <v>0</v>
      </c>
      <c r="E38" s="100">
        <v>0</v>
      </c>
      <c r="F38" s="100">
        <v>0</v>
      </c>
      <c r="G38" s="100">
        <v>0</v>
      </c>
      <c r="H38" s="100"/>
      <c r="I38" s="100">
        <f>25951.879+184.661</f>
        <v>26136.54</v>
      </c>
      <c r="J38" s="96">
        <f>1335.64+K38</f>
        <v>27472.18</v>
      </c>
      <c r="K38" s="100">
        <f>25951.879+184.661</f>
        <v>26136.54</v>
      </c>
      <c r="L38" s="96">
        <f>1335.64+M38</f>
        <v>1335.64</v>
      </c>
      <c r="M38" s="100">
        <v>0</v>
      </c>
      <c r="N38" s="100"/>
      <c r="O38" s="100"/>
      <c r="P38" s="100"/>
      <c r="Q38" s="100"/>
      <c r="R38" s="100"/>
      <c r="S38" s="297"/>
      <c r="T38" s="506"/>
      <c r="U38" s="478" t="s">
        <v>219</v>
      </c>
      <c r="V38" s="505"/>
      <c r="W38" s="505"/>
      <c r="X38" s="505"/>
      <c r="Y38" s="511"/>
      <c r="Z38" s="505"/>
      <c r="AA38" s="505"/>
      <c r="AB38" s="520"/>
      <c r="AC38" s="500"/>
      <c r="AD38" s="283"/>
      <c r="AE38" s="71">
        <v>90003.82</v>
      </c>
      <c r="AF38" s="47">
        <f>AG38</f>
        <v>0</v>
      </c>
      <c r="AG38" s="47">
        <f>AI38+AK38+AM38+AO38</f>
        <v>0</v>
      </c>
      <c r="AH38" s="120">
        <v>0</v>
      </c>
      <c r="AI38" s="121">
        <v>0</v>
      </c>
      <c r="AJ38" s="121">
        <v>0</v>
      </c>
      <c r="AK38" s="121">
        <v>0</v>
      </c>
      <c r="AL38" s="120">
        <v>0</v>
      </c>
      <c r="AM38" s="121">
        <v>0</v>
      </c>
      <c r="AN38" s="121">
        <v>0</v>
      </c>
      <c r="AO38" s="121">
        <v>0</v>
      </c>
    </row>
    <row r="39" spans="1:41" s="97" customFormat="1" ht="15.75" hidden="1" customHeight="1" x14ac:dyDescent="0.25">
      <c r="A39" s="96">
        <f>C39+E39+G39</f>
        <v>82000</v>
      </c>
      <c r="B39" s="96">
        <f>C39</f>
        <v>82000</v>
      </c>
      <c r="C39" s="100">
        <v>82000</v>
      </c>
      <c r="D39" s="100">
        <v>0</v>
      </c>
      <c r="E39" s="100">
        <v>0</v>
      </c>
      <c r="F39" s="100">
        <v>0</v>
      </c>
      <c r="G39" s="100"/>
      <c r="H39" s="100"/>
      <c r="I39" s="100"/>
      <c r="J39" s="96">
        <f>82000+K39</f>
        <v>82000</v>
      </c>
      <c r="K39" s="100">
        <v>0</v>
      </c>
      <c r="L39" s="96">
        <f>82000+M39</f>
        <v>82000</v>
      </c>
      <c r="M39" s="100">
        <v>0</v>
      </c>
      <c r="N39" s="100"/>
      <c r="O39" s="100"/>
      <c r="P39" s="100"/>
      <c r="Q39" s="100"/>
      <c r="R39" s="100"/>
      <c r="S39" s="297"/>
      <c r="T39" s="506"/>
      <c r="U39" s="478" t="s">
        <v>220</v>
      </c>
      <c r="V39" s="505"/>
      <c r="W39" s="505"/>
      <c r="X39" s="505"/>
      <c r="Y39" s="511"/>
      <c r="Z39" s="505"/>
      <c r="AA39" s="505"/>
      <c r="AB39" s="520"/>
      <c r="AC39" s="500"/>
      <c r="AD39" s="283"/>
      <c r="AE39" s="71">
        <v>82000</v>
      </c>
      <c r="AF39" s="47">
        <f>AG39</f>
        <v>0</v>
      </c>
      <c r="AG39" s="47">
        <f>AI39+AK39+AM39</f>
        <v>0</v>
      </c>
      <c r="AH39" s="122">
        <v>0</v>
      </c>
      <c r="AI39" s="123">
        <v>0</v>
      </c>
      <c r="AJ39" s="123">
        <v>0</v>
      </c>
      <c r="AK39" s="123">
        <v>0</v>
      </c>
      <c r="AL39" s="122">
        <v>0</v>
      </c>
      <c r="AM39" s="123">
        <v>0</v>
      </c>
      <c r="AN39" s="123">
        <v>0</v>
      </c>
      <c r="AO39" s="123">
        <v>0</v>
      </c>
    </row>
    <row r="40" spans="1:41" ht="38.25" customHeight="1" x14ac:dyDescent="0.25">
      <c r="A40" s="78">
        <f t="shared" ref="A40:AO40" si="32">A41+A42</f>
        <v>0</v>
      </c>
      <c r="B40" s="78">
        <f t="shared" si="32"/>
        <v>0</v>
      </c>
      <c r="C40" s="78">
        <f t="shared" si="32"/>
        <v>0</v>
      </c>
      <c r="D40" s="78">
        <f t="shared" si="32"/>
        <v>0</v>
      </c>
      <c r="E40" s="78">
        <f t="shared" si="32"/>
        <v>0</v>
      </c>
      <c r="F40" s="78">
        <f t="shared" si="32"/>
        <v>0</v>
      </c>
      <c r="G40" s="78">
        <f t="shared" si="32"/>
        <v>0</v>
      </c>
      <c r="H40" s="78">
        <f t="shared" si="32"/>
        <v>0</v>
      </c>
      <c r="I40" s="78">
        <f t="shared" si="32"/>
        <v>0</v>
      </c>
      <c r="J40" s="78">
        <f t="shared" si="32"/>
        <v>0</v>
      </c>
      <c r="K40" s="78">
        <f t="shared" si="32"/>
        <v>0</v>
      </c>
      <c r="L40" s="78">
        <f t="shared" si="32"/>
        <v>0</v>
      </c>
      <c r="M40" s="78">
        <f t="shared" si="32"/>
        <v>0</v>
      </c>
      <c r="N40" s="78">
        <f t="shared" si="32"/>
        <v>0</v>
      </c>
      <c r="O40" s="78">
        <f t="shared" si="32"/>
        <v>0</v>
      </c>
      <c r="P40" s="78">
        <f t="shared" si="32"/>
        <v>0</v>
      </c>
      <c r="Q40" s="78">
        <f t="shared" si="32"/>
        <v>0</v>
      </c>
      <c r="R40" s="78">
        <f t="shared" si="32"/>
        <v>0</v>
      </c>
      <c r="S40" s="78">
        <f t="shared" si="32"/>
        <v>0</v>
      </c>
      <c r="T40" s="1376" t="s">
        <v>33</v>
      </c>
      <c r="U40" s="77" t="s">
        <v>28</v>
      </c>
      <c r="V40" s="30"/>
      <c r="W40" s="30"/>
      <c r="X40" s="30"/>
      <c r="Y40" s="31">
        <v>30000</v>
      </c>
      <c r="Z40" s="515"/>
      <c r="AA40" s="515"/>
      <c r="AB40" s="1326" t="s">
        <v>19</v>
      </c>
      <c r="AC40" s="1386">
        <f>AD40+AE40</f>
        <v>260501.25</v>
      </c>
      <c r="AD40" s="1386">
        <v>0</v>
      </c>
      <c r="AE40" s="78">
        <f>AE42+AE41</f>
        <v>260501.25</v>
      </c>
      <c r="AF40" s="78">
        <f>AF42+AF41</f>
        <v>116395.59</v>
      </c>
      <c r="AG40" s="78">
        <f>AG42</f>
        <v>0</v>
      </c>
      <c r="AH40" s="78">
        <f t="shared" si="32"/>
        <v>0</v>
      </c>
      <c r="AI40" s="78">
        <f t="shared" si="32"/>
        <v>0</v>
      </c>
      <c r="AJ40" s="78">
        <f t="shared" si="32"/>
        <v>0</v>
      </c>
      <c r="AK40" s="78">
        <f t="shared" si="32"/>
        <v>0</v>
      </c>
      <c r="AL40" s="78">
        <f t="shared" si="32"/>
        <v>0</v>
      </c>
      <c r="AM40" s="78">
        <f t="shared" si="32"/>
        <v>0</v>
      </c>
      <c r="AN40" s="78">
        <f t="shared" si="32"/>
        <v>0</v>
      </c>
      <c r="AO40" s="78">
        <f t="shared" si="32"/>
        <v>0</v>
      </c>
    </row>
    <row r="41" spans="1:41" s="285" customFormat="1" ht="15.75" customHeight="1" x14ac:dyDescent="0.25">
      <c r="A41" s="72">
        <v>0</v>
      </c>
      <c r="B41" s="72"/>
      <c r="C41" s="72"/>
      <c r="D41" s="72"/>
      <c r="E41" s="72"/>
      <c r="F41" s="72"/>
      <c r="G41" s="72"/>
      <c r="H41" s="258">
        <v>0</v>
      </c>
      <c r="I41" s="258">
        <v>0</v>
      </c>
      <c r="J41" s="72">
        <v>0</v>
      </c>
      <c r="K41" s="72">
        <v>0</v>
      </c>
      <c r="L41" s="72">
        <v>0</v>
      </c>
      <c r="M41" s="72">
        <v>0</v>
      </c>
      <c r="N41" s="288">
        <v>0</v>
      </c>
      <c r="O41" s="288">
        <v>0</v>
      </c>
      <c r="P41" s="72">
        <v>0</v>
      </c>
      <c r="Q41" s="72">
        <v>0</v>
      </c>
      <c r="R41" s="72">
        <v>0</v>
      </c>
      <c r="S41" s="299"/>
      <c r="T41" s="1377"/>
      <c r="U41" s="1" t="s">
        <v>15</v>
      </c>
      <c r="V41" s="286"/>
      <c r="W41" s="286"/>
      <c r="X41" s="286"/>
      <c r="Y41" s="287"/>
      <c r="Z41" s="515"/>
      <c r="AA41" s="515"/>
      <c r="AB41" s="1327"/>
      <c r="AC41" s="1408"/>
      <c r="AD41" s="1408"/>
      <c r="AE41" s="72">
        <v>10164.5</v>
      </c>
      <c r="AF41" s="72">
        <v>0</v>
      </c>
      <c r="AG41" s="7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</row>
    <row r="42" spans="1:41" ht="15.75" customHeight="1" x14ac:dyDescent="0.25">
      <c r="A42" s="72">
        <v>0</v>
      </c>
      <c r="B42" s="72">
        <v>0</v>
      </c>
      <c r="C42" s="72">
        <v>0</v>
      </c>
      <c r="D42" s="72">
        <v>0</v>
      </c>
      <c r="E42" s="72">
        <v>0</v>
      </c>
      <c r="F42" s="72">
        <v>0</v>
      </c>
      <c r="G42" s="72">
        <v>0</v>
      </c>
      <c r="H42" s="258">
        <v>0</v>
      </c>
      <c r="I42" s="258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299"/>
      <c r="T42" s="1409"/>
      <c r="U42" s="1" t="s">
        <v>32</v>
      </c>
      <c r="V42" s="30"/>
      <c r="W42" s="30"/>
      <c r="X42" s="30"/>
      <c r="Y42" s="32"/>
      <c r="Z42" s="515">
        <v>2020</v>
      </c>
      <c r="AA42" s="515">
        <v>2021</v>
      </c>
      <c r="AB42" s="1328"/>
      <c r="AC42" s="1387"/>
      <c r="AD42" s="1387"/>
      <c r="AE42" s="72">
        <v>250336.75</v>
      </c>
      <c r="AF42" s="72">
        <v>116395.59</v>
      </c>
      <c r="AG42" s="7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</row>
    <row r="43" spans="1:41" ht="29.25" customHeight="1" x14ac:dyDescent="0.25">
      <c r="A43" s="76">
        <f t="shared" ref="A43:M43" si="33">A44+A45</f>
        <v>0</v>
      </c>
      <c r="B43" s="76">
        <f t="shared" si="33"/>
        <v>0</v>
      </c>
      <c r="C43" s="76">
        <f t="shared" si="33"/>
        <v>0</v>
      </c>
      <c r="D43" s="76">
        <f t="shared" si="33"/>
        <v>0</v>
      </c>
      <c r="E43" s="76">
        <f t="shared" si="33"/>
        <v>0</v>
      </c>
      <c r="F43" s="76">
        <f t="shared" si="33"/>
        <v>0</v>
      </c>
      <c r="G43" s="76">
        <f t="shared" si="33"/>
        <v>0</v>
      </c>
      <c r="H43" s="76">
        <f t="shared" si="33"/>
        <v>0</v>
      </c>
      <c r="I43" s="76">
        <f t="shared" si="33"/>
        <v>0</v>
      </c>
      <c r="J43" s="76">
        <f t="shared" si="33"/>
        <v>0</v>
      </c>
      <c r="K43" s="76">
        <f t="shared" si="33"/>
        <v>0</v>
      </c>
      <c r="L43" s="76">
        <f t="shared" si="33"/>
        <v>0</v>
      </c>
      <c r="M43" s="76">
        <f t="shared" si="33"/>
        <v>0</v>
      </c>
      <c r="N43" s="76" t="e">
        <f>#REF!-A43</f>
        <v>#REF!</v>
      </c>
      <c r="O43" s="76" t="e">
        <f>N43</f>
        <v>#REF!</v>
      </c>
      <c r="P43" s="76" t="e">
        <f>ROUND((A43*100%/#REF!*100),2)</f>
        <v>#REF!</v>
      </c>
      <c r="Q43" s="76">
        <f>Q44+Q45</f>
        <v>0</v>
      </c>
      <c r="R43" s="76">
        <f>R44+R45</f>
        <v>0</v>
      </c>
      <c r="S43" s="300"/>
      <c r="T43" s="1376" t="s">
        <v>37</v>
      </c>
      <c r="U43" s="77" t="s">
        <v>36</v>
      </c>
      <c r="V43" s="30"/>
      <c r="W43" s="30"/>
      <c r="X43" s="30"/>
      <c r="Y43" s="32"/>
      <c r="Z43" s="515"/>
      <c r="AA43" s="515"/>
      <c r="AB43" s="1326" t="s">
        <v>19</v>
      </c>
      <c r="AC43" s="33">
        <v>344081.28</v>
      </c>
      <c r="AD43" s="1442">
        <v>0</v>
      </c>
      <c r="AE43" s="76">
        <f>AE44+AE46</f>
        <v>336891.54</v>
      </c>
      <c r="AF43" s="76">
        <f>AF44+AF46</f>
        <v>12942.97</v>
      </c>
      <c r="AG43" s="76">
        <f>AG44+AG46</f>
        <v>0</v>
      </c>
      <c r="AH43" s="78">
        <f t="shared" ref="AH43:AO43" si="34">AH44+AH45</f>
        <v>0</v>
      </c>
      <c r="AI43" s="78">
        <f t="shared" si="34"/>
        <v>0</v>
      </c>
      <c r="AJ43" s="78">
        <f t="shared" si="34"/>
        <v>0</v>
      </c>
      <c r="AK43" s="78">
        <f t="shared" si="34"/>
        <v>0</v>
      </c>
      <c r="AL43" s="78">
        <f t="shared" si="34"/>
        <v>0</v>
      </c>
      <c r="AM43" s="78">
        <f t="shared" si="34"/>
        <v>0</v>
      </c>
      <c r="AN43" s="78">
        <f t="shared" si="34"/>
        <v>0</v>
      </c>
      <c r="AO43" s="78">
        <f t="shared" si="34"/>
        <v>0</v>
      </c>
    </row>
    <row r="44" spans="1:41" ht="15" customHeight="1" x14ac:dyDescent="0.25">
      <c r="A44" s="4">
        <v>0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375"/>
      <c r="T44" s="1377"/>
      <c r="U44" s="1" t="s">
        <v>15</v>
      </c>
      <c r="V44" s="30"/>
      <c r="W44" s="30"/>
      <c r="X44" s="30"/>
      <c r="Y44" s="32"/>
      <c r="Z44" s="515">
        <v>2019</v>
      </c>
      <c r="AA44" s="515">
        <v>2019</v>
      </c>
      <c r="AB44" s="1327"/>
      <c r="AC44" s="16">
        <v>31543.64</v>
      </c>
      <c r="AD44" s="1443"/>
      <c r="AE44" s="47">
        <f>SUM(AG44:AI44)</f>
        <v>0</v>
      </c>
      <c r="AF44" s="4">
        <v>0</v>
      </c>
      <c r="AG44" s="4">
        <f>AG45</f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</row>
    <row r="45" spans="1:41" ht="14.25" hidden="1" customHeight="1" x14ac:dyDescent="0.25">
      <c r="A45" s="47">
        <v>0</v>
      </c>
      <c r="B45" s="47">
        <v>0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294"/>
      <c r="T45" s="1377"/>
      <c r="U45" s="102" t="s">
        <v>291</v>
      </c>
      <c r="V45" s="485"/>
      <c r="W45" s="485"/>
      <c r="X45" s="485"/>
      <c r="Y45" s="486"/>
      <c r="Z45" s="487"/>
      <c r="AA45" s="487"/>
      <c r="AB45" s="1327"/>
      <c r="AC45" s="107"/>
      <c r="AD45" s="1443"/>
      <c r="AE45" s="96"/>
      <c r="AF45" s="268"/>
      <c r="AG45" s="268">
        <f>AO45</f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</row>
    <row r="46" spans="1:41" ht="18.75" customHeight="1" x14ac:dyDescent="0.25">
      <c r="A46" s="4">
        <v>0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1409"/>
      <c r="U46" s="1" t="s">
        <v>16</v>
      </c>
      <c r="V46" s="30"/>
      <c r="W46" s="30"/>
      <c r="X46" s="30"/>
      <c r="Y46" s="32"/>
      <c r="Z46" s="515">
        <v>2020</v>
      </c>
      <c r="AA46" s="515">
        <v>2021</v>
      </c>
      <c r="AB46" s="1328"/>
      <c r="AC46" s="16">
        <v>312537.64</v>
      </c>
      <c r="AD46" s="1444"/>
      <c r="AE46" s="47">
        <v>336891.54</v>
      </c>
      <c r="AF46" s="4">
        <v>12942.97</v>
      </c>
      <c r="AG46" s="47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</row>
    <row r="47" spans="1:41" ht="44.25" customHeight="1" x14ac:dyDescent="0.25">
      <c r="A47" s="4">
        <v>0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375"/>
      <c r="T47" s="1376" t="s">
        <v>22</v>
      </c>
      <c r="U47" s="1335" t="s">
        <v>49</v>
      </c>
      <c r="V47" s="1336"/>
      <c r="W47" s="1336"/>
      <c r="X47" s="1336"/>
      <c r="Y47" s="1336"/>
      <c r="Z47" s="1336"/>
      <c r="AA47" s="1337"/>
      <c r="AB47" s="15" t="s">
        <v>19</v>
      </c>
      <c r="AC47" s="16">
        <v>0</v>
      </c>
      <c r="AD47" s="16">
        <v>0</v>
      </c>
      <c r="AE47" s="3">
        <v>0</v>
      </c>
      <c r="AF47" s="4">
        <v>0</v>
      </c>
      <c r="AG47" s="4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</row>
    <row r="48" spans="1:41" ht="27.75" customHeight="1" x14ac:dyDescent="0.25">
      <c r="A48" s="4">
        <f t="shared" ref="A48:R48" si="35">A50</f>
        <v>0</v>
      </c>
      <c r="B48" s="4">
        <f t="shared" si="35"/>
        <v>0</v>
      </c>
      <c r="C48" s="4">
        <f t="shared" si="35"/>
        <v>0</v>
      </c>
      <c r="D48" s="4">
        <f t="shared" si="35"/>
        <v>0</v>
      </c>
      <c r="E48" s="4">
        <f t="shared" si="35"/>
        <v>0</v>
      </c>
      <c r="F48" s="4">
        <f t="shared" si="35"/>
        <v>0</v>
      </c>
      <c r="G48" s="4">
        <f t="shared" si="35"/>
        <v>0</v>
      </c>
      <c r="H48" s="4">
        <f t="shared" si="35"/>
        <v>0</v>
      </c>
      <c r="I48" s="4">
        <f t="shared" si="35"/>
        <v>0</v>
      </c>
      <c r="J48" s="4">
        <f t="shared" si="35"/>
        <v>0</v>
      </c>
      <c r="K48" s="4">
        <f t="shared" si="35"/>
        <v>0</v>
      </c>
      <c r="L48" s="4">
        <f t="shared" si="35"/>
        <v>0</v>
      </c>
      <c r="M48" s="4">
        <f t="shared" si="35"/>
        <v>0</v>
      </c>
      <c r="N48" s="4" t="e">
        <f t="shared" si="35"/>
        <v>#REF!</v>
      </c>
      <c r="O48" s="4" t="e">
        <f t="shared" si="35"/>
        <v>#REF!</v>
      </c>
      <c r="P48" s="4">
        <f t="shared" si="35"/>
        <v>0</v>
      </c>
      <c r="Q48" s="4">
        <f t="shared" si="35"/>
        <v>0</v>
      </c>
      <c r="R48" s="4">
        <f t="shared" si="35"/>
        <v>0</v>
      </c>
      <c r="S48" s="375"/>
      <c r="T48" s="1377"/>
      <c r="U48" s="1338"/>
      <c r="V48" s="1339"/>
      <c r="W48" s="1339"/>
      <c r="X48" s="1339"/>
      <c r="Y48" s="1339"/>
      <c r="Z48" s="1339"/>
      <c r="AA48" s="1340"/>
      <c r="AB48" s="15" t="s">
        <v>20</v>
      </c>
      <c r="AC48" s="16">
        <v>0</v>
      </c>
      <c r="AD48" s="16">
        <v>0</v>
      </c>
      <c r="AE48" s="3">
        <f>AE51</f>
        <v>4674.0700000000006</v>
      </c>
      <c r="AF48" s="47">
        <f>AF51</f>
        <v>521.89</v>
      </c>
      <c r="AG48" s="47">
        <f>AG51</f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</row>
    <row r="49" spans="1:41" ht="27.75" customHeight="1" x14ac:dyDescent="0.25">
      <c r="A49" s="4">
        <v>0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375"/>
      <c r="T49" s="1377"/>
      <c r="U49" s="1338"/>
      <c r="V49" s="1339"/>
      <c r="W49" s="1339"/>
      <c r="X49" s="1339"/>
      <c r="Y49" s="1339"/>
      <c r="Z49" s="1339"/>
      <c r="AA49" s="1340"/>
      <c r="AB49" s="15" t="s">
        <v>10</v>
      </c>
      <c r="AC49" s="16">
        <f>AC51</f>
        <v>23417.360000000001</v>
      </c>
      <c r="AD49" s="16">
        <f>AD51</f>
        <v>0</v>
      </c>
      <c r="AE49" s="3">
        <v>0</v>
      </c>
      <c r="AF49" s="4">
        <v>0</v>
      </c>
      <c r="AG49" s="4">
        <f>AG51</f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</row>
    <row r="50" spans="1:41" ht="27" customHeight="1" x14ac:dyDescent="0.25">
      <c r="A50" s="354">
        <v>0</v>
      </c>
      <c r="B50" s="354">
        <v>0</v>
      </c>
      <c r="C50" s="354">
        <v>0</v>
      </c>
      <c r="D50" s="354">
        <v>0</v>
      </c>
      <c r="E50" s="354">
        <v>0</v>
      </c>
      <c r="F50" s="354">
        <v>0</v>
      </c>
      <c r="G50" s="354">
        <v>0</v>
      </c>
      <c r="H50" s="354">
        <v>0</v>
      </c>
      <c r="I50" s="354">
        <v>0</v>
      </c>
      <c r="J50" s="354">
        <v>0</v>
      </c>
      <c r="K50" s="354">
        <v>0</v>
      </c>
      <c r="L50" s="354">
        <v>0</v>
      </c>
      <c r="M50" s="354">
        <v>0</v>
      </c>
      <c r="N50" s="349" t="e">
        <f>#REF!-A50</f>
        <v>#REF!</v>
      </c>
      <c r="O50" s="349" t="e">
        <f>N50</f>
        <v>#REF!</v>
      </c>
      <c r="P50" s="354">
        <v>0</v>
      </c>
      <c r="Q50" s="354">
        <v>0</v>
      </c>
      <c r="R50" s="354">
        <v>0</v>
      </c>
      <c r="S50" s="355" t="s">
        <v>198</v>
      </c>
      <c r="T50" s="1377"/>
      <c r="U50" s="1341"/>
      <c r="V50" s="1342"/>
      <c r="W50" s="1342"/>
      <c r="X50" s="1342"/>
      <c r="Y50" s="1342"/>
      <c r="Z50" s="1342"/>
      <c r="AA50" s="1343"/>
      <c r="AB50" s="15" t="s">
        <v>9</v>
      </c>
      <c r="AC50" s="16">
        <v>0</v>
      </c>
      <c r="AD50" s="16">
        <v>0</v>
      </c>
      <c r="AE50" s="3">
        <v>0</v>
      </c>
      <c r="AF50" s="4">
        <v>0</v>
      </c>
      <c r="AG50" s="4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</row>
    <row r="51" spans="1:41" ht="30.75" customHeight="1" x14ac:dyDescent="0.25">
      <c r="A51" s="72">
        <v>0</v>
      </c>
      <c r="B51" s="72">
        <v>0</v>
      </c>
      <c r="C51" s="72">
        <v>0</v>
      </c>
      <c r="D51" s="72">
        <v>0</v>
      </c>
      <c r="E51" s="72">
        <v>0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72">
        <v>0</v>
      </c>
      <c r="L51" s="72">
        <v>0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299"/>
      <c r="T51" s="1369" t="s">
        <v>23</v>
      </c>
      <c r="U51" s="77" t="s">
        <v>276</v>
      </c>
      <c r="V51" s="514">
        <v>900</v>
      </c>
      <c r="W51" s="35">
        <v>28000</v>
      </c>
      <c r="X51" s="514"/>
      <c r="Y51" s="36"/>
      <c r="Z51" s="495"/>
      <c r="AA51" s="495"/>
      <c r="AB51" s="1447" t="s">
        <v>20</v>
      </c>
      <c r="AC51" s="1386">
        <v>23417.360000000001</v>
      </c>
      <c r="AD51" s="1386">
        <v>0</v>
      </c>
      <c r="AE51" s="78">
        <f>SUM(AE52:AE53)</f>
        <v>4674.0700000000006</v>
      </c>
      <c r="AF51" s="78">
        <f>SUM(AF52:AF53)</f>
        <v>521.89</v>
      </c>
      <c r="AG51" s="78">
        <f>SUM(AG52:AG53)</f>
        <v>0</v>
      </c>
      <c r="AH51" s="78">
        <v>0</v>
      </c>
      <c r="AI51" s="78">
        <v>0</v>
      </c>
      <c r="AJ51" s="78">
        <v>0</v>
      </c>
      <c r="AK51" s="78">
        <v>0</v>
      </c>
      <c r="AL51" s="78">
        <v>0</v>
      </c>
      <c r="AM51" s="78">
        <v>0</v>
      </c>
      <c r="AN51" s="78">
        <v>0</v>
      </c>
      <c r="AO51" s="78">
        <v>0</v>
      </c>
    </row>
    <row r="52" spans="1:41" ht="17.25" customHeight="1" x14ac:dyDescent="0.25">
      <c r="A52" s="72">
        <f>A55+A58</f>
        <v>0</v>
      </c>
      <c r="B52" s="72">
        <f>B55+B58</f>
        <v>0</v>
      </c>
      <c r="C52" s="72">
        <f>C55+C58</f>
        <v>0</v>
      </c>
      <c r="D52" s="72">
        <f>D55+D58</f>
        <v>0</v>
      </c>
      <c r="E52" s="72">
        <f t="shared" ref="E52:R52" si="36">E55+E58</f>
        <v>0</v>
      </c>
      <c r="F52" s="72">
        <f t="shared" si="36"/>
        <v>0</v>
      </c>
      <c r="G52" s="72">
        <f t="shared" si="36"/>
        <v>0</v>
      </c>
      <c r="H52" s="72">
        <f t="shared" si="36"/>
        <v>0</v>
      </c>
      <c r="I52" s="72">
        <f t="shared" si="36"/>
        <v>0</v>
      </c>
      <c r="J52" s="72">
        <f t="shared" si="36"/>
        <v>0</v>
      </c>
      <c r="K52" s="72">
        <f t="shared" si="36"/>
        <v>0</v>
      </c>
      <c r="L52" s="72">
        <f t="shared" si="36"/>
        <v>0</v>
      </c>
      <c r="M52" s="72">
        <f t="shared" si="36"/>
        <v>0</v>
      </c>
      <c r="N52" s="72" t="e">
        <f t="shared" si="36"/>
        <v>#REF!</v>
      </c>
      <c r="O52" s="72" t="e">
        <f t="shared" si="36"/>
        <v>#REF!</v>
      </c>
      <c r="P52" s="72">
        <f t="shared" si="36"/>
        <v>0</v>
      </c>
      <c r="Q52" s="72">
        <f t="shared" si="36"/>
        <v>0</v>
      </c>
      <c r="R52" s="72">
        <f t="shared" si="36"/>
        <v>0</v>
      </c>
      <c r="S52" s="299"/>
      <c r="T52" s="1370"/>
      <c r="U52" s="525" t="s">
        <v>15</v>
      </c>
      <c r="V52" s="514"/>
      <c r="W52" s="35"/>
      <c r="X52" s="514"/>
      <c r="Y52" s="36"/>
      <c r="Z52" s="495"/>
      <c r="AA52" s="495"/>
      <c r="AB52" s="1448"/>
      <c r="AC52" s="1408"/>
      <c r="AD52" s="1408"/>
      <c r="AE52" s="72">
        <v>521.89</v>
      </c>
      <c r="AF52" s="72">
        <v>521.89</v>
      </c>
      <c r="AG52" s="499"/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</row>
    <row r="53" spans="1:41" ht="17.25" customHeight="1" x14ac:dyDescent="0.25">
      <c r="A53" s="72">
        <v>0</v>
      </c>
      <c r="B53" s="72">
        <v>0</v>
      </c>
      <c r="C53" s="72">
        <v>0</v>
      </c>
      <c r="D53" s="72">
        <v>0</v>
      </c>
      <c r="E53" s="72">
        <v>0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72">
        <v>0</v>
      </c>
      <c r="L53" s="72">
        <v>0</v>
      </c>
      <c r="M53" s="72">
        <v>0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  <c r="S53" s="299"/>
      <c r="T53" s="1371"/>
      <c r="U53" s="525" t="s">
        <v>16</v>
      </c>
      <c r="V53" s="514"/>
      <c r="W53" s="514"/>
      <c r="X53" s="514"/>
      <c r="Y53" s="36"/>
      <c r="Z53" s="495">
        <v>2020</v>
      </c>
      <c r="AA53" s="495">
        <v>2020</v>
      </c>
      <c r="AB53" s="1449"/>
      <c r="AC53" s="1387"/>
      <c r="AD53" s="1387"/>
      <c r="AE53" s="480">
        <v>4152.18</v>
      </c>
      <c r="AF53" s="72">
        <v>0</v>
      </c>
      <c r="AG53" s="7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</row>
    <row r="54" spans="1:41" ht="44.25" customHeight="1" x14ac:dyDescent="0.25">
      <c r="A54" s="72">
        <v>0</v>
      </c>
      <c r="B54" s="72">
        <v>0</v>
      </c>
      <c r="C54" s="72">
        <v>0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299"/>
      <c r="T54" s="1332" t="s">
        <v>29</v>
      </c>
      <c r="U54" s="1335" t="s">
        <v>62</v>
      </c>
      <c r="V54" s="1336"/>
      <c r="W54" s="1336"/>
      <c r="X54" s="1336"/>
      <c r="Y54" s="1336"/>
      <c r="Z54" s="1336"/>
      <c r="AA54" s="1337"/>
      <c r="AB54" s="37" t="s">
        <v>20</v>
      </c>
      <c r="AC54" s="501">
        <f t="shared" ref="AC54:AC62" si="37">AE54</f>
        <v>924.64</v>
      </c>
      <c r="AD54" s="501">
        <v>0</v>
      </c>
      <c r="AE54" s="524">
        <f>AE60</f>
        <v>924.64</v>
      </c>
      <c r="AF54" s="72">
        <f>AF57+AF60</f>
        <v>250</v>
      </c>
      <c r="AG54" s="803">
        <f t="shared" ref="AG54:AK54" si="38">AG57+AG60</f>
        <v>0</v>
      </c>
      <c r="AH54" s="803">
        <f t="shared" si="38"/>
        <v>0</v>
      </c>
      <c r="AI54" s="803">
        <f t="shared" si="38"/>
        <v>0</v>
      </c>
      <c r="AJ54" s="803">
        <f t="shared" si="38"/>
        <v>0</v>
      </c>
      <c r="AK54" s="803">
        <f t="shared" si="38"/>
        <v>0</v>
      </c>
      <c r="AL54" s="22">
        <v>0</v>
      </c>
      <c r="AM54" s="22">
        <v>0</v>
      </c>
      <c r="AN54" s="22">
        <v>0</v>
      </c>
      <c r="AO54" s="22">
        <v>0</v>
      </c>
    </row>
    <row r="55" spans="1:41" ht="30" customHeight="1" x14ac:dyDescent="0.25">
      <c r="A55" s="354">
        <f>A56+A57</f>
        <v>0</v>
      </c>
      <c r="B55" s="354">
        <f t="shared" ref="B55:R55" si="39">B56+B57</f>
        <v>0</v>
      </c>
      <c r="C55" s="354">
        <f t="shared" si="39"/>
        <v>0</v>
      </c>
      <c r="D55" s="354">
        <f t="shared" si="39"/>
        <v>0</v>
      </c>
      <c r="E55" s="354">
        <f t="shared" si="39"/>
        <v>0</v>
      </c>
      <c r="F55" s="354">
        <f t="shared" si="39"/>
        <v>0</v>
      </c>
      <c r="G55" s="354">
        <f t="shared" si="39"/>
        <v>0</v>
      </c>
      <c r="H55" s="354">
        <f t="shared" si="39"/>
        <v>0</v>
      </c>
      <c r="I55" s="354">
        <f t="shared" si="39"/>
        <v>0</v>
      </c>
      <c r="J55" s="354">
        <f t="shared" si="39"/>
        <v>0</v>
      </c>
      <c r="K55" s="354">
        <f t="shared" si="39"/>
        <v>0</v>
      </c>
      <c r="L55" s="354">
        <f t="shared" si="39"/>
        <v>0</v>
      </c>
      <c r="M55" s="354">
        <f t="shared" si="39"/>
        <v>0</v>
      </c>
      <c r="N55" s="349" t="e">
        <f>#REF!-A55</f>
        <v>#REF!</v>
      </c>
      <c r="O55" s="349" t="e">
        <f>N55</f>
        <v>#REF!</v>
      </c>
      <c r="P55" s="356">
        <v>0</v>
      </c>
      <c r="Q55" s="354">
        <f t="shared" si="39"/>
        <v>0</v>
      </c>
      <c r="R55" s="354">
        <f t="shared" si="39"/>
        <v>0</v>
      </c>
      <c r="S55" s="357" t="s">
        <v>158</v>
      </c>
      <c r="T55" s="1333"/>
      <c r="U55" s="1338"/>
      <c r="V55" s="1339"/>
      <c r="W55" s="1339"/>
      <c r="X55" s="1339"/>
      <c r="Y55" s="1339"/>
      <c r="Z55" s="1339"/>
      <c r="AA55" s="1340"/>
      <c r="AB55" s="37" t="s">
        <v>10</v>
      </c>
      <c r="AC55" s="501">
        <f t="shared" si="37"/>
        <v>0</v>
      </c>
      <c r="AD55" s="501">
        <v>0</v>
      </c>
      <c r="AE55" s="524">
        <v>0</v>
      </c>
      <c r="AF55" s="72">
        <v>0</v>
      </c>
      <c r="AG55" s="7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</row>
    <row r="56" spans="1:41" ht="30.75" customHeight="1" x14ac:dyDescent="0.25">
      <c r="A56" s="71">
        <v>0</v>
      </c>
      <c r="B56" s="71">
        <v>0</v>
      </c>
      <c r="C56" s="7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298"/>
      <c r="T56" s="1334"/>
      <c r="U56" s="1341"/>
      <c r="V56" s="1342"/>
      <c r="W56" s="1342"/>
      <c r="X56" s="1342"/>
      <c r="Y56" s="1342"/>
      <c r="Z56" s="1342"/>
      <c r="AA56" s="1343"/>
      <c r="AB56" s="37" t="s">
        <v>9</v>
      </c>
      <c r="AC56" s="501">
        <f t="shared" si="37"/>
        <v>0</v>
      </c>
      <c r="AD56" s="501">
        <v>0</v>
      </c>
      <c r="AE56" s="524">
        <v>0</v>
      </c>
      <c r="AF56" s="72">
        <v>0</v>
      </c>
      <c r="AG56" s="7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</row>
    <row r="57" spans="1:41" ht="30" hidden="1" customHeight="1" x14ac:dyDescent="0.25">
      <c r="A57" s="4">
        <v>0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375"/>
      <c r="T57" s="1369" t="s">
        <v>46</v>
      </c>
      <c r="U57" s="77" t="s">
        <v>53</v>
      </c>
      <c r="V57" s="1350">
        <v>300</v>
      </c>
      <c r="W57" s="1350">
        <v>17</v>
      </c>
      <c r="X57" s="1350"/>
      <c r="Y57" s="1390"/>
      <c r="Z57" s="517"/>
      <c r="AA57" s="517"/>
      <c r="AB57" s="1374" t="s">
        <v>20</v>
      </c>
      <c r="AC57" s="68">
        <f t="shared" si="37"/>
        <v>0</v>
      </c>
      <c r="AD57" s="68"/>
      <c r="AE57" s="284">
        <f>AG57+AH57+AI57</f>
        <v>0</v>
      </c>
      <c r="AF57" s="78">
        <f>AF58+AF59</f>
        <v>0</v>
      </c>
      <c r="AG57" s="78">
        <f>AG58+AG59</f>
        <v>0</v>
      </c>
      <c r="AH57" s="120">
        <v>0</v>
      </c>
      <c r="AI57" s="121">
        <v>0</v>
      </c>
      <c r="AJ57" s="121">
        <v>0</v>
      </c>
      <c r="AK57" s="121">
        <v>0</v>
      </c>
      <c r="AL57" s="120">
        <v>0</v>
      </c>
      <c r="AM57" s="121">
        <v>0</v>
      </c>
      <c r="AN57" s="121">
        <v>0</v>
      </c>
      <c r="AO57" s="121">
        <v>0</v>
      </c>
    </row>
    <row r="58" spans="1:41" ht="26.25" hidden="1" customHeight="1" x14ac:dyDescent="0.25">
      <c r="A58" s="356">
        <f>A59+A60</f>
        <v>0</v>
      </c>
      <c r="B58" s="356">
        <f t="shared" ref="B58:R58" si="40">B59+B60</f>
        <v>0</v>
      </c>
      <c r="C58" s="356">
        <f t="shared" si="40"/>
        <v>0</v>
      </c>
      <c r="D58" s="356">
        <f t="shared" si="40"/>
        <v>0</v>
      </c>
      <c r="E58" s="356">
        <f t="shared" si="40"/>
        <v>0</v>
      </c>
      <c r="F58" s="356">
        <f t="shared" si="40"/>
        <v>0</v>
      </c>
      <c r="G58" s="356">
        <f t="shared" si="40"/>
        <v>0</v>
      </c>
      <c r="H58" s="356">
        <f t="shared" si="40"/>
        <v>0</v>
      </c>
      <c r="I58" s="356">
        <f t="shared" si="40"/>
        <v>0</v>
      </c>
      <c r="J58" s="356">
        <f t="shared" si="40"/>
        <v>0</v>
      </c>
      <c r="K58" s="356">
        <f t="shared" si="40"/>
        <v>0</v>
      </c>
      <c r="L58" s="356">
        <f t="shared" si="40"/>
        <v>0</v>
      </c>
      <c r="M58" s="356">
        <f t="shared" si="40"/>
        <v>0</v>
      </c>
      <c r="N58" s="349" t="e">
        <f>#REF!-A58</f>
        <v>#REF!</v>
      </c>
      <c r="O58" s="349" t="e">
        <f>N58</f>
        <v>#REF!</v>
      </c>
      <c r="P58" s="356">
        <v>0</v>
      </c>
      <c r="Q58" s="356">
        <f t="shared" si="40"/>
        <v>0</v>
      </c>
      <c r="R58" s="356">
        <f t="shared" si="40"/>
        <v>0</v>
      </c>
      <c r="S58" s="357" t="s">
        <v>199</v>
      </c>
      <c r="T58" s="1370"/>
      <c r="U58" s="40" t="s">
        <v>15</v>
      </c>
      <c r="V58" s="1351"/>
      <c r="W58" s="1351"/>
      <c r="X58" s="1351"/>
      <c r="Y58" s="1356"/>
      <c r="Z58" s="517">
        <v>2019</v>
      </c>
      <c r="AA58" s="517">
        <v>2019</v>
      </c>
      <c r="AB58" s="1391"/>
      <c r="AC58" s="68">
        <f t="shared" si="37"/>
        <v>0</v>
      </c>
      <c r="AD58" s="68"/>
      <c r="AE58" s="499">
        <f>AG58+AH58+AI58</f>
        <v>0</v>
      </c>
      <c r="AF58" s="71">
        <v>0</v>
      </c>
      <c r="AG58" s="71">
        <v>0</v>
      </c>
      <c r="AH58" s="120">
        <v>0</v>
      </c>
      <c r="AI58" s="121">
        <v>0</v>
      </c>
      <c r="AJ58" s="121">
        <v>0</v>
      </c>
      <c r="AK58" s="121">
        <v>0</v>
      </c>
      <c r="AL58" s="120">
        <v>0</v>
      </c>
      <c r="AM58" s="121">
        <v>0</v>
      </c>
      <c r="AN58" s="121">
        <v>0</v>
      </c>
      <c r="AO58" s="121">
        <v>0</v>
      </c>
    </row>
    <row r="59" spans="1:41" ht="14.25" hidden="1" customHeight="1" x14ac:dyDescent="0.25">
      <c r="A59" s="4">
        <v>0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375"/>
      <c r="T59" s="1371"/>
      <c r="U59" s="40" t="s">
        <v>16</v>
      </c>
      <c r="V59" s="1352"/>
      <c r="W59" s="1352"/>
      <c r="X59" s="1352"/>
      <c r="Y59" s="1349"/>
      <c r="Z59" s="515">
        <v>2019</v>
      </c>
      <c r="AA59" s="515">
        <v>2019</v>
      </c>
      <c r="AB59" s="1375"/>
      <c r="AC59" s="68">
        <f t="shared" si="37"/>
        <v>0</v>
      </c>
      <c r="AD59" s="496"/>
      <c r="AE59" s="499">
        <f>AG59+AH59+AI59</f>
        <v>0</v>
      </c>
      <c r="AF59" s="4">
        <v>0</v>
      </c>
      <c r="AG59" s="4">
        <v>0</v>
      </c>
      <c r="AH59" s="120">
        <v>0</v>
      </c>
      <c r="AI59" s="121">
        <v>0</v>
      </c>
      <c r="AJ59" s="121">
        <v>0</v>
      </c>
      <c r="AK59" s="121">
        <v>0</v>
      </c>
      <c r="AL59" s="120">
        <v>0</v>
      </c>
      <c r="AM59" s="121">
        <v>0</v>
      </c>
      <c r="AN59" s="121">
        <v>0</v>
      </c>
      <c r="AO59" s="121">
        <v>0</v>
      </c>
    </row>
    <row r="60" spans="1:41" ht="30.75" customHeight="1" x14ac:dyDescent="0.25">
      <c r="A60" s="47">
        <v>0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294"/>
      <c r="T60" s="1376" t="s">
        <v>46</v>
      </c>
      <c r="U60" s="80" t="s">
        <v>54</v>
      </c>
      <c r="V60" s="1350">
        <v>200</v>
      </c>
      <c r="W60" s="1350">
        <v>10</v>
      </c>
      <c r="X60" s="1392"/>
      <c r="Y60" s="1395"/>
      <c r="Z60" s="515"/>
      <c r="AA60" s="515"/>
      <c r="AB60" s="1374" t="s">
        <v>20</v>
      </c>
      <c r="AC60" s="68">
        <f t="shared" si="37"/>
        <v>924.64</v>
      </c>
      <c r="AD60" s="496"/>
      <c r="AE60" s="284">
        <f>SUM(AE61:AE62)</f>
        <v>924.64</v>
      </c>
      <c r="AF60" s="76">
        <f>AF61+AF62</f>
        <v>250</v>
      </c>
      <c r="AG60" s="76">
        <f>AG61+AG62</f>
        <v>0</v>
      </c>
      <c r="AH60" s="78">
        <v>0</v>
      </c>
      <c r="AI60" s="78">
        <v>0</v>
      </c>
      <c r="AJ60" s="78">
        <f>AJ62</f>
        <v>0</v>
      </c>
      <c r="AK60" s="78">
        <v>0</v>
      </c>
      <c r="AL60" s="78">
        <v>0</v>
      </c>
      <c r="AM60" s="78">
        <v>0</v>
      </c>
      <c r="AN60" s="78">
        <v>0</v>
      </c>
      <c r="AO60" s="78">
        <v>0</v>
      </c>
    </row>
    <row r="61" spans="1:41" ht="15.75" customHeight="1" x14ac:dyDescent="0.25">
      <c r="A61" s="22">
        <f t="shared" ref="A61:R61" si="41">A64</f>
        <v>1.6559999999999999</v>
      </c>
      <c r="B61" s="22">
        <f t="shared" si="41"/>
        <v>0</v>
      </c>
      <c r="C61" s="22">
        <f t="shared" si="41"/>
        <v>0</v>
      </c>
      <c r="D61" s="22">
        <f t="shared" si="41"/>
        <v>0</v>
      </c>
      <c r="E61" s="22">
        <f t="shared" si="41"/>
        <v>0</v>
      </c>
      <c r="F61" s="22">
        <f t="shared" si="41"/>
        <v>1.66</v>
      </c>
      <c r="G61" s="22">
        <f t="shared" si="41"/>
        <v>1.6559999999999999</v>
      </c>
      <c r="H61" s="22">
        <f t="shared" si="41"/>
        <v>0</v>
      </c>
      <c r="I61" s="22">
        <f t="shared" si="41"/>
        <v>0</v>
      </c>
      <c r="J61" s="22">
        <f t="shared" si="41"/>
        <v>1.66</v>
      </c>
      <c r="K61" s="22">
        <f t="shared" si="41"/>
        <v>0</v>
      </c>
      <c r="L61" s="22">
        <f t="shared" si="41"/>
        <v>0</v>
      </c>
      <c r="M61" s="22">
        <f t="shared" si="41"/>
        <v>0</v>
      </c>
      <c r="N61" s="22" t="e">
        <f t="shared" si="41"/>
        <v>#REF!</v>
      </c>
      <c r="O61" s="22" t="e">
        <f t="shared" si="41"/>
        <v>#REF!</v>
      </c>
      <c r="P61" s="22" t="e">
        <f t="shared" si="41"/>
        <v>#REF!</v>
      </c>
      <c r="Q61" s="22">
        <f t="shared" si="41"/>
        <v>0</v>
      </c>
      <c r="R61" s="22">
        <f t="shared" si="41"/>
        <v>0</v>
      </c>
      <c r="S61" s="295"/>
      <c r="T61" s="1377"/>
      <c r="U61" s="42" t="s">
        <v>15</v>
      </c>
      <c r="V61" s="1351"/>
      <c r="W61" s="1351"/>
      <c r="X61" s="1393"/>
      <c r="Y61" s="1396"/>
      <c r="Z61" s="515">
        <v>2019</v>
      </c>
      <c r="AA61" s="515">
        <v>2019</v>
      </c>
      <c r="AB61" s="1391"/>
      <c r="AC61" s="68">
        <f t="shared" si="37"/>
        <v>250</v>
      </c>
      <c r="AD61" s="496"/>
      <c r="AE61" s="72">
        <v>250</v>
      </c>
      <c r="AF61" s="4">
        <v>250</v>
      </c>
      <c r="AG61" s="4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</row>
    <row r="62" spans="1:41" ht="15.75" customHeight="1" x14ac:dyDescent="0.25">
      <c r="A62" s="22">
        <v>0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95"/>
      <c r="T62" s="1409"/>
      <c r="U62" s="42" t="s">
        <v>16</v>
      </c>
      <c r="V62" s="1352"/>
      <c r="W62" s="1352"/>
      <c r="X62" s="1394"/>
      <c r="Y62" s="1397"/>
      <c r="Z62" s="515">
        <v>2019</v>
      </c>
      <c r="AA62" s="515">
        <v>2019</v>
      </c>
      <c r="AB62" s="1375"/>
      <c r="AC62" s="68">
        <f t="shared" si="37"/>
        <v>674.64</v>
      </c>
      <c r="AD62" s="496"/>
      <c r="AE62" s="72">
        <v>674.64</v>
      </c>
      <c r="AF62" s="4">
        <v>0</v>
      </c>
      <c r="AG62" s="47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</row>
    <row r="63" spans="1:41" ht="25.5" customHeight="1" x14ac:dyDescent="0.25">
      <c r="A63" s="22">
        <v>0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95"/>
      <c r="T63" s="1332" t="s">
        <v>47</v>
      </c>
      <c r="U63" s="1335" t="s">
        <v>17</v>
      </c>
      <c r="V63" s="1336"/>
      <c r="W63" s="1336"/>
      <c r="X63" s="1336"/>
      <c r="Y63" s="1336"/>
      <c r="Z63" s="1336"/>
      <c r="AA63" s="1337"/>
      <c r="AB63" s="15" t="s">
        <v>20</v>
      </c>
      <c r="AC63" s="16">
        <f>AC66</f>
        <v>18824.2</v>
      </c>
      <c r="AD63" s="16">
        <f>AD66</f>
        <v>0</v>
      </c>
      <c r="AE63" s="16">
        <f>AE66</f>
        <v>5710.74</v>
      </c>
      <c r="AF63" s="22">
        <f>AF66</f>
        <v>3765.8</v>
      </c>
      <c r="AG63" s="22">
        <f>AG66</f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</row>
    <row r="64" spans="1:41" ht="29.25" customHeight="1" x14ac:dyDescent="0.25">
      <c r="A64" s="79">
        <f>A65+A67</f>
        <v>1.6559999999999999</v>
      </c>
      <c r="B64" s="79">
        <f t="shared" ref="B64:R64" si="42">B65+B67</f>
        <v>0</v>
      </c>
      <c r="C64" s="79">
        <f t="shared" si="42"/>
        <v>0</v>
      </c>
      <c r="D64" s="79">
        <f t="shared" si="42"/>
        <v>0</v>
      </c>
      <c r="E64" s="79">
        <f t="shared" si="42"/>
        <v>0</v>
      </c>
      <c r="F64" s="79">
        <f t="shared" si="42"/>
        <v>1.66</v>
      </c>
      <c r="G64" s="79">
        <f t="shared" si="42"/>
        <v>1.6559999999999999</v>
      </c>
      <c r="H64" s="79">
        <f t="shared" si="42"/>
        <v>0</v>
      </c>
      <c r="I64" s="79">
        <f t="shared" si="42"/>
        <v>0</v>
      </c>
      <c r="J64" s="79">
        <f t="shared" si="42"/>
        <v>1.66</v>
      </c>
      <c r="K64" s="79">
        <f t="shared" si="42"/>
        <v>0</v>
      </c>
      <c r="L64" s="79">
        <f t="shared" si="42"/>
        <v>0</v>
      </c>
      <c r="M64" s="79">
        <f t="shared" si="42"/>
        <v>0</v>
      </c>
      <c r="N64" s="79" t="e">
        <f>#REF!-A64</f>
        <v>#REF!</v>
      </c>
      <c r="O64" s="79" t="e">
        <f>N64</f>
        <v>#REF!</v>
      </c>
      <c r="P64" s="76" t="e">
        <f>ROUND((A64*100%/#REF!*100),2)</f>
        <v>#REF!</v>
      </c>
      <c r="Q64" s="79">
        <f t="shared" si="42"/>
        <v>0</v>
      </c>
      <c r="R64" s="79">
        <f t="shared" si="42"/>
        <v>0</v>
      </c>
      <c r="S64" s="301"/>
      <c r="T64" s="1333"/>
      <c r="U64" s="1338"/>
      <c r="V64" s="1339"/>
      <c r="W64" s="1339"/>
      <c r="X64" s="1339"/>
      <c r="Y64" s="1339"/>
      <c r="Z64" s="1339"/>
      <c r="AA64" s="1340"/>
      <c r="AB64" s="15" t="s">
        <v>10</v>
      </c>
      <c r="AC64" s="16">
        <v>0</v>
      </c>
      <c r="AD64" s="16">
        <v>0</v>
      </c>
      <c r="AE64" s="16">
        <f>AG64+AH64+AI64</f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</row>
    <row r="65" spans="1:41" ht="15.75" customHeight="1" x14ac:dyDescent="0.25">
      <c r="A65" s="47">
        <f>SUM(A66)</f>
        <v>1.6559999999999999</v>
      </c>
      <c r="B65" s="47">
        <f t="shared" ref="B65:M65" si="43">SUM(B66)</f>
        <v>0</v>
      </c>
      <c r="C65" s="47">
        <f t="shared" si="43"/>
        <v>0</v>
      </c>
      <c r="D65" s="47">
        <f t="shared" si="43"/>
        <v>0</v>
      </c>
      <c r="E65" s="47">
        <f t="shared" si="43"/>
        <v>0</v>
      </c>
      <c r="F65" s="47">
        <f t="shared" si="43"/>
        <v>1.66</v>
      </c>
      <c r="G65" s="47">
        <f t="shared" si="43"/>
        <v>1.6559999999999999</v>
      </c>
      <c r="H65" s="47">
        <f t="shared" si="43"/>
        <v>0</v>
      </c>
      <c r="I65" s="47">
        <f t="shared" si="43"/>
        <v>0</v>
      </c>
      <c r="J65" s="47">
        <f>SUM(J66)</f>
        <v>1.66</v>
      </c>
      <c r="K65" s="47">
        <f t="shared" si="43"/>
        <v>0</v>
      </c>
      <c r="L65" s="47">
        <f t="shared" si="43"/>
        <v>0</v>
      </c>
      <c r="M65" s="47">
        <f t="shared" si="43"/>
        <v>0</v>
      </c>
      <c r="N65" s="47">
        <v>0</v>
      </c>
      <c r="O65" s="47">
        <v>0</v>
      </c>
      <c r="P65" s="47">
        <v>0</v>
      </c>
      <c r="Q65" s="47">
        <v>0</v>
      </c>
      <c r="R65" s="47">
        <v>0</v>
      </c>
      <c r="S65" s="294"/>
      <c r="T65" s="1334"/>
      <c r="U65" s="1341"/>
      <c r="V65" s="1342"/>
      <c r="W65" s="1342"/>
      <c r="X65" s="1342"/>
      <c r="Y65" s="1342"/>
      <c r="Z65" s="1342"/>
      <c r="AA65" s="1343"/>
      <c r="AB65" s="15" t="s">
        <v>9</v>
      </c>
      <c r="AC65" s="16">
        <v>0</v>
      </c>
      <c r="AD65" s="16">
        <v>0</v>
      </c>
      <c r="AE65" s="16">
        <f>AG65+AH65+AI65</f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</row>
    <row r="66" spans="1:41" s="97" customFormat="1" ht="51.75" customHeight="1" x14ac:dyDescent="0.25">
      <c r="A66" s="96">
        <f>C66+E66+G66</f>
        <v>1.6559999999999999</v>
      </c>
      <c r="B66" s="47"/>
      <c r="C66" s="47"/>
      <c r="D66" s="96"/>
      <c r="E66" s="96"/>
      <c r="F66" s="96">
        <v>1.66</v>
      </c>
      <c r="G66" s="96">
        <v>1.6559999999999999</v>
      </c>
      <c r="H66" s="96"/>
      <c r="I66" s="96"/>
      <c r="J66" s="96">
        <v>1.66</v>
      </c>
      <c r="K66" s="96">
        <v>0</v>
      </c>
      <c r="L66" s="96"/>
      <c r="M66" s="96"/>
      <c r="N66" s="96"/>
      <c r="O66" s="96"/>
      <c r="P66" s="96"/>
      <c r="Q66" s="96"/>
      <c r="R66" s="96"/>
      <c r="S66" s="302"/>
      <c r="T66" s="1372" t="s">
        <v>48</v>
      </c>
      <c r="U66" s="75" t="s">
        <v>277</v>
      </c>
      <c r="V66" s="1350">
        <v>200</v>
      </c>
      <c r="W66" s="1350">
        <v>180</v>
      </c>
      <c r="X66" s="1350"/>
      <c r="Y66" s="1350"/>
      <c r="Z66" s="504"/>
      <c r="AA66" s="504"/>
      <c r="AB66" s="1326" t="s">
        <v>20</v>
      </c>
      <c r="AC66" s="1379">
        <v>18824.2</v>
      </c>
      <c r="AD66" s="16">
        <v>0</v>
      </c>
      <c r="AE66" s="79">
        <f>AE67+AE69</f>
        <v>5710.74</v>
      </c>
      <c r="AF66" s="79">
        <f>AF67+AF69</f>
        <v>3765.8</v>
      </c>
      <c r="AG66" s="79">
        <f>AG67+AG69</f>
        <v>0</v>
      </c>
      <c r="AH66" s="78">
        <v>0</v>
      </c>
      <c r="AI66" s="78">
        <v>0</v>
      </c>
      <c r="AJ66" s="78">
        <v>0</v>
      </c>
      <c r="AK66" s="78">
        <v>0</v>
      </c>
      <c r="AL66" s="78">
        <v>0</v>
      </c>
      <c r="AM66" s="78">
        <v>0</v>
      </c>
      <c r="AN66" s="78">
        <v>0</v>
      </c>
      <c r="AO66" s="78">
        <v>0</v>
      </c>
    </row>
    <row r="67" spans="1:41" ht="15.75" customHeight="1" x14ac:dyDescent="0.25">
      <c r="A67" s="47">
        <v>0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294"/>
      <c r="T67" s="1382"/>
      <c r="U67" s="525" t="s">
        <v>15</v>
      </c>
      <c r="V67" s="1351"/>
      <c r="W67" s="1351"/>
      <c r="X67" s="1351"/>
      <c r="Y67" s="1351"/>
      <c r="Z67" s="495">
        <v>2019</v>
      </c>
      <c r="AA67" s="495">
        <v>2019</v>
      </c>
      <c r="AB67" s="1327"/>
      <c r="AC67" s="1380"/>
      <c r="AD67" s="16"/>
      <c r="AE67" s="22">
        <v>1944.94</v>
      </c>
      <c r="AF67" s="47">
        <v>0</v>
      </c>
      <c r="AG67" s="47">
        <f>SUM(AG68)</f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</row>
    <row r="68" spans="1:41" ht="52.5" hidden="1" customHeight="1" x14ac:dyDescent="0.25">
      <c r="A68" s="22">
        <v>0</v>
      </c>
      <c r="B68" s="22">
        <v>0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95"/>
      <c r="T68" s="1382"/>
      <c r="U68" s="92" t="s">
        <v>250</v>
      </c>
      <c r="V68" s="1351"/>
      <c r="W68" s="1351"/>
      <c r="X68" s="1351"/>
      <c r="Y68" s="1351"/>
      <c r="Z68" s="262"/>
      <c r="AA68" s="262"/>
      <c r="AB68" s="1327"/>
      <c r="AC68" s="1380"/>
      <c r="AD68" s="107"/>
      <c r="AE68" s="107"/>
      <c r="AF68" s="47"/>
      <c r="AG68" s="96">
        <f>AI68+AK68+AM68</f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</row>
    <row r="69" spans="1:41" ht="21" customHeight="1" x14ac:dyDescent="0.25">
      <c r="A69" s="22" t="e">
        <f>A72+A74+A76+A77+A78+A80+A83+#REF!</f>
        <v>#REF!</v>
      </c>
      <c r="B69" s="22" t="e">
        <f>B72+B74+B76+B77+B78+B80+B83+#REF!</f>
        <v>#REF!</v>
      </c>
      <c r="C69" s="22" t="e">
        <f>C72+C74+C76+C77+C78+C80+C83+#REF!</f>
        <v>#REF!</v>
      </c>
      <c r="D69" s="22" t="e">
        <f>D72+D74+D76+D77+D78+D80+D83+#REF!</f>
        <v>#REF!</v>
      </c>
      <c r="E69" s="22" t="e">
        <f>E72+E74+E76+E77+E78+E80+E83+#REF!</f>
        <v>#REF!</v>
      </c>
      <c r="F69" s="22" t="e">
        <f>F72+F74+F76+F77+F78+F80+F83+#REF!</f>
        <v>#REF!</v>
      </c>
      <c r="G69" s="22" t="e">
        <f>G72+G74+G76+G77+G78+G80+G83+#REF!</f>
        <v>#REF!</v>
      </c>
      <c r="H69" s="22" t="e">
        <f>H72+H74+H76+H77+H78+H80+H83+#REF!</f>
        <v>#REF!</v>
      </c>
      <c r="I69" s="22" t="e">
        <f>I72+I74+I76+I77+I78+I80+I83+#REF!</f>
        <v>#REF!</v>
      </c>
      <c r="J69" s="22" t="e">
        <f>J72+J74+J76+J77+J78+J80+J83+#REF!</f>
        <v>#REF!</v>
      </c>
      <c r="K69" s="22" t="e">
        <f>K72+K74+K76+K77+K78+K80+K83+#REF!</f>
        <v>#REF!</v>
      </c>
      <c r="L69" s="22" t="e">
        <f t="shared" ref="L69:R69" si="44">L72+L74+L76</f>
        <v>#REF!</v>
      </c>
      <c r="M69" s="22" t="e">
        <f t="shared" si="44"/>
        <v>#REF!</v>
      </c>
      <c r="N69" s="22" t="e">
        <f t="shared" si="44"/>
        <v>#REF!</v>
      </c>
      <c r="O69" s="22" t="e">
        <f t="shared" si="44"/>
        <v>#REF!</v>
      </c>
      <c r="P69" s="22" t="e">
        <f t="shared" si="44"/>
        <v>#REF!</v>
      </c>
      <c r="Q69" s="22" t="e">
        <f t="shared" si="44"/>
        <v>#REF!</v>
      </c>
      <c r="R69" s="22" t="e">
        <f t="shared" si="44"/>
        <v>#REF!</v>
      </c>
      <c r="S69" s="295"/>
      <c r="T69" s="1382"/>
      <c r="U69" s="525" t="s">
        <v>16</v>
      </c>
      <c r="V69" s="1351"/>
      <c r="W69" s="1351"/>
      <c r="X69" s="1351"/>
      <c r="Y69" s="1351"/>
      <c r="Z69" s="495">
        <v>2020</v>
      </c>
      <c r="AA69" s="495">
        <v>2020</v>
      </c>
      <c r="AB69" s="1328"/>
      <c r="AC69" s="1381"/>
      <c r="AD69" s="22">
        <v>0</v>
      </c>
      <c r="AE69" s="22">
        <v>3765.8</v>
      </c>
      <c r="AF69" s="47">
        <v>3765.8</v>
      </c>
      <c r="AG69" s="47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</row>
    <row r="70" spans="1:41" ht="27" customHeight="1" x14ac:dyDescent="0.25">
      <c r="A70" s="22">
        <v>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95"/>
      <c r="T70" s="1332" t="s">
        <v>56</v>
      </c>
      <c r="U70" s="1335" t="s">
        <v>41</v>
      </c>
      <c r="V70" s="1336"/>
      <c r="W70" s="1336"/>
      <c r="X70" s="1336"/>
      <c r="Y70" s="1336"/>
      <c r="Z70" s="1336"/>
      <c r="AA70" s="1337"/>
      <c r="AB70" s="15" t="s">
        <v>19</v>
      </c>
      <c r="AC70" s="523">
        <v>0</v>
      </c>
      <c r="AD70" s="523">
        <v>0</v>
      </c>
      <c r="AE70" s="16">
        <f>AG70+AH70+AI70</f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</row>
    <row r="71" spans="1:41" ht="27" customHeight="1" x14ac:dyDescent="0.25">
      <c r="A71" s="22">
        <v>0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95"/>
      <c r="T71" s="1333"/>
      <c r="U71" s="1338"/>
      <c r="V71" s="1339"/>
      <c r="W71" s="1339"/>
      <c r="X71" s="1339"/>
      <c r="Y71" s="1339"/>
      <c r="Z71" s="1339"/>
      <c r="AA71" s="1340"/>
      <c r="AB71" s="15" t="s">
        <v>20</v>
      </c>
      <c r="AC71" s="523">
        <f>AE71</f>
        <v>212998.96</v>
      </c>
      <c r="AD71" s="523">
        <f>AD74+AD105+AD106+AD107</f>
        <v>0</v>
      </c>
      <c r="AE71" s="16">
        <f>AE74+AE76+AE79+AE80+AE82+AE84+AE86+AE90+AE93+AE95+AE98+AE101</f>
        <v>212998.96</v>
      </c>
      <c r="AF71" s="22">
        <f>AF74+AF76+AF79+AF80+AF82+AF84+AF86+AF90+AF93+AF95+AF98+AF101</f>
        <v>29055.58</v>
      </c>
      <c r="AG71" s="22" t="e">
        <f>AG74+AG76+AG79+AG80+AG82+AG84+AG86+AG90</f>
        <v>#REF!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</row>
    <row r="72" spans="1:41" ht="41.25" customHeight="1" x14ac:dyDescent="0.25">
      <c r="A72" s="79">
        <v>0</v>
      </c>
      <c r="B72" s="79">
        <v>0</v>
      </c>
      <c r="C72" s="79">
        <v>0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 t="e">
        <f>#REF!-A72</f>
        <v>#REF!</v>
      </c>
      <c r="O72" s="79" t="e">
        <f>N72</f>
        <v>#REF!</v>
      </c>
      <c r="P72" s="76" t="e">
        <f>ROUND((A72*100%/#REF!*100),2)</f>
        <v>#REF!</v>
      </c>
      <c r="Q72" s="79">
        <v>0</v>
      </c>
      <c r="R72" s="79">
        <v>0</v>
      </c>
      <c r="S72" s="301"/>
      <c r="T72" s="1333"/>
      <c r="U72" s="1338"/>
      <c r="V72" s="1339"/>
      <c r="W72" s="1339"/>
      <c r="X72" s="1339"/>
      <c r="Y72" s="1339"/>
      <c r="Z72" s="1339"/>
      <c r="AA72" s="1340"/>
      <c r="AB72" s="15" t="s">
        <v>10</v>
      </c>
      <c r="AC72" s="523">
        <f>AE72</f>
        <v>0</v>
      </c>
      <c r="AD72" s="523">
        <v>0</v>
      </c>
      <c r="AE72" s="16">
        <f>AG72+AH72+AI72</f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</row>
    <row r="73" spans="1:41" s="285" customFormat="1" ht="14.25" customHeight="1" x14ac:dyDescent="0.25">
      <c r="A73" s="47">
        <v>0</v>
      </c>
      <c r="B73" s="47"/>
      <c r="C73" s="47"/>
      <c r="D73" s="47"/>
      <c r="E73" s="47"/>
      <c r="F73" s="47"/>
      <c r="G73" s="47"/>
      <c r="H73" s="47">
        <v>0</v>
      </c>
      <c r="I73" s="47">
        <v>0</v>
      </c>
      <c r="J73" s="47">
        <v>0</v>
      </c>
      <c r="K73" s="47">
        <v>0</v>
      </c>
      <c r="L73" s="47">
        <v>0</v>
      </c>
      <c r="M73" s="47">
        <v>0</v>
      </c>
      <c r="N73" s="47">
        <v>0</v>
      </c>
      <c r="O73" s="47">
        <v>0</v>
      </c>
      <c r="P73" s="4">
        <v>0</v>
      </c>
      <c r="Q73" s="47">
        <v>0</v>
      </c>
      <c r="R73" s="47">
        <v>0</v>
      </c>
      <c r="S73" s="294"/>
      <c r="T73" s="1334"/>
      <c r="U73" s="1341"/>
      <c r="V73" s="1342"/>
      <c r="W73" s="1342"/>
      <c r="X73" s="1342"/>
      <c r="Y73" s="1342"/>
      <c r="Z73" s="1342"/>
      <c r="AA73" s="1343"/>
      <c r="AB73" s="15" t="s">
        <v>9</v>
      </c>
      <c r="AC73" s="523">
        <f>AE73</f>
        <v>0</v>
      </c>
      <c r="AD73" s="523">
        <v>0</v>
      </c>
      <c r="AE73" s="16">
        <f>AG73+AH73+AI73</f>
        <v>0</v>
      </c>
      <c r="AF73" s="22">
        <v>0</v>
      </c>
      <c r="AG73" s="22">
        <v>0</v>
      </c>
      <c r="AH73" s="22">
        <v>0</v>
      </c>
      <c r="AI73" s="22">
        <v>0</v>
      </c>
      <c r="AJ73" s="22"/>
      <c r="AK73" s="22">
        <v>0</v>
      </c>
      <c r="AL73" s="22">
        <v>0</v>
      </c>
      <c r="AM73" s="22">
        <v>0</v>
      </c>
      <c r="AN73" s="22">
        <v>0</v>
      </c>
      <c r="AO73" s="22">
        <v>0</v>
      </c>
    </row>
    <row r="74" spans="1:41" ht="37.5" customHeight="1" x14ac:dyDescent="0.25">
      <c r="A74" s="79" t="e">
        <f>A75+#REF!</f>
        <v>#REF!</v>
      </c>
      <c r="B74" s="79" t="e">
        <f>B75+#REF!</f>
        <v>#REF!</v>
      </c>
      <c r="C74" s="79" t="e">
        <f>C75+#REF!</f>
        <v>#REF!</v>
      </c>
      <c r="D74" s="79" t="e">
        <f>D75+#REF!</f>
        <v>#REF!</v>
      </c>
      <c r="E74" s="79" t="e">
        <f>E75+#REF!</f>
        <v>#REF!</v>
      </c>
      <c r="F74" s="79" t="e">
        <f>F75+#REF!</f>
        <v>#REF!</v>
      </c>
      <c r="G74" s="79" t="e">
        <f>G75+#REF!</f>
        <v>#REF!</v>
      </c>
      <c r="H74" s="79" t="e">
        <f>H75+#REF!</f>
        <v>#REF!</v>
      </c>
      <c r="I74" s="79" t="e">
        <f>I75+#REF!</f>
        <v>#REF!</v>
      </c>
      <c r="J74" s="79" t="e">
        <f>J75+#REF!</f>
        <v>#REF!</v>
      </c>
      <c r="K74" s="79" t="e">
        <f>K75+#REF!</f>
        <v>#REF!</v>
      </c>
      <c r="L74" s="79" t="e">
        <f>L75+#REF!</f>
        <v>#REF!</v>
      </c>
      <c r="M74" s="79" t="e">
        <f>M75+#REF!</f>
        <v>#REF!</v>
      </c>
      <c r="N74" s="79" t="e">
        <f>#REF!-A74</f>
        <v>#REF!</v>
      </c>
      <c r="O74" s="79" t="e">
        <f>N74</f>
        <v>#REF!</v>
      </c>
      <c r="P74" s="76">
        <v>0</v>
      </c>
      <c r="Q74" s="79" t="e">
        <f>Q75+#REF!</f>
        <v>#REF!</v>
      </c>
      <c r="R74" s="79" t="e">
        <f>R75+#REF!</f>
        <v>#REF!</v>
      </c>
      <c r="S74" s="301"/>
      <c r="T74" s="1372" t="s">
        <v>57</v>
      </c>
      <c r="U74" s="77" t="s">
        <v>200</v>
      </c>
      <c r="V74" s="514"/>
      <c r="W74" s="514"/>
      <c r="X74" s="514"/>
      <c r="Y74" s="514"/>
      <c r="Z74" s="517">
        <v>2019</v>
      </c>
      <c r="AA74" s="517">
        <v>2019</v>
      </c>
      <c r="AB74" s="1326" t="s">
        <v>20</v>
      </c>
      <c r="AC74" s="16">
        <f>AE74</f>
        <v>30833.33</v>
      </c>
      <c r="AD74" s="22"/>
      <c r="AE74" s="79">
        <f>AE75</f>
        <v>30833.33</v>
      </c>
      <c r="AF74" s="79">
        <f>AF75</f>
        <v>1681.92</v>
      </c>
      <c r="AG74" s="79" t="e">
        <f>AG75</f>
        <v>#REF!</v>
      </c>
      <c r="AH74" s="78">
        <v>0</v>
      </c>
      <c r="AI74" s="78">
        <v>0</v>
      </c>
      <c r="AJ74" s="78">
        <v>0</v>
      </c>
      <c r="AK74" s="78">
        <v>0</v>
      </c>
      <c r="AL74" s="78">
        <v>0</v>
      </c>
      <c r="AM74" s="78">
        <v>0</v>
      </c>
      <c r="AN74" s="78">
        <v>0</v>
      </c>
      <c r="AO74" s="78">
        <v>0</v>
      </c>
    </row>
    <row r="75" spans="1:41" ht="19.5" customHeight="1" x14ac:dyDescent="0.25">
      <c r="A75" s="47" t="e">
        <f>#REF!</f>
        <v>#REF!</v>
      </c>
      <c r="B75" s="47" t="e">
        <f>#REF!</f>
        <v>#REF!</v>
      </c>
      <c r="C75" s="47" t="e">
        <f>#REF!</f>
        <v>#REF!</v>
      </c>
      <c r="D75" s="47" t="e">
        <f>#REF!</f>
        <v>#REF!</v>
      </c>
      <c r="E75" s="47" t="e">
        <f>#REF!</f>
        <v>#REF!</v>
      </c>
      <c r="F75" s="47" t="e">
        <f>#REF!</f>
        <v>#REF!</v>
      </c>
      <c r="G75" s="47" t="e">
        <f>#REF!</f>
        <v>#REF!</v>
      </c>
      <c r="H75" s="47" t="e">
        <f>#REF!</f>
        <v>#REF!</v>
      </c>
      <c r="I75" s="47" t="e">
        <f>#REF!</f>
        <v>#REF!</v>
      </c>
      <c r="J75" s="47" t="e">
        <f>#REF!</f>
        <v>#REF!</v>
      </c>
      <c r="K75" s="47" t="e">
        <f>#REF!</f>
        <v>#REF!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7">
        <v>0</v>
      </c>
      <c r="R75" s="47">
        <v>0</v>
      </c>
      <c r="S75" s="294"/>
      <c r="T75" s="1383"/>
      <c r="U75" s="1" t="s">
        <v>201</v>
      </c>
      <c r="V75" s="495"/>
      <c r="W75" s="495"/>
      <c r="X75" s="495"/>
      <c r="Y75" s="495"/>
      <c r="Z75" s="517"/>
      <c r="AA75" s="517"/>
      <c r="AB75" s="1373"/>
      <c r="AC75" s="47"/>
      <c r="AD75" s="47"/>
      <c r="AE75" s="47">
        <v>30833.33</v>
      </c>
      <c r="AF75" s="47">
        <v>1681.92</v>
      </c>
      <c r="AG75" s="47" t="e">
        <f>SUM(#REF!)</f>
        <v>#REF!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</row>
    <row r="76" spans="1:41" ht="44.25" customHeight="1" x14ac:dyDescent="0.25">
      <c r="A76" s="349">
        <v>0</v>
      </c>
      <c r="B76" s="349">
        <v>0</v>
      </c>
      <c r="C76" s="349">
        <v>0</v>
      </c>
      <c r="D76" s="349">
        <v>0</v>
      </c>
      <c r="E76" s="349">
        <v>0</v>
      </c>
      <c r="F76" s="349">
        <v>0</v>
      </c>
      <c r="G76" s="349">
        <v>0</v>
      </c>
      <c r="H76" s="349">
        <v>0</v>
      </c>
      <c r="I76" s="349">
        <v>0</v>
      </c>
      <c r="J76" s="349">
        <v>0</v>
      </c>
      <c r="K76" s="349">
        <v>0</v>
      </c>
      <c r="L76" s="349">
        <v>0</v>
      </c>
      <c r="M76" s="349">
        <v>0</v>
      </c>
      <c r="N76" s="349" t="e">
        <f>#REF!-A76</f>
        <v>#REF!</v>
      </c>
      <c r="O76" s="349" t="e">
        <f>N76</f>
        <v>#REF!</v>
      </c>
      <c r="P76" s="356">
        <v>0</v>
      </c>
      <c r="Q76" s="349">
        <v>0</v>
      </c>
      <c r="R76" s="349">
        <v>0</v>
      </c>
      <c r="S76" s="350" t="s">
        <v>158</v>
      </c>
      <c r="T76" s="44" t="s">
        <v>58</v>
      </c>
      <c r="U76" s="77" t="s">
        <v>87</v>
      </c>
      <c r="V76" s="1350"/>
      <c r="W76" s="1350"/>
      <c r="X76" s="1350"/>
      <c r="Y76" s="1350"/>
      <c r="Z76" s="517"/>
      <c r="AA76" s="517"/>
      <c r="AB76" s="1326" t="s">
        <v>20</v>
      </c>
      <c r="AC76" s="16">
        <f>AE76</f>
        <v>20425.87</v>
      </c>
      <c r="AD76" s="22"/>
      <c r="AE76" s="79">
        <f>AE77+AE78</f>
        <v>20425.87</v>
      </c>
      <c r="AF76" s="79">
        <f>AF77+AF78</f>
        <v>278.41000000000003</v>
      </c>
      <c r="AG76" s="79" t="e">
        <f>AG77+AG78</f>
        <v>#REF!</v>
      </c>
      <c r="AH76" s="78">
        <v>0</v>
      </c>
      <c r="AI76" s="78">
        <v>0</v>
      </c>
      <c r="AJ76" s="78">
        <v>0</v>
      </c>
      <c r="AK76" s="78">
        <v>0</v>
      </c>
      <c r="AL76" s="78">
        <v>0</v>
      </c>
      <c r="AM76" s="78">
        <v>0</v>
      </c>
      <c r="AN76" s="78">
        <v>0</v>
      </c>
      <c r="AO76" s="78">
        <v>0</v>
      </c>
    </row>
    <row r="77" spans="1:41" s="285" customFormat="1" ht="19.5" customHeight="1" x14ac:dyDescent="0.25">
      <c r="A77" s="79" t="e">
        <f>#REF!</f>
        <v>#REF!</v>
      </c>
      <c r="B77" s="79" t="e">
        <f>#REF!</f>
        <v>#REF!</v>
      </c>
      <c r="C77" s="79" t="e">
        <f>#REF!</f>
        <v>#REF!</v>
      </c>
      <c r="D77" s="79" t="e">
        <f>#REF!</f>
        <v>#REF!</v>
      </c>
      <c r="E77" s="79" t="e">
        <f>#REF!</f>
        <v>#REF!</v>
      </c>
      <c r="F77" s="79" t="e">
        <f>#REF!</f>
        <v>#REF!</v>
      </c>
      <c r="G77" s="79" t="e">
        <f>#REF!</f>
        <v>#REF!</v>
      </c>
      <c r="H77" s="79" t="e">
        <f>#REF!</f>
        <v>#REF!</v>
      </c>
      <c r="I77" s="79" t="e">
        <f>#REF!</f>
        <v>#REF!</v>
      </c>
      <c r="J77" s="79" t="e">
        <f>#REF!</f>
        <v>#REF!</v>
      </c>
      <c r="K77" s="79" t="e">
        <f>#REF!</f>
        <v>#REF!</v>
      </c>
      <c r="L77" s="79" t="e">
        <f>#REF!</f>
        <v>#REF!</v>
      </c>
      <c r="M77" s="79" t="e">
        <f>#REF!</f>
        <v>#REF!</v>
      </c>
      <c r="N77" s="79" t="e">
        <f>#REF!</f>
        <v>#REF!</v>
      </c>
      <c r="O77" s="79" t="e">
        <f>#REF!</f>
        <v>#REF!</v>
      </c>
      <c r="P77" s="79" t="e">
        <f>#REF!</f>
        <v>#REF!</v>
      </c>
      <c r="Q77" s="79" t="e">
        <f>#REF!</f>
        <v>#REF!</v>
      </c>
      <c r="R77" s="79" t="e">
        <f>#REF!</f>
        <v>#REF!</v>
      </c>
      <c r="S77" s="301"/>
      <c r="T77" s="44"/>
      <c r="U77" s="1" t="s">
        <v>15</v>
      </c>
      <c r="V77" s="1351"/>
      <c r="W77" s="1351"/>
      <c r="X77" s="1351"/>
      <c r="Y77" s="1351"/>
      <c r="Z77" s="517">
        <v>2020</v>
      </c>
      <c r="AA77" s="517">
        <v>2020</v>
      </c>
      <c r="AB77" s="1327"/>
      <c r="AC77" s="16">
        <f>AE77</f>
        <v>7560.63</v>
      </c>
      <c r="AD77" s="22"/>
      <c r="AE77" s="16">
        <v>7560.63</v>
      </c>
      <c r="AF77" s="47">
        <v>278.41000000000003</v>
      </c>
      <c r="AG77" s="47" t="e">
        <f>#REF!</f>
        <v>#REF!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</row>
    <row r="78" spans="1:41" s="285" customFormat="1" ht="18" customHeight="1" x14ac:dyDescent="0.25">
      <c r="A78" s="79">
        <f t="shared" ref="A78:R78" si="45">A79</f>
        <v>0</v>
      </c>
      <c r="B78" s="79">
        <f t="shared" si="45"/>
        <v>0</v>
      </c>
      <c r="C78" s="79">
        <f t="shared" si="45"/>
        <v>0</v>
      </c>
      <c r="D78" s="79">
        <f t="shared" si="45"/>
        <v>0</v>
      </c>
      <c r="E78" s="79">
        <f t="shared" si="45"/>
        <v>0</v>
      </c>
      <c r="F78" s="79">
        <f t="shared" si="45"/>
        <v>0</v>
      </c>
      <c r="G78" s="79">
        <f t="shared" si="45"/>
        <v>0</v>
      </c>
      <c r="H78" s="79">
        <f t="shared" si="45"/>
        <v>0</v>
      </c>
      <c r="I78" s="79">
        <f t="shared" si="45"/>
        <v>0</v>
      </c>
      <c r="J78" s="79">
        <f t="shared" si="45"/>
        <v>0</v>
      </c>
      <c r="K78" s="79">
        <f t="shared" si="45"/>
        <v>0</v>
      </c>
      <c r="L78" s="79">
        <f t="shared" si="45"/>
        <v>0</v>
      </c>
      <c r="M78" s="79">
        <f t="shared" si="45"/>
        <v>0</v>
      </c>
      <c r="N78" s="79">
        <f t="shared" si="45"/>
        <v>0</v>
      </c>
      <c r="O78" s="79">
        <f t="shared" si="45"/>
        <v>0</v>
      </c>
      <c r="P78" s="79">
        <f t="shared" si="45"/>
        <v>0</v>
      </c>
      <c r="Q78" s="79">
        <f t="shared" si="45"/>
        <v>0</v>
      </c>
      <c r="R78" s="79">
        <f t="shared" si="45"/>
        <v>0</v>
      </c>
      <c r="S78" s="301"/>
      <c r="T78" s="44"/>
      <c r="U78" s="1" t="s">
        <v>16</v>
      </c>
      <c r="V78" s="1352"/>
      <c r="W78" s="1352"/>
      <c r="X78" s="1352"/>
      <c r="Y78" s="1352"/>
      <c r="Z78" s="517">
        <v>2020</v>
      </c>
      <c r="AA78" s="517">
        <v>2020</v>
      </c>
      <c r="AB78" s="1328"/>
      <c r="AC78" s="16">
        <f>AE78</f>
        <v>12865.24</v>
      </c>
      <c r="AD78" s="22"/>
      <c r="AE78" s="16">
        <v>12865.24</v>
      </c>
      <c r="AF78" s="47">
        <f>AD78*1.2</f>
        <v>0</v>
      </c>
      <c r="AG78" s="47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</row>
    <row r="79" spans="1:41" s="285" customFormat="1" ht="17.25" hidden="1" customHeight="1" x14ac:dyDescent="0.25">
      <c r="A79" s="47">
        <v>0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294"/>
      <c r="T79" s="44" t="s">
        <v>59</v>
      </c>
      <c r="U79" s="345" t="s">
        <v>55</v>
      </c>
      <c r="V79" s="514"/>
      <c r="W79" s="514"/>
      <c r="X79" s="514"/>
      <c r="Y79" s="514"/>
      <c r="Z79" s="517">
        <v>2021</v>
      </c>
      <c r="AA79" s="517"/>
      <c r="AB79" s="496" t="s">
        <v>20</v>
      </c>
      <c r="AC79" s="524">
        <v>313558.92</v>
      </c>
      <c r="AD79" s="22"/>
      <c r="AE79" s="349">
        <f>AG79+AH79+AI79</f>
        <v>0</v>
      </c>
      <c r="AF79" s="349">
        <v>0</v>
      </c>
      <c r="AG79" s="349">
        <v>0</v>
      </c>
      <c r="AH79" s="120">
        <v>0</v>
      </c>
      <c r="AI79" s="121">
        <v>0</v>
      </c>
      <c r="AJ79" s="121">
        <v>0</v>
      </c>
      <c r="AK79" s="121">
        <v>0</v>
      </c>
      <c r="AL79" s="120">
        <v>0</v>
      </c>
      <c r="AM79" s="121">
        <v>0</v>
      </c>
      <c r="AN79" s="121">
        <v>0</v>
      </c>
      <c r="AO79" s="121">
        <v>0</v>
      </c>
    </row>
    <row r="80" spans="1:41" s="285" customFormat="1" ht="64.5" customHeight="1" x14ac:dyDescent="0.25">
      <c r="A80" s="79">
        <f t="shared" ref="A80:R81" si="46">A81</f>
        <v>372.9</v>
      </c>
      <c r="B80" s="79">
        <f t="shared" si="46"/>
        <v>0</v>
      </c>
      <c r="C80" s="79">
        <f t="shared" si="46"/>
        <v>0</v>
      </c>
      <c r="D80" s="79">
        <f t="shared" si="46"/>
        <v>0</v>
      </c>
      <c r="E80" s="79">
        <f t="shared" si="46"/>
        <v>0</v>
      </c>
      <c r="F80" s="79">
        <f t="shared" si="46"/>
        <v>0</v>
      </c>
      <c r="G80" s="79">
        <f t="shared" si="46"/>
        <v>0</v>
      </c>
      <c r="H80" s="79">
        <f t="shared" si="46"/>
        <v>0</v>
      </c>
      <c r="I80" s="79">
        <f t="shared" si="46"/>
        <v>372.9</v>
      </c>
      <c r="J80" s="79">
        <f t="shared" si="46"/>
        <v>372.9</v>
      </c>
      <c r="K80" s="79">
        <f t="shared" si="46"/>
        <v>372.9</v>
      </c>
      <c r="L80" s="79">
        <f t="shared" si="46"/>
        <v>0</v>
      </c>
      <c r="M80" s="79">
        <f t="shared" si="46"/>
        <v>0</v>
      </c>
      <c r="N80" s="79" t="e">
        <f>#REF!-A80</f>
        <v>#REF!</v>
      </c>
      <c r="O80" s="79">
        <f t="shared" si="46"/>
        <v>0</v>
      </c>
      <c r="P80" s="79">
        <f t="shared" si="46"/>
        <v>0</v>
      </c>
      <c r="Q80" s="79">
        <f t="shared" si="46"/>
        <v>0</v>
      </c>
      <c r="R80" s="79">
        <f t="shared" si="46"/>
        <v>0</v>
      </c>
      <c r="S80" s="301"/>
      <c r="T80" s="494" t="s">
        <v>278</v>
      </c>
      <c r="U80" s="80" t="s">
        <v>202</v>
      </c>
      <c r="V80" s="315"/>
      <c r="W80" s="315"/>
      <c r="X80" s="315"/>
      <c r="Y80" s="315"/>
      <c r="Z80" s="316"/>
      <c r="AA80" s="317"/>
      <c r="AB80" s="1326" t="s">
        <v>20</v>
      </c>
      <c r="AC80" s="284"/>
      <c r="AD80" s="162"/>
      <c r="AE80" s="79">
        <f>AE81</f>
        <v>4214.49</v>
      </c>
      <c r="AF80" s="79">
        <f>AF81</f>
        <v>219.42</v>
      </c>
      <c r="AG80" s="79">
        <f>AG81</f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</row>
    <row r="81" spans="1:41" s="285" customFormat="1" ht="17.25" customHeight="1" x14ac:dyDescent="0.25">
      <c r="A81" s="47">
        <f>A82</f>
        <v>372.9</v>
      </c>
      <c r="B81" s="47">
        <f t="shared" si="46"/>
        <v>0</v>
      </c>
      <c r="C81" s="47">
        <f t="shared" si="46"/>
        <v>0</v>
      </c>
      <c r="D81" s="47">
        <f t="shared" si="46"/>
        <v>0</v>
      </c>
      <c r="E81" s="47">
        <f t="shared" si="46"/>
        <v>0</v>
      </c>
      <c r="F81" s="47">
        <f t="shared" si="46"/>
        <v>0</v>
      </c>
      <c r="G81" s="47">
        <f t="shared" si="46"/>
        <v>0</v>
      </c>
      <c r="H81" s="47">
        <f t="shared" si="46"/>
        <v>0</v>
      </c>
      <c r="I81" s="47">
        <f t="shared" si="46"/>
        <v>372.9</v>
      </c>
      <c r="J81" s="47">
        <f t="shared" si="46"/>
        <v>372.9</v>
      </c>
      <c r="K81" s="47">
        <f t="shared" si="46"/>
        <v>372.9</v>
      </c>
      <c r="L81" s="47"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294"/>
      <c r="T81" s="494"/>
      <c r="U81" s="42" t="s">
        <v>203</v>
      </c>
      <c r="V81" s="313"/>
      <c r="W81" s="313"/>
      <c r="X81" s="313"/>
      <c r="Y81" s="313"/>
      <c r="Z81" s="313"/>
      <c r="AA81" s="314"/>
      <c r="AB81" s="1373"/>
      <c r="AC81" s="72"/>
      <c r="AD81" s="47"/>
      <c r="AE81" s="47">
        <v>4214.49</v>
      </c>
      <c r="AF81" s="47">
        <v>219.42</v>
      </c>
      <c r="AG81" s="47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</row>
    <row r="82" spans="1:41" s="266" customFormat="1" ht="52.5" customHeight="1" x14ac:dyDescent="0.25">
      <c r="A82" s="96">
        <f>I82</f>
        <v>372.9</v>
      </c>
      <c r="B82" s="96"/>
      <c r="C82" s="96"/>
      <c r="D82" s="96"/>
      <c r="E82" s="96"/>
      <c r="F82" s="96"/>
      <c r="G82" s="96"/>
      <c r="H82" s="96">
        <v>0</v>
      </c>
      <c r="I82" s="96">
        <v>372.9</v>
      </c>
      <c r="J82" s="96">
        <f>K82</f>
        <v>372.9</v>
      </c>
      <c r="K82" s="96">
        <v>372.9</v>
      </c>
      <c r="L82" s="96"/>
      <c r="M82" s="96"/>
      <c r="N82" s="96"/>
      <c r="O82" s="96"/>
      <c r="P82" s="96"/>
      <c r="Q82" s="96"/>
      <c r="R82" s="96"/>
      <c r="S82" s="302"/>
      <c r="T82" s="1372" t="s">
        <v>279</v>
      </c>
      <c r="U82" s="80" t="s">
        <v>204</v>
      </c>
      <c r="V82" s="315"/>
      <c r="W82" s="315"/>
      <c r="X82" s="315"/>
      <c r="Y82" s="315"/>
      <c r="Z82" s="316"/>
      <c r="AA82" s="317"/>
      <c r="AB82" s="1326" t="s">
        <v>20</v>
      </c>
      <c r="AC82" s="284"/>
      <c r="AD82" s="162"/>
      <c r="AE82" s="79">
        <f>AE83</f>
        <v>3214.56</v>
      </c>
      <c r="AF82" s="79">
        <f>AF83</f>
        <v>257.88</v>
      </c>
      <c r="AG82" s="79">
        <f>AG83</f>
        <v>0</v>
      </c>
      <c r="AH82" s="78">
        <v>0</v>
      </c>
      <c r="AI82" s="78">
        <v>0</v>
      </c>
      <c r="AJ82" s="78">
        <v>0</v>
      </c>
      <c r="AK82" s="78">
        <v>0</v>
      </c>
      <c r="AL82" s="78">
        <v>0</v>
      </c>
      <c r="AM82" s="78">
        <v>0</v>
      </c>
      <c r="AN82" s="78">
        <v>0</v>
      </c>
      <c r="AO82" s="78">
        <v>0</v>
      </c>
    </row>
    <row r="83" spans="1:41" s="285" customFormat="1" ht="21.75" customHeight="1" x14ac:dyDescent="0.25">
      <c r="A83" s="79">
        <f t="shared" ref="A83:M83" si="47">A84+A87</f>
        <v>36.106000000000002</v>
      </c>
      <c r="B83" s="79">
        <f t="shared" si="47"/>
        <v>0</v>
      </c>
      <c r="C83" s="79">
        <f t="shared" si="47"/>
        <v>0</v>
      </c>
      <c r="D83" s="79">
        <f t="shared" si="47"/>
        <v>0</v>
      </c>
      <c r="E83" s="79">
        <f t="shared" si="47"/>
        <v>0</v>
      </c>
      <c r="F83" s="79">
        <f t="shared" si="47"/>
        <v>0</v>
      </c>
      <c r="G83" s="79">
        <f t="shared" si="47"/>
        <v>0</v>
      </c>
      <c r="H83" s="79">
        <f t="shared" si="47"/>
        <v>36.106000000000002</v>
      </c>
      <c r="I83" s="79">
        <f t="shared" si="47"/>
        <v>36.106000000000002</v>
      </c>
      <c r="J83" s="79">
        <f t="shared" si="47"/>
        <v>36.106000000000002</v>
      </c>
      <c r="K83" s="79">
        <f t="shared" si="47"/>
        <v>36.106000000000002</v>
      </c>
      <c r="L83" s="79">
        <f t="shared" si="47"/>
        <v>0</v>
      </c>
      <c r="M83" s="79">
        <f t="shared" si="47"/>
        <v>0</v>
      </c>
      <c r="N83" s="79" t="e">
        <f>#REF!-A83</f>
        <v>#REF!</v>
      </c>
      <c r="O83" s="79">
        <f>O84+O87</f>
        <v>0</v>
      </c>
      <c r="P83" s="79">
        <f>P84+P87</f>
        <v>0</v>
      </c>
      <c r="Q83" s="79">
        <f>Q84+Q87</f>
        <v>0</v>
      </c>
      <c r="R83" s="79">
        <f>R84+R87</f>
        <v>0</v>
      </c>
      <c r="S83" s="325" t="s">
        <v>164</v>
      </c>
      <c r="T83" s="1383"/>
      <c r="U83" s="42" t="s">
        <v>203</v>
      </c>
      <c r="V83" s="313"/>
      <c r="W83" s="313"/>
      <c r="X83" s="313"/>
      <c r="Y83" s="313"/>
      <c r="Z83" s="313"/>
      <c r="AA83" s="314"/>
      <c r="AB83" s="1373"/>
      <c r="AC83" s="72"/>
      <c r="AD83" s="47"/>
      <c r="AE83" s="47">
        <v>3214.56</v>
      </c>
      <c r="AF83" s="47">
        <v>257.88</v>
      </c>
      <c r="AG83" s="47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</row>
    <row r="84" spans="1:41" s="285" customFormat="1" ht="54.75" customHeight="1" x14ac:dyDescent="0.25">
      <c r="A84" s="47">
        <f t="shared" ref="A84:M84" si="48">SUM(A85:A86)</f>
        <v>36.106000000000002</v>
      </c>
      <c r="B84" s="47">
        <f t="shared" si="48"/>
        <v>0</v>
      </c>
      <c r="C84" s="47">
        <f t="shared" si="48"/>
        <v>0</v>
      </c>
      <c r="D84" s="47">
        <f t="shared" si="48"/>
        <v>0</v>
      </c>
      <c r="E84" s="47">
        <f t="shared" si="48"/>
        <v>0</v>
      </c>
      <c r="F84" s="47">
        <f t="shared" si="48"/>
        <v>0</v>
      </c>
      <c r="G84" s="47">
        <f t="shared" si="48"/>
        <v>0</v>
      </c>
      <c r="H84" s="47">
        <f t="shared" si="48"/>
        <v>36.106000000000002</v>
      </c>
      <c r="I84" s="47">
        <f t="shared" si="48"/>
        <v>36.106000000000002</v>
      </c>
      <c r="J84" s="47">
        <f t="shared" si="48"/>
        <v>36.106000000000002</v>
      </c>
      <c r="K84" s="47">
        <f t="shared" si="48"/>
        <v>36.106000000000002</v>
      </c>
      <c r="L84" s="47">
        <f t="shared" si="48"/>
        <v>0</v>
      </c>
      <c r="M84" s="47">
        <f t="shared" si="48"/>
        <v>0</v>
      </c>
      <c r="N84" s="47">
        <v>0</v>
      </c>
      <c r="O84" s="47">
        <v>0</v>
      </c>
      <c r="P84" s="47">
        <v>0</v>
      </c>
      <c r="Q84" s="47">
        <v>0</v>
      </c>
      <c r="R84" s="47">
        <v>0</v>
      </c>
      <c r="S84" s="294">
        <v>159.434</v>
      </c>
      <c r="T84" s="1372" t="s">
        <v>159</v>
      </c>
      <c r="U84" s="80" t="s">
        <v>161</v>
      </c>
      <c r="V84" s="315"/>
      <c r="W84" s="315"/>
      <c r="X84" s="315"/>
      <c r="Y84" s="315"/>
      <c r="Z84" s="316"/>
      <c r="AA84" s="317"/>
      <c r="AB84" s="1326" t="s">
        <v>20</v>
      </c>
      <c r="AC84" s="284"/>
      <c r="AD84" s="162"/>
      <c r="AE84" s="79">
        <f>AE85</f>
        <v>372.9</v>
      </c>
      <c r="AF84" s="79">
        <f>AF85</f>
        <v>0</v>
      </c>
      <c r="AG84" s="79" t="e">
        <f>AG85</f>
        <v>#REF!</v>
      </c>
      <c r="AH84" s="78">
        <v>0</v>
      </c>
      <c r="AI84" s="78">
        <v>0</v>
      </c>
      <c r="AJ84" s="78">
        <v>0</v>
      </c>
      <c r="AK84" s="78">
        <v>0</v>
      </c>
      <c r="AL84" s="78">
        <v>0</v>
      </c>
      <c r="AM84" s="78">
        <v>0</v>
      </c>
      <c r="AN84" s="78">
        <v>0</v>
      </c>
      <c r="AO84" s="78">
        <v>0</v>
      </c>
    </row>
    <row r="85" spans="1:41" s="266" customFormat="1" ht="17.25" customHeight="1" x14ac:dyDescent="0.25">
      <c r="A85" s="96">
        <f>I85</f>
        <v>3.4409999999999998</v>
      </c>
      <c r="B85" s="96"/>
      <c r="C85" s="96"/>
      <c r="D85" s="96"/>
      <c r="E85" s="96"/>
      <c r="F85" s="96"/>
      <c r="G85" s="96"/>
      <c r="H85" s="96">
        <f>I85</f>
        <v>3.4409999999999998</v>
      </c>
      <c r="I85" s="96">
        <v>3.4409999999999998</v>
      </c>
      <c r="J85" s="96">
        <f>K85</f>
        <v>3.4409999999999998</v>
      </c>
      <c r="K85" s="96">
        <v>3.4409999999999998</v>
      </c>
      <c r="L85" s="96"/>
      <c r="M85" s="96"/>
      <c r="N85" s="96"/>
      <c r="O85" s="96"/>
      <c r="P85" s="96"/>
      <c r="Q85" s="96"/>
      <c r="R85" s="96"/>
      <c r="S85" s="302"/>
      <c r="T85" s="1383"/>
      <c r="U85" s="42" t="s">
        <v>203</v>
      </c>
      <c r="V85" s="313"/>
      <c r="W85" s="313"/>
      <c r="X85" s="313"/>
      <c r="Y85" s="313"/>
      <c r="Z85" s="313"/>
      <c r="AA85" s="314"/>
      <c r="AB85" s="1373"/>
      <c r="AC85" s="72"/>
      <c r="AD85" s="47"/>
      <c r="AE85" s="47">
        <v>372.9</v>
      </c>
      <c r="AF85" s="47">
        <v>0</v>
      </c>
      <c r="AG85" s="47" t="e">
        <f>#REF!</f>
        <v>#REF!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</row>
    <row r="86" spans="1:41" s="266" customFormat="1" ht="56.25" customHeight="1" x14ac:dyDescent="0.25">
      <c r="A86" s="96">
        <f>I86</f>
        <v>32.664999999999999</v>
      </c>
      <c r="B86" s="96"/>
      <c r="C86" s="96"/>
      <c r="D86" s="96"/>
      <c r="E86" s="96"/>
      <c r="F86" s="96"/>
      <c r="G86" s="96"/>
      <c r="H86" s="96">
        <f>I86</f>
        <v>32.664999999999999</v>
      </c>
      <c r="I86" s="96">
        <v>32.664999999999999</v>
      </c>
      <c r="J86" s="96">
        <f>K86</f>
        <v>32.664999999999999</v>
      </c>
      <c r="K86" s="96">
        <v>32.664999999999999</v>
      </c>
      <c r="L86" s="96"/>
      <c r="M86" s="96"/>
      <c r="N86" s="96"/>
      <c r="O86" s="96"/>
      <c r="P86" s="96"/>
      <c r="Q86" s="96"/>
      <c r="R86" s="96"/>
      <c r="S86" s="302"/>
      <c r="T86" s="1372" t="s">
        <v>160</v>
      </c>
      <c r="U86" s="80" t="s">
        <v>163</v>
      </c>
      <c r="V86" s="315"/>
      <c r="W86" s="315"/>
      <c r="X86" s="315"/>
      <c r="Y86" s="315"/>
      <c r="Z86" s="316"/>
      <c r="AA86" s="317"/>
      <c r="AB86" s="1326" t="s">
        <v>20</v>
      </c>
      <c r="AC86" s="284"/>
      <c r="AD86" s="162"/>
      <c r="AE86" s="79">
        <f>AE87+AE89</f>
        <v>5513.9</v>
      </c>
      <c r="AF86" s="79">
        <f>AF87+AF89</f>
        <v>0</v>
      </c>
      <c r="AG86" s="79">
        <f>AG87+AG89</f>
        <v>0</v>
      </c>
      <c r="AH86" s="78">
        <v>0</v>
      </c>
      <c r="AI86" s="78">
        <v>0</v>
      </c>
      <c r="AJ86" s="78">
        <v>0</v>
      </c>
      <c r="AK86" s="78">
        <v>0</v>
      </c>
      <c r="AL86" s="78">
        <v>0</v>
      </c>
      <c r="AM86" s="78">
        <v>0</v>
      </c>
      <c r="AN86" s="78">
        <v>0</v>
      </c>
      <c r="AO86" s="78">
        <v>0</v>
      </c>
    </row>
    <row r="87" spans="1:41" s="285" customFormat="1" ht="16.5" customHeight="1" x14ac:dyDescent="0.25">
      <c r="A87" s="47">
        <v>0</v>
      </c>
      <c r="B87" s="47">
        <v>0</v>
      </c>
      <c r="C87" s="47">
        <v>0</v>
      </c>
      <c r="D87" s="47">
        <v>0</v>
      </c>
      <c r="E87" s="47">
        <v>0</v>
      </c>
      <c r="F87" s="47">
        <v>0</v>
      </c>
      <c r="G87" s="47">
        <v>0</v>
      </c>
      <c r="H87" s="96">
        <v>0</v>
      </c>
      <c r="I87" s="96">
        <v>0</v>
      </c>
      <c r="J87" s="47">
        <v>0</v>
      </c>
      <c r="K87" s="47">
        <v>0</v>
      </c>
      <c r="L87" s="47">
        <v>0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v>0</v>
      </c>
      <c r="S87" s="294">
        <v>1639.8466699999999</v>
      </c>
      <c r="T87" s="1382"/>
      <c r="U87" s="42" t="s">
        <v>15</v>
      </c>
      <c r="V87" s="313"/>
      <c r="W87" s="313"/>
      <c r="X87" s="313"/>
      <c r="Y87" s="313"/>
      <c r="Z87" s="313"/>
      <c r="AA87" s="314"/>
      <c r="AB87" s="1378"/>
      <c r="AC87" s="72"/>
      <c r="AD87" s="47"/>
      <c r="AE87" s="47">
        <v>594.36</v>
      </c>
      <c r="AF87" s="47">
        <f>AD87</f>
        <v>0</v>
      </c>
      <c r="AG87" s="47">
        <f>SUM(AG88:AG88)</f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</row>
    <row r="88" spans="1:41" s="266" customFormat="1" ht="16.5" hidden="1" customHeight="1" x14ac:dyDescent="0.25">
      <c r="A88" s="96">
        <f>I88</f>
        <v>885</v>
      </c>
      <c r="B88" s="96"/>
      <c r="C88" s="96"/>
      <c r="D88" s="96"/>
      <c r="E88" s="96"/>
      <c r="F88" s="96"/>
      <c r="G88" s="96"/>
      <c r="H88" s="96">
        <v>2761.44</v>
      </c>
      <c r="I88" s="96">
        <v>885</v>
      </c>
      <c r="J88" s="96">
        <f>K88</f>
        <v>0</v>
      </c>
      <c r="K88" s="96">
        <v>0</v>
      </c>
      <c r="L88" s="96">
        <v>0</v>
      </c>
      <c r="M88" s="96">
        <v>0</v>
      </c>
      <c r="N88" s="96">
        <v>0</v>
      </c>
      <c r="O88" s="96">
        <v>0</v>
      </c>
      <c r="P88" s="96">
        <v>0</v>
      </c>
      <c r="Q88" s="96">
        <v>0</v>
      </c>
      <c r="R88" s="96">
        <v>0</v>
      </c>
      <c r="S88" s="302"/>
      <c r="T88" s="1382"/>
      <c r="U88" s="252" t="s">
        <v>227</v>
      </c>
      <c r="V88" s="363"/>
      <c r="W88" s="363"/>
      <c r="X88" s="363"/>
      <c r="Y88" s="363"/>
      <c r="Z88" s="363"/>
      <c r="AA88" s="364"/>
      <c r="AB88" s="1378"/>
      <c r="AC88" s="258"/>
      <c r="AD88" s="96"/>
      <c r="AE88" s="96"/>
      <c r="AF88" s="47"/>
      <c r="AG88" s="96">
        <f>AO88</f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</row>
    <row r="89" spans="1:41" s="266" customFormat="1" ht="16.5" customHeight="1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302"/>
      <c r="T89" s="1383"/>
      <c r="U89" s="42" t="s">
        <v>32</v>
      </c>
      <c r="V89" s="313"/>
      <c r="W89" s="313"/>
      <c r="X89" s="313"/>
      <c r="Y89" s="313"/>
      <c r="Z89" s="313"/>
      <c r="AA89" s="314"/>
      <c r="AB89" s="1373"/>
      <c r="AC89" s="72"/>
      <c r="AD89" s="47"/>
      <c r="AE89" s="47">
        <v>4919.54</v>
      </c>
      <c r="AF89" s="47">
        <v>0</v>
      </c>
      <c r="AG89" s="47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</row>
    <row r="90" spans="1:41" s="285" customFormat="1" ht="58.5" customHeight="1" x14ac:dyDescent="0.25">
      <c r="A90" s="47">
        <v>0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v>0</v>
      </c>
      <c r="S90" s="294"/>
      <c r="T90" s="1372" t="s">
        <v>162</v>
      </c>
      <c r="U90" s="80" t="s">
        <v>166</v>
      </c>
      <c r="V90" s="315"/>
      <c r="W90" s="315"/>
      <c r="X90" s="315"/>
      <c r="Y90" s="315"/>
      <c r="Z90" s="315"/>
      <c r="AA90" s="326"/>
      <c r="AB90" s="1326" t="s">
        <v>20</v>
      </c>
      <c r="AC90" s="284"/>
      <c r="AD90" s="79"/>
      <c r="AE90" s="79">
        <f>AE91+AE92</f>
        <v>94875.549999999988</v>
      </c>
      <c r="AF90" s="79">
        <f>AF91+AF92</f>
        <v>2605.9899999999998</v>
      </c>
      <c r="AG90" s="79" t="e">
        <f>AG91+AG92</f>
        <v>#REF!</v>
      </c>
      <c r="AH90" s="78">
        <v>0</v>
      </c>
      <c r="AI90" s="78">
        <v>0</v>
      </c>
      <c r="AJ90" s="78">
        <v>0</v>
      </c>
      <c r="AK90" s="78">
        <v>0</v>
      </c>
      <c r="AL90" s="78">
        <v>0</v>
      </c>
      <c r="AM90" s="78">
        <v>0</v>
      </c>
      <c r="AN90" s="78">
        <v>0</v>
      </c>
      <c r="AO90" s="78">
        <v>0</v>
      </c>
    </row>
    <row r="91" spans="1:41" ht="18.75" customHeight="1" x14ac:dyDescent="0.25">
      <c r="A91" s="22">
        <v>0</v>
      </c>
      <c r="B91" s="22">
        <v>0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95"/>
      <c r="T91" s="1382"/>
      <c r="U91" s="42" t="s">
        <v>15</v>
      </c>
      <c r="V91" s="313"/>
      <c r="W91" s="313"/>
      <c r="X91" s="313"/>
      <c r="Y91" s="313"/>
      <c r="Z91" s="313"/>
      <c r="AA91" s="314"/>
      <c r="AB91" s="1378"/>
      <c r="AC91" s="72"/>
      <c r="AD91" s="47"/>
      <c r="AE91" s="47">
        <v>5734.87</v>
      </c>
      <c r="AF91" s="47">
        <v>0</v>
      </c>
      <c r="AG91" s="47" t="e">
        <f>SUM(#REF!)</f>
        <v>#REF!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</row>
    <row r="92" spans="1:41" ht="18.75" customHeight="1" x14ac:dyDescent="0.25">
      <c r="A92" s="22">
        <v>0</v>
      </c>
      <c r="B92" s="22">
        <v>0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95"/>
      <c r="T92" s="1383"/>
      <c r="U92" s="42" t="s">
        <v>32</v>
      </c>
      <c r="V92" s="313"/>
      <c r="W92" s="313"/>
      <c r="X92" s="313"/>
      <c r="Y92" s="313"/>
      <c r="Z92" s="313"/>
      <c r="AA92" s="314"/>
      <c r="AB92" s="1373"/>
      <c r="AC92" s="72"/>
      <c r="AD92" s="47"/>
      <c r="AE92" s="47">
        <v>89140.68</v>
      </c>
      <c r="AF92" s="47">
        <v>2605.9899999999998</v>
      </c>
      <c r="AG92" s="47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</row>
    <row r="93" spans="1:41" ht="72.75" customHeight="1" x14ac:dyDescent="0.25">
      <c r="A93" s="79">
        <f t="shared" ref="A93:R93" si="49">A94+A95</f>
        <v>0</v>
      </c>
      <c r="B93" s="79">
        <f t="shared" si="49"/>
        <v>0</v>
      </c>
      <c r="C93" s="79">
        <f t="shared" si="49"/>
        <v>0</v>
      </c>
      <c r="D93" s="79">
        <f t="shared" si="49"/>
        <v>0</v>
      </c>
      <c r="E93" s="79">
        <f t="shared" si="49"/>
        <v>0</v>
      </c>
      <c r="F93" s="79">
        <f t="shared" si="49"/>
        <v>0</v>
      </c>
      <c r="G93" s="79">
        <f t="shared" si="49"/>
        <v>0</v>
      </c>
      <c r="H93" s="79">
        <f t="shared" si="49"/>
        <v>0</v>
      </c>
      <c r="I93" s="79">
        <f t="shared" si="49"/>
        <v>0</v>
      </c>
      <c r="J93" s="79">
        <f t="shared" si="49"/>
        <v>0</v>
      </c>
      <c r="K93" s="79">
        <f t="shared" si="49"/>
        <v>0</v>
      </c>
      <c r="L93" s="79">
        <f t="shared" si="49"/>
        <v>0</v>
      </c>
      <c r="M93" s="79">
        <f t="shared" si="49"/>
        <v>0</v>
      </c>
      <c r="N93" s="79" t="e">
        <f>#REF!-A93</f>
        <v>#REF!</v>
      </c>
      <c r="O93" s="79" t="e">
        <f>N93</f>
        <v>#REF!</v>
      </c>
      <c r="P93" s="76">
        <v>0</v>
      </c>
      <c r="Q93" s="79">
        <f t="shared" si="49"/>
        <v>0</v>
      </c>
      <c r="R93" s="79">
        <f t="shared" si="49"/>
        <v>0</v>
      </c>
      <c r="S93" s="301"/>
      <c r="T93" s="1372" t="s">
        <v>165</v>
      </c>
      <c r="U93" s="77" t="s">
        <v>280</v>
      </c>
      <c r="V93" s="315"/>
      <c r="W93" s="315"/>
      <c r="X93" s="315"/>
      <c r="Y93" s="315"/>
      <c r="Z93" s="316"/>
      <c r="AA93" s="317"/>
      <c r="AB93" s="1326" t="s">
        <v>20</v>
      </c>
      <c r="AC93" s="284"/>
      <c r="AD93" s="162"/>
      <c r="AE93" s="79">
        <f>AE94</f>
        <v>10177.64</v>
      </c>
      <c r="AF93" s="79">
        <f>AF94</f>
        <v>2591.96</v>
      </c>
      <c r="AG93" s="79">
        <f>AG94</f>
        <v>0</v>
      </c>
      <c r="AH93" s="78">
        <v>0</v>
      </c>
      <c r="AI93" s="78">
        <v>0</v>
      </c>
      <c r="AJ93" s="78">
        <v>0</v>
      </c>
      <c r="AK93" s="78">
        <v>0</v>
      </c>
      <c r="AL93" s="78">
        <v>0</v>
      </c>
      <c r="AM93" s="78">
        <v>0</v>
      </c>
      <c r="AN93" s="78">
        <v>0</v>
      </c>
      <c r="AO93" s="78">
        <v>0</v>
      </c>
    </row>
    <row r="94" spans="1:41" ht="15.75" customHeight="1" x14ac:dyDescent="0.25">
      <c r="A94" s="47">
        <v>0</v>
      </c>
      <c r="B94" s="47">
        <v>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  <c r="P94" s="47">
        <v>0</v>
      </c>
      <c r="Q94" s="47">
        <v>0</v>
      </c>
      <c r="R94" s="47">
        <v>0</v>
      </c>
      <c r="S94" s="294"/>
      <c r="T94" s="1373"/>
      <c r="U94" s="42" t="s">
        <v>203</v>
      </c>
      <c r="V94" s="313"/>
      <c r="W94" s="313"/>
      <c r="X94" s="313"/>
      <c r="Y94" s="313"/>
      <c r="Z94" s="313"/>
      <c r="AA94" s="314"/>
      <c r="AB94" s="1373"/>
      <c r="AC94" s="72"/>
      <c r="AD94" s="47"/>
      <c r="AE94" s="47">
        <v>10177.64</v>
      </c>
      <c r="AF94" s="47">
        <v>2591.96</v>
      </c>
      <c r="AG94" s="47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</row>
    <row r="95" spans="1:41" ht="25.5" customHeight="1" x14ac:dyDescent="0.25">
      <c r="A95" s="22">
        <v>0</v>
      </c>
      <c r="B95" s="22">
        <v>0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95"/>
      <c r="T95" s="1372" t="s">
        <v>281</v>
      </c>
      <c r="U95" s="80" t="s">
        <v>284</v>
      </c>
      <c r="V95" s="315"/>
      <c r="W95" s="315"/>
      <c r="X95" s="315"/>
      <c r="Y95" s="315"/>
      <c r="Z95" s="316"/>
      <c r="AA95" s="317"/>
      <c r="AB95" s="1326" t="s">
        <v>20</v>
      </c>
      <c r="AC95" s="284"/>
      <c r="AD95" s="162"/>
      <c r="AE95" s="79">
        <f>SUM(AE96:AE97)</f>
        <v>12294.88</v>
      </c>
      <c r="AF95" s="79">
        <f>SUM(AF96:AF97)</f>
        <v>980</v>
      </c>
      <c r="AG95" s="79">
        <f>AG97</f>
        <v>0</v>
      </c>
      <c r="AH95" s="78">
        <v>0</v>
      </c>
      <c r="AI95" s="78">
        <v>0</v>
      </c>
      <c r="AJ95" s="78">
        <v>0</v>
      </c>
      <c r="AK95" s="78">
        <v>0</v>
      </c>
      <c r="AL95" s="78">
        <v>0</v>
      </c>
      <c r="AM95" s="78">
        <v>0</v>
      </c>
      <c r="AN95" s="78">
        <v>0</v>
      </c>
      <c r="AO95" s="78">
        <v>0</v>
      </c>
    </row>
    <row r="96" spans="1:41" ht="15.75" customHeight="1" x14ac:dyDescent="0.25">
      <c r="A96" s="377"/>
      <c r="B96" s="377"/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1382"/>
      <c r="U96" s="42" t="s">
        <v>285</v>
      </c>
      <c r="V96" s="312"/>
      <c r="W96" s="312"/>
      <c r="X96" s="312"/>
      <c r="Y96" s="312"/>
      <c r="Z96" s="313"/>
      <c r="AA96" s="314"/>
      <c r="AB96" s="1327"/>
      <c r="AC96" s="499"/>
      <c r="AD96" s="47"/>
      <c r="AE96" s="47">
        <v>980</v>
      </c>
      <c r="AF96" s="47">
        <v>980</v>
      </c>
      <c r="AG96" s="3"/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</row>
    <row r="97" spans="1:41" s="387" customFormat="1" ht="13.5" customHeight="1" x14ac:dyDescent="0.2">
      <c r="A97" s="386">
        <f t="shared" ref="A97:AO97" si="50">A98+A99+A100+A101</f>
        <v>55662.792000000001</v>
      </c>
      <c r="B97" s="386">
        <f t="shared" si="50"/>
        <v>33.478999999999999</v>
      </c>
      <c r="C97" s="386">
        <f t="shared" si="50"/>
        <v>33.478999999999999</v>
      </c>
      <c r="D97" s="386">
        <f t="shared" si="50"/>
        <v>154.69999999999999</v>
      </c>
      <c r="E97" s="386">
        <f t="shared" si="50"/>
        <v>154.69999999999999</v>
      </c>
      <c r="F97" s="386">
        <f t="shared" si="50"/>
        <v>3843.9340000000002</v>
      </c>
      <c r="G97" s="386">
        <f t="shared" si="50"/>
        <v>3843.9340000000002</v>
      </c>
      <c r="H97" s="386">
        <f t="shared" si="50"/>
        <v>53507.118999999999</v>
      </c>
      <c r="I97" s="386">
        <f t="shared" si="50"/>
        <v>51630.678999999996</v>
      </c>
      <c r="J97" s="386">
        <f t="shared" si="50"/>
        <v>95390.472000000009</v>
      </c>
      <c r="K97" s="386">
        <f t="shared" si="50"/>
        <v>94408.362000000008</v>
      </c>
      <c r="L97" s="386">
        <f t="shared" si="50"/>
        <v>0</v>
      </c>
      <c r="M97" s="386">
        <f t="shared" si="50"/>
        <v>0</v>
      </c>
      <c r="N97" s="386" t="e">
        <f t="shared" si="50"/>
        <v>#REF!</v>
      </c>
      <c r="O97" s="386" t="e">
        <f t="shared" si="50"/>
        <v>#REF!</v>
      </c>
      <c r="P97" s="386" t="e">
        <f t="shared" si="50"/>
        <v>#REF!</v>
      </c>
      <c r="Q97" s="386">
        <f t="shared" si="50"/>
        <v>0</v>
      </c>
      <c r="R97" s="386">
        <f t="shared" si="50"/>
        <v>0</v>
      </c>
      <c r="S97" s="386" t="e">
        <f t="shared" si="50"/>
        <v>#VALUE!</v>
      </c>
      <c r="T97" s="1373"/>
      <c r="U97" s="42" t="s">
        <v>287</v>
      </c>
      <c r="V97" s="313"/>
      <c r="W97" s="313"/>
      <c r="X97" s="313"/>
      <c r="Y97" s="313"/>
      <c r="Z97" s="313"/>
      <c r="AA97" s="314"/>
      <c r="AB97" s="1373"/>
      <c r="AC97" s="72"/>
      <c r="AD97" s="47"/>
      <c r="AE97" s="47">
        <v>11314.88</v>
      </c>
      <c r="AF97" s="47">
        <f>AD97</f>
        <v>0</v>
      </c>
      <c r="AG97" s="47">
        <v>0</v>
      </c>
      <c r="AH97" s="71">
        <v>0</v>
      </c>
      <c r="AI97" s="71">
        <f t="shared" si="50"/>
        <v>0</v>
      </c>
      <c r="AJ97" s="71">
        <v>0</v>
      </c>
      <c r="AK97" s="71">
        <f t="shared" si="50"/>
        <v>0</v>
      </c>
      <c r="AL97" s="71">
        <f t="shared" si="50"/>
        <v>0</v>
      </c>
      <c r="AM97" s="71">
        <f t="shared" si="50"/>
        <v>0</v>
      </c>
      <c r="AN97" s="71">
        <f t="shared" si="50"/>
        <v>0</v>
      </c>
      <c r="AO97" s="71">
        <f t="shared" si="50"/>
        <v>0</v>
      </c>
    </row>
    <row r="98" spans="1:41" s="387" customFormat="1" ht="27" customHeight="1" x14ac:dyDescent="0.2">
      <c r="A98" s="47">
        <f t="shared" ref="A98:S98" si="51">A102+A132+A155</f>
        <v>33139.902999999998</v>
      </c>
      <c r="B98" s="47">
        <f t="shared" si="51"/>
        <v>0</v>
      </c>
      <c r="C98" s="47">
        <f t="shared" si="51"/>
        <v>0</v>
      </c>
      <c r="D98" s="47">
        <f t="shared" si="51"/>
        <v>154.69999999999999</v>
      </c>
      <c r="E98" s="47">
        <f t="shared" si="51"/>
        <v>154.69999999999999</v>
      </c>
      <c r="F98" s="47">
        <f t="shared" si="51"/>
        <v>786.48</v>
      </c>
      <c r="G98" s="47">
        <f t="shared" si="51"/>
        <v>786.48</v>
      </c>
      <c r="H98" s="47">
        <f t="shared" si="51"/>
        <v>32198.722999999998</v>
      </c>
      <c r="I98" s="47">
        <f t="shared" si="51"/>
        <v>32198.722999999998</v>
      </c>
      <c r="J98" s="47">
        <f t="shared" si="51"/>
        <v>63864.607000000004</v>
      </c>
      <c r="K98" s="47">
        <f t="shared" si="51"/>
        <v>62923.427000000003</v>
      </c>
      <c r="L98" s="47">
        <f t="shared" si="51"/>
        <v>0</v>
      </c>
      <c r="M98" s="47">
        <f t="shared" si="51"/>
        <v>0</v>
      </c>
      <c r="N98" s="47" t="e">
        <f t="shared" si="51"/>
        <v>#REF!</v>
      </c>
      <c r="O98" s="47" t="e">
        <f t="shared" si="51"/>
        <v>#REF!</v>
      </c>
      <c r="P98" s="47" t="e">
        <f t="shared" si="51"/>
        <v>#REF!</v>
      </c>
      <c r="Q98" s="47">
        <f t="shared" si="51"/>
        <v>0</v>
      </c>
      <c r="R98" s="47">
        <f t="shared" si="51"/>
        <v>0</v>
      </c>
      <c r="S98" s="47">
        <f t="shared" si="51"/>
        <v>0</v>
      </c>
      <c r="T98" s="1372" t="s">
        <v>282</v>
      </c>
      <c r="U98" s="80" t="s">
        <v>286</v>
      </c>
      <c r="V98" s="315"/>
      <c r="W98" s="315"/>
      <c r="X98" s="315"/>
      <c r="Y98" s="315"/>
      <c r="Z98" s="316"/>
      <c r="AA98" s="317"/>
      <c r="AB98" s="1326" t="s">
        <v>20</v>
      </c>
      <c r="AC98" s="284"/>
      <c r="AD98" s="162"/>
      <c r="AE98" s="79">
        <f>SUM(AE99:AE100)</f>
        <v>2085.84</v>
      </c>
      <c r="AF98" s="79">
        <f>SUM(AF99:AF100)</f>
        <v>1600</v>
      </c>
      <c r="AG98" s="79">
        <f>AG100</f>
        <v>0</v>
      </c>
      <c r="AH98" s="78">
        <v>0</v>
      </c>
      <c r="AI98" s="78">
        <f>AI102+AI132+AI155</f>
        <v>0</v>
      </c>
      <c r="AJ98" s="78">
        <v>0</v>
      </c>
      <c r="AK98" s="78">
        <f>AK102+AK132+AK155</f>
        <v>0</v>
      </c>
      <c r="AL98" s="78">
        <f>AL102+AL132+AL155</f>
        <v>0</v>
      </c>
      <c r="AM98" s="78">
        <f>AM102+AM132+AM155</f>
        <v>0</v>
      </c>
      <c r="AN98" s="78">
        <f>AN102+AN132+AN155</f>
        <v>0</v>
      </c>
      <c r="AO98" s="78">
        <f>AO102+AO132+AO155</f>
        <v>0</v>
      </c>
    </row>
    <row r="99" spans="1:41" s="387" customFormat="1" ht="19.5" customHeight="1" x14ac:dyDescent="0.2">
      <c r="A99" s="22">
        <f t="shared" ref="A99:S99" si="52">A103+A133+A156+A169</f>
        <v>22522.888999999999</v>
      </c>
      <c r="B99" s="22">
        <f t="shared" si="52"/>
        <v>33.478999999999999</v>
      </c>
      <c r="C99" s="22">
        <f t="shared" si="52"/>
        <v>33.478999999999999</v>
      </c>
      <c r="D99" s="22">
        <f t="shared" si="52"/>
        <v>0</v>
      </c>
      <c r="E99" s="22">
        <f t="shared" si="52"/>
        <v>0</v>
      </c>
      <c r="F99" s="22">
        <f t="shared" si="52"/>
        <v>3057.4540000000002</v>
      </c>
      <c r="G99" s="22">
        <f t="shared" si="52"/>
        <v>3057.4540000000002</v>
      </c>
      <c r="H99" s="22">
        <f t="shared" si="52"/>
        <v>21308.396000000001</v>
      </c>
      <c r="I99" s="22">
        <f t="shared" si="52"/>
        <v>19431.955999999998</v>
      </c>
      <c r="J99" s="22">
        <f t="shared" si="52"/>
        <v>31525.865000000002</v>
      </c>
      <c r="K99" s="22">
        <f t="shared" si="52"/>
        <v>31484.935000000005</v>
      </c>
      <c r="L99" s="22">
        <f t="shared" si="52"/>
        <v>0</v>
      </c>
      <c r="M99" s="22">
        <f t="shared" si="52"/>
        <v>0</v>
      </c>
      <c r="N99" s="22" t="e">
        <f t="shared" si="52"/>
        <v>#REF!</v>
      </c>
      <c r="O99" s="22" t="e">
        <f t="shared" si="52"/>
        <v>#REF!</v>
      </c>
      <c r="P99" s="22" t="e">
        <f t="shared" si="52"/>
        <v>#REF!</v>
      </c>
      <c r="Q99" s="22">
        <f t="shared" si="52"/>
        <v>0</v>
      </c>
      <c r="R99" s="22">
        <f t="shared" si="52"/>
        <v>0</v>
      </c>
      <c r="S99" s="22" t="e">
        <f t="shared" si="52"/>
        <v>#VALUE!</v>
      </c>
      <c r="T99" s="1382"/>
      <c r="U99" s="42" t="s">
        <v>285</v>
      </c>
      <c r="V99" s="313"/>
      <c r="W99" s="313"/>
      <c r="X99" s="313"/>
      <c r="Y99" s="313"/>
      <c r="Z99" s="313"/>
      <c r="AA99" s="314"/>
      <c r="AB99" s="1327"/>
      <c r="AC99" s="72"/>
      <c r="AD99" s="47"/>
      <c r="AE99" s="47">
        <v>2085.84</v>
      </c>
      <c r="AF99" s="47">
        <v>1600</v>
      </c>
      <c r="AG99" s="47"/>
      <c r="AH99" s="22">
        <f t="shared" ref="AH99:AO99" si="53">AH103+AH133+AH156+AH169</f>
        <v>0</v>
      </c>
      <c r="AI99" s="22">
        <f t="shared" si="53"/>
        <v>0</v>
      </c>
      <c r="AJ99" s="22">
        <f t="shared" si="53"/>
        <v>0</v>
      </c>
      <c r="AK99" s="22">
        <f t="shared" si="53"/>
        <v>0</v>
      </c>
      <c r="AL99" s="22">
        <f t="shared" si="53"/>
        <v>0</v>
      </c>
      <c r="AM99" s="22">
        <f t="shared" si="53"/>
        <v>0</v>
      </c>
      <c r="AN99" s="22">
        <f t="shared" si="53"/>
        <v>0</v>
      </c>
      <c r="AO99" s="22">
        <f t="shared" si="53"/>
        <v>0</v>
      </c>
    </row>
    <row r="100" spans="1:41" s="387" customFormat="1" ht="20.25" customHeight="1" x14ac:dyDescent="0.2">
      <c r="A100" s="22">
        <f t="shared" ref="A100:S100" si="54">A104+A134+A157</f>
        <v>0</v>
      </c>
      <c r="B100" s="22">
        <f t="shared" si="54"/>
        <v>0</v>
      </c>
      <c r="C100" s="22">
        <f t="shared" si="54"/>
        <v>0</v>
      </c>
      <c r="D100" s="22">
        <f t="shared" si="54"/>
        <v>0</v>
      </c>
      <c r="E100" s="22">
        <f t="shared" si="54"/>
        <v>0</v>
      </c>
      <c r="F100" s="22">
        <f t="shared" si="54"/>
        <v>0</v>
      </c>
      <c r="G100" s="22">
        <f t="shared" si="54"/>
        <v>0</v>
      </c>
      <c r="H100" s="22">
        <f t="shared" si="54"/>
        <v>0</v>
      </c>
      <c r="I100" s="22">
        <f t="shared" si="54"/>
        <v>0</v>
      </c>
      <c r="J100" s="22">
        <f t="shared" si="54"/>
        <v>0</v>
      </c>
      <c r="K100" s="22">
        <f t="shared" si="54"/>
        <v>0</v>
      </c>
      <c r="L100" s="22">
        <f t="shared" si="54"/>
        <v>0</v>
      </c>
      <c r="M100" s="22">
        <f t="shared" si="54"/>
        <v>0</v>
      </c>
      <c r="N100" s="22">
        <f t="shared" si="54"/>
        <v>0</v>
      </c>
      <c r="O100" s="22">
        <f t="shared" si="54"/>
        <v>0</v>
      </c>
      <c r="P100" s="22">
        <f t="shared" si="54"/>
        <v>0</v>
      </c>
      <c r="Q100" s="22">
        <f t="shared" si="54"/>
        <v>0</v>
      </c>
      <c r="R100" s="22">
        <f t="shared" si="54"/>
        <v>0</v>
      </c>
      <c r="S100" s="22">
        <f t="shared" si="54"/>
        <v>0</v>
      </c>
      <c r="T100" s="1373"/>
      <c r="U100" s="42" t="s">
        <v>287</v>
      </c>
      <c r="V100" s="313"/>
      <c r="W100" s="313"/>
      <c r="X100" s="313"/>
      <c r="Y100" s="313"/>
      <c r="Z100" s="313"/>
      <c r="AA100" s="314"/>
      <c r="AB100" s="1373"/>
      <c r="AC100" s="72"/>
      <c r="AD100" s="47"/>
      <c r="AE100" s="47">
        <v>0</v>
      </c>
      <c r="AF100" s="47">
        <f>AD100</f>
        <v>0</v>
      </c>
      <c r="AG100" s="47">
        <v>0</v>
      </c>
      <c r="AH100" s="22">
        <f t="shared" ref="AH100:AO101" si="55">AH104+AH134+AH157</f>
        <v>0</v>
      </c>
      <c r="AI100" s="22">
        <f t="shared" si="55"/>
        <v>0</v>
      </c>
      <c r="AJ100" s="22">
        <f t="shared" si="55"/>
        <v>0</v>
      </c>
      <c r="AK100" s="22">
        <f t="shared" si="55"/>
        <v>0</v>
      </c>
      <c r="AL100" s="22">
        <f t="shared" si="55"/>
        <v>0</v>
      </c>
      <c r="AM100" s="22">
        <f t="shared" si="55"/>
        <v>0</v>
      </c>
      <c r="AN100" s="22">
        <f t="shared" si="55"/>
        <v>0</v>
      </c>
      <c r="AO100" s="22">
        <f t="shared" si="55"/>
        <v>0</v>
      </c>
    </row>
    <row r="101" spans="1:41" s="387" customFormat="1" ht="25.5" customHeight="1" x14ac:dyDescent="0.2">
      <c r="A101" s="22">
        <f t="shared" ref="A101:S101" si="56">A105+A135+A158</f>
        <v>0</v>
      </c>
      <c r="B101" s="22">
        <f t="shared" si="56"/>
        <v>0</v>
      </c>
      <c r="C101" s="22">
        <f t="shared" si="56"/>
        <v>0</v>
      </c>
      <c r="D101" s="22">
        <f t="shared" si="56"/>
        <v>0</v>
      </c>
      <c r="E101" s="22">
        <f t="shared" si="56"/>
        <v>0</v>
      </c>
      <c r="F101" s="22">
        <f t="shared" si="56"/>
        <v>0</v>
      </c>
      <c r="G101" s="22">
        <f t="shared" si="56"/>
        <v>0</v>
      </c>
      <c r="H101" s="22">
        <f t="shared" si="56"/>
        <v>0</v>
      </c>
      <c r="I101" s="22">
        <f t="shared" si="56"/>
        <v>0</v>
      </c>
      <c r="J101" s="22">
        <f t="shared" si="56"/>
        <v>0</v>
      </c>
      <c r="K101" s="22">
        <f t="shared" si="56"/>
        <v>0</v>
      </c>
      <c r="L101" s="22">
        <f t="shared" si="56"/>
        <v>0</v>
      </c>
      <c r="M101" s="22">
        <f t="shared" si="56"/>
        <v>0</v>
      </c>
      <c r="N101" s="22">
        <f t="shared" si="56"/>
        <v>0</v>
      </c>
      <c r="O101" s="22">
        <f t="shared" si="56"/>
        <v>0</v>
      </c>
      <c r="P101" s="22">
        <f t="shared" si="56"/>
        <v>0</v>
      </c>
      <c r="Q101" s="22">
        <f t="shared" si="56"/>
        <v>0</v>
      </c>
      <c r="R101" s="22">
        <f t="shared" si="56"/>
        <v>0</v>
      </c>
      <c r="S101" s="22">
        <f t="shared" si="56"/>
        <v>0</v>
      </c>
      <c r="T101" s="1372" t="s">
        <v>283</v>
      </c>
      <c r="U101" s="80" t="s">
        <v>288</v>
      </c>
      <c r="V101" s="315"/>
      <c r="W101" s="315"/>
      <c r="X101" s="315"/>
      <c r="Y101" s="315"/>
      <c r="Z101" s="316"/>
      <c r="AA101" s="317"/>
      <c r="AB101" s="1326" t="s">
        <v>20</v>
      </c>
      <c r="AC101" s="284"/>
      <c r="AD101" s="162"/>
      <c r="AE101" s="79">
        <f>AE102</f>
        <v>28990</v>
      </c>
      <c r="AF101" s="79">
        <f>AF102</f>
        <v>18840</v>
      </c>
      <c r="AG101" s="79">
        <f>AG102</f>
        <v>0</v>
      </c>
      <c r="AH101" s="78">
        <f t="shared" si="55"/>
        <v>0</v>
      </c>
      <c r="AI101" s="78">
        <f t="shared" si="55"/>
        <v>0</v>
      </c>
      <c r="AJ101" s="78">
        <f t="shared" si="55"/>
        <v>0</v>
      </c>
      <c r="AK101" s="78">
        <f t="shared" si="55"/>
        <v>0</v>
      </c>
      <c r="AL101" s="78">
        <f t="shared" si="55"/>
        <v>0</v>
      </c>
      <c r="AM101" s="78">
        <f t="shared" si="55"/>
        <v>0</v>
      </c>
      <c r="AN101" s="78">
        <f t="shared" si="55"/>
        <v>0</v>
      </c>
      <c r="AO101" s="78">
        <f t="shared" si="55"/>
        <v>0</v>
      </c>
    </row>
    <row r="102" spans="1:41" ht="16.5" customHeight="1" x14ac:dyDescent="0.25">
      <c r="A102" s="22">
        <f t="shared" ref="A102:S102" si="57">A106+A108+A111+A119+A122+A124</f>
        <v>33139.902999999998</v>
      </c>
      <c r="B102" s="22">
        <f t="shared" si="57"/>
        <v>0</v>
      </c>
      <c r="C102" s="22">
        <f t="shared" si="57"/>
        <v>0</v>
      </c>
      <c r="D102" s="22">
        <f t="shared" si="57"/>
        <v>154.69999999999999</v>
      </c>
      <c r="E102" s="22">
        <f t="shared" si="57"/>
        <v>154.69999999999999</v>
      </c>
      <c r="F102" s="22">
        <f t="shared" si="57"/>
        <v>786.48</v>
      </c>
      <c r="G102" s="22">
        <f t="shared" si="57"/>
        <v>786.48</v>
      </c>
      <c r="H102" s="22">
        <f t="shared" si="57"/>
        <v>32198.722999999998</v>
      </c>
      <c r="I102" s="22">
        <f t="shared" si="57"/>
        <v>32198.722999999998</v>
      </c>
      <c r="J102" s="22">
        <f t="shared" si="57"/>
        <v>63864.607000000004</v>
      </c>
      <c r="K102" s="22">
        <f t="shared" si="57"/>
        <v>62923.427000000003</v>
      </c>
      <c r="L102" s="22">
        <f t="shared" si="57"/>
        <v>0</v>
      </c>
      <c r="M102" s="22">
        <f t="shared" si="57"/>
        <v>0</v>
      </c>
      <c r="N102" s="22" t="e">
        <f t="shared" si="57"/>
        <v>#REF!</v>
      </c>
      <c r="O102" s="22" t="e">
        <f t="shared" si="57"/>
        <v>#REF!</v>
      </c>
      <c r="P102" s="22" t="e">
        <f t="shared" si="57"/>
        <v>#REF!</v>
      </c>
      <c r="Q102" s="22">
        <f t="shared" si="57"/>
        <v>0</v>
      </c>
      <c r="R102" s="22">
        <f t="shared" si="57"/>
        <v>0</v>
      </c>
      <c r="S102" s="22">
        <f t="shared" si="57"/>
        <v>0</v>
      </c>
      <c r="T102" s="1373"/>
      <c r="U102" s="42" t="s">
        <v>201</v>
      </c>
      <c r="V102" s="313"/>
      <c r="W102" s="313"/>
      <c r="X102" s="313"/>
      <c r="Y102" s="313"/>
      <c r="Z102" s="313"/>
      <c r="AA102" s="314"/>
      <c r="AB102" s="1373"/>
      <c r="AC102" s="72"/>
      <c r="AD102" s="47"/>
      <c r="AE102" s="47">
        <v>28990</v>
      </c>
      <c r="AF102" s="47">
        <v>18840</v>
      </c>
      <c r="AG102" s="47">
        <v>0</v>
      </c>
      <c r="AH102" s="22">
        <v>0</v>
      </c>
      <c r="AI102" s="22">
        <f>AI106+AI108+AI111+AI119+AI122+AI124</f>
        <v>0</v>
      </c>
      <c r="AJ102" s="22">
        <v>0</v>
      </c>
      <c r="AK102" s="22">
        <f>AK106+AK108+AK111+AK119+AK122+AK124</f>
        <v>0</v>
      </c>
      <c r="AL102" s="22">
        <f>AL106+AL108+AL111+AL119+AL122+AL124</f>
        <v>0</v>
      </c>
      <c r="AM102" s="22">
        <f>AM106+AM108+AM111+AM119+AM122+AM124</f>
        <v>0</v>
      </c>
      <c r="AN102" s="22">
        <f>AN106+AN108+AN111+AN119+AN122+AN124</f>
        <v>0</v>
      </c>
      <c r="AO102" s="22">
        <v>0</v>
      </c>
    </row>
    <row r="103" spans="1:41" ht="47.25" hidden="1" customHeight="1" x14ac:dyDescent="0.25">
      <c r="A103" s="22">
        <v>0</v>
      </c>
      <c r="B103" s="22">
        <v>0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365"/>
      <c r="U103" s="252" t="s">
        <v>290</v>
      </c>
      <c r="V103" s="363"/>
      <c r="W103" s="363"/>
      <c r="X103" s="363"/>
      <c r="Y103" s="363"/>
      <c r="Z103" s="363"/>
      <c r="AA103" s="364"/>
      <c r="AB103" s="484"/>
      <c r="AC103" s="258"/>
      <c r="AD103" s="96"/>
      <c r="AE103" s="96"/>
      <c r="AF103" s="96"/>
      <c r="AG103" s="96"/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</row>
    <row r="104" spans="1:41" ht="28.5" customHeight="1" x14ac:dyDescent="0.25">
      <c r="A104" s="22">
        <v>0</v>
      </c>
      <c r="B104" s="22">
        <v>0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1332" t="s">
        <v>60</v>
      </c>
      <c r="U104" s="1335" t="s">
        <v>45</v>
      </c>
      <c r="V104" s="1336"/>
      <c r="W104" s="1336"/>
      <c r="X104" s="1336"/>
      <c r="Y104" s="1336"/>
      <c r="Z104" s="1336"/>
      <c r="AA104" s="1337"/>
      <c r="AB104" s="15" t="s">
        <v>19</v>
      </c>
      <c r="AC104" s="16">
        <v>0</v>
      </c>
      <c r="AD104" s="16">
        <f>AD107</f>
        <v>0</v>
      </c>
      <c r="AE104" s="16">
        <f>AG104+AH104+AI104</f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</row>
    <row r="105" spans="1:41" ht="25.5" customHeight="1" x14ac:dyDescent="0.25">
      <c r="A105" s="22">
        <v>0</v>
      </c>
      <c r="B105" s="22">
        <v>0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1333"/>
      <c r="U105" s="1338"/>
      <c r="V105" s="1339"/>
      <c r="W105" s="1339"/>
      <c r="X105" s="1339"/>
      <c r="Y105" s="1339"/>
      <c r="Z105" s="1339"/>
      <c r="AA105" s="1340"/>
      <c r="AB105" s="15" t="s">
        <v>20</v>
      </c>
      <c r="AC105" s="16">
        <f>AC108</f>
        <v>4106.3500000000004</v>
      </c>
      <c r="AD105" s="16">
        <v>0</v>
      </c>
      <c r="AE105" s="16">
        <f>AE108</f>
        <v>6022.96</v>
      </c>
      <c r="AF105" s="22">
        <f>AF108</f>
        <v>4622.4799999999996</v>
      </c>
      <c r="AG105" s="22">
        <f>AG108</f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</row>
    <row r="106" spans="1:41" ht="33" customHeight="1" x14ac:dyDescent="0.25">
      <c r="A106" s="82">
        <f t="shared" ref="A106:R106" si="58">A107</f>
        <v>0</v>
      </c>
      <c r="B106" s="82">
        <f t="shared" si="58"/>
        <v>0</v>
      </c>
      <c r="C106" s="82">
        <f t="shared" si="58"/>
        <v>0</v>
      </c>
      <c r="D106" s="82">
        <f t="shared" si="58"/>
        <v>0</v>
      </c>
      <c r="E106" s="82">
        <f t="shared" si="58"/>
        <v>0</v>
      </c>
      <c r="F106" s="82">
        <f t="shared" si="58"/>
        <v>0</v>
      </c>
      <c r="G106" s="82">
        <f t="shared" si="58"/>
        <v>0</v>
      </c>
      <c r="H106" s="82">
        <f t="shared" si="58"/>
        <v>0</v>
      </c>
      <c r="I106" s="82">
        <f t="shared" si="58"/>
        <v>0</v>
      </c>
      <c r="J106" s="82">
        <f t="shared" si="58"/>
        <v>0</v>
      </c>
      <c r="K106" s="82">
        <f t="shared" si="58"/>
        <v>0</v>
      </c>
      <c r="L106" s="82">
        <f t="shared" si="58"/>
        <v>0</v>
      </c>
      <c r="M106" s="82">
        <f t="shared" si="58"/>
        <v>0</v>
      </c>
      <c r="N106" s="79" t="e">
        <f>#REF!-A106</f>
        <v>#REF!</v>
      </c>
      <c r="O106" s="79" t="e">
        <f>N106</f>
        <v>#REF!</v>
      </c>
      <c r="P106" s="79" t="e">
        <f>ROUND((A106*100%/#REF!*100),2)</f>
        <v>#REF!</v>
      </c>
      <c r="Q106" s="82">
        <f t="shared" si="58"/>
        <v>0</v>
      </c>
      <c r="R106" s="82">
        <f t="shared" si="58"/>
        <v>0</v>
      </c>
      <c r="S106" s="81"/>
      <c r="T106" s="1333"/>
      <c r="U106" s="1338"/>
      <c r="V106" s="1339"/>
      <c r="W106" s="1339"/>
      <c r="X106" s="1339"/>
      <c r="Y106" s="1339"/>
      <c r="Z106" s="1339"/>
      <c r="AA106" s="1340"/>
      <c r="AB106" s="15" t="s">
        <v>10</v>
      </c>
      <c r="AC106" s="16">
        <v>0</v>
      </c>
      <c r="AD106" s="16">
        <v>0</v>
      </c>
      <c r="AE106" s="16">
        <f>AG106+AH106+AI106</f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</row>
    <row r="107" spans="1:41" ht="75" customHeight="1" x14ac:dyDescent="0.25">
      <c r="A107" s="83">
        <v>0</v>
      </c>
      <c r="B107" s="83">
        <v>0</v>
      </c>
      <c r="C107" s="83">
        <v>0</v>
      </c>
      <c r="D107" s="83">
        <v>0</v>
      </c>
      <c r="E107" s="83">
        <v>0</v>
      </c>
      <c r="F107" s="83">
        <v>0</v>
      </c>
      <c r="G107" s="83">
        <v>0</v>
      </c>
      <c r="H107" s="83">
        <v>0</v>
      </c>
      <c r="I107" s="83">
        <v>0</v>
      </c>
      <c r="J107" s="83">
        <v>0</v>
      </c>
      <c r="K107" s="83">
        <v>0</v>
      </c>
      <c r="L107" s="83">
        <v>0</v>
      </c>
      <c r="M107" s="83">
        <v>0</v>
      </c>
      <c r="N107" s="83">
        <v>0</v>
      </c>
      <c r="O107" s="83">
        <v>0</v>
      </c>
      <c r="P107" s="83">
        <v>0</v>
      </c>
      <c r="Q107" s="83">
        <v>0</v>
      </c>
      <c r="R107" s="83">
        <v>0</v>
      </c>
      <c r="S107" s="61"/>
      <c r="T107" s="1334"/>
      <c r="U107" s="1341"/>
      <c r="V107" s="1342"/>
      <c r="W107" s="1342"/>
      <c r="X107" s="1342"/>
      <c r="Y107" s="1342"/>
      <c r="Z107" s="1342"/>
      <c r="AA107" s="1343"/>
      <c r="AB107" s="15" t="s">
        <v>9</v>
      </c>
      <c r="AC107" s="16">
        <v>0</v>
      </c>
      <c r="AD107" s="16"/>
      <c r="AE107" s="16">
        <f>AG107+AH107+AI107</f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</row>
    <row r="108" spans="1:41" ht="27.75" customHeight="1" x14ac:dyDescent="0.25">
      <c r="A108" s="79">
        <f t="shared" ref="A108:M108" si="59">A110+A109</f>
        <v>0</v>
      </c>
      <c r="B108" s="79">
        <f t="shared" si="59"/>
        <v>0</v>
      </c>
      <c r="C108" s="79">
        <f t="shared" si="59"/>
        <v>0</v>
      </c>
      <c r="D108" s="79">
        <f t="shared" si="59"/>
        <v>0</v>
      </c>
      <c r="E108" s="79">
        <f t="shared" si="59"/>
        <v>0</v>
      </c>
      <c r="F108" s="79">
        <f t="shared" si="59"/>
        <v>0</v>
      </c>
      <c r="G108" s="79">
        <f t="shared" si="59"/>
        <v>0</v>
      </c>
      <c r="H108" s="79">
        <f t="shared" si="59"/>
        <v>0</v>
      </c>
      <c r="I108" s="79">
        <f t="shared" si="59"/>
        <v>0</v>
      </c>
      <c r="J108" s="79">
        <f t="shared" si="59"/>
        <v>0</v>
      </c>
      <c r="K108" s="79">
        <f t="shared" si="59"/>
        <v>0</v>
      </c>
      <c r="L108" s="79">
        <f t="shared" si="59"/>
        <v>0</v>
      </c>
      <c r="M108" s="79">
        <f t="shared" si="59"/>
        <v>0</v>
      </c>
      <c r="N108" s="79" t="e">
        <f>#REF!-A108</f>
        <v>#REF!</v>
      </c>
      <c r="O108" s="79" t="e">
        <f>N108</f>
        <v>#REF!</v>
      </c>
      <c r="P108" s="79" t="e">
        <f>ROUND((A108*100%/#REF!*100),2)</f>
        <v>#REF!</v>
      </c>
      <c r="Q108" s="79">
        <f>Q110+Q109</f>
        <v>0</v>
      </c>
      <c r="R108" s="79">
        <f>R110+R109</f>
        <v>0</v>
      </c>
      <c r="S108" s="303"/>
      <c r="T108" s="1372" t="s">
        <v>61</v>
      </c>
      <c r="U108" s="75" t="s">
        <v>88</v>
      </c>
      <c r="V108" s="46"/>
      <c r="W108" s="46"/>
      <c r="X108" s="46"/>
      <c r="Y108" s="46"/>
      <c r="Z108" s="46"/>
      <c r="AA108" s="46"/>
      <c r="AB108" s="1445" t="s">
        <v>20</v>
      </c>
      <c r="AC108" s="1442">
        <v>4106.3500000000004</v>
      </c>
      <c r="AD108" s="16">
        <v>0</v>
      </c>
      <c r="AE108" s="79">
        <f>AE109+AE112</f>
        <v>6022.96</v>
      </c>
      <c r="AF108" s="79">
        <f>AF109+AF112</f>
        <v>4622.4799999999996</v>
      </c>
      <c r="AG108" s="79">
        <f>AG109+AG112</f>
        <v>0</v>
      </c>
      <c r="AH108" s="78">
        <v>0</v>
      </c>
      <c r="AI108" s="78">
        <v>0</v>
      </c>
      <c r="AJ108" s="78">
        <v>0</v>
      </c>
      <c r="AK108" s="78">
        <v>0</v>
      </c>
      <c r="AL108" s="78">
        <v>0</v>
      </c>
      <c r="AM108" s="78">
        <v>0</v>
      </c>
      <c r="AN108" s="78">
        <v>0</v>
      </c>
      <c r="AO108" s="78">
        <v>0</v>
      </c>
    </row>
    <row r="109" spans="1:41" ht="16.5" customHeight="1" x14ac:dyDescent="0.25">
      <c r="A109" s="22">
        <v>0</v>
      </c>
      <c r="B109" s="22">
        <v>0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304"/>
      <c r="T109" s="1382"/>
      <c r="U109" s="23" t="s">
        <v>15</v>
      </c>
      <c r="V109" s="46"/>
      <c r="W109" s="46"/>
      <c r="X109" s="46"/>
      <c r="Y109" s="46"/>
      <c r="Z109" s="495">
        <v>2019</v>
      </c>
      <c r="AA109" s="495">
        <v>2019</v>
      </c>
      <c r="AB109" s="1484"/>
      <c r="AC109" s="1443"/>
      <c r="AD109" s="22"/>
      <c r="AE109" s="22">
        <v>1000</v>
      </c>
      <c r="AF109" s="47">
        <v>20</v>
      </c>
      <c r="AG109" s="47">
        <f>AG110+AG111</f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</row>
    <row r="110" spans="1:41" ht="14.25" hidden="1" customHeight="1" x14ac:dyDescent="0.25">
      <c r="A110" s="22">
        <v>0</v>
      </c>
      <c r="B110" s="22">
        <v>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95"/>
      <c r="T110" s="1382"/>
      <c r="U110" s="443" t="s">
        <v>251</v>
      </c>
      <c r="V110" s="444"/>
      <c r="W110" s="444"/>
      <c r="X110" s="444"/>
      <c r="Y110" s="444"/>
      <c r="Z110" s="262"/>
      <c r="AA110" s="262"/>
      <c r="AB110" s="1484"/>
      <c r="AC110" s="1443"/>
      <c r="AD110" s="165"/>
      <c r="AE110" s="165"/>
      <c r="AF110" s="96">
        <v>0</v>
      </c>
      <c r="AG110" s="96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</row>
    <row r="111" spans="1:41" ht="45.75" hidden="1" customHeight="1" x14ac:dyDescent="0.25">
      <c r="A111" s="82">
        <f>A112</f>
        <v>33139.902999999998</v>
      </c>
      <c r="B111" s="82">
        <f t="shared" ref="B111:G111" si="60">B112</f>
        <v>0</v>
      </c>
      <c r="C111" s="82">
        <f t="shared" si="60"/>
        <v>0</v>
      </c>
      <c r="D111" s="82">
        <f t="shared" si="60"/>
        <v>154.69999999999999</v>
      </c>
      <c r="E111" s="82">
        <f t="shared" si="60"/>
        <v>154.69999999999999</v>
      </c>
      <c r="F111" s="82">
        <f t="shared" si="60"/>
        <v>786.48</v>
      </c>
      <c r="G111" s="82">
        <f t="shared" si="60"/>
        <v>786.48</v>
      </c>
      <c r="H111" s="82">
        <f>H112</f>
        <v>32198.722999999998</v>
      </c>
      <c r="I111" s="82">
        <f>I112</f>
        <v>32198.722999999998</v>
      </c>
      <c r="J111" s="82">
        <f>J112</f>
        <v>63864.607000000004</v>
      </c>
      <c r="K111" s="82">
        <f>K112</f>
        <v>62923.427000000003</v>
      </c>
      <c r="L111" s="82">
        <f t="shared" ref="L111:R111" si="61">L112</f>
        <v>0</v>
      </c>
      <c r="M111" s="82">
        <f t="shared" si="61"/>
        <v>0</v>
      </c>
      <c r="N111" s="79" t="e">
        <f>#REF!-A111</f>
        <v>#REF!</v>
      </c>
      <c r="O111" s="79" t="e">
        <f>N111</f>
        <v>#REF!</v>
      </c>
      <c r="P111" s="79" t="e">
        <f>ROUND((A111*100%/#REF!*100),2)</f>
        <v>#REF!</v>
      </c>
      <c r="Q111" s="82">
        <f t="shared" si="61"/>
        <v>0</v>
      </c>
      <c r="R111" s="82">
        <f t="shared" si="61"/>
        <v>0</v>
      </c>
      <c r="S111" s="81"/>
      <c r="T111" s="1382"/>
      <c r="U111" s="443" t="s">
        <v>252</v>
      </c>
      <c r="V111" s="444"/>
      <c r="W111" s="444"/>
      <c r="X111" s="444"/>
      <c r="Y111" s="444"/>
      <c r="Z111" s="262"/>
      <c r="AA111" s="262"/>
      <c r="AB111" s="1484"/>
      <c r="AC111" s="1443"/>
      <c r="AD111" s="165"/>
      <c r="AE111" s="165"/>
      <c r="AF111" s="96"/>
      <c r="AG111" s="96">
        <f>AI111</f>
        <v>0</v>
      </c>
      <c r="AH111" s="469">
        <v>0</v>
      </c>
      <c r="AI111" s="470">
        <v>0</v>
      </c>
      <c r="AJ111" s="284">
        <v>0</v>
      </c>
      <c r="AK111" s="470">
        <v>0</v>
      </c>
      <c r="AL111" s="122">
        <v>0</v>
      </c>
      <c r="AM111" s="123">
        <v>0</v>
      </c>
      <c r="AN111" s="123">
        <v>0</v>
      </c>
      <c r="AO111" s="123">
        <v>0</v>
      </c>
    </row>
    <row r="112" spans="1:41" ht="18" customHeight="1" x14ac:dyDescent="0.25">
      <c r="A112" s="83">
        <f>SUM(A113:A118)</f>
        <v>33139.902999999998</v>
      </c>
      <c r="B112" s="83">
        <f t="shared" ref="B112:G112" si="62">SUM(B113:B118)</f>
        <v>0</v>
      </c>
      <c r="C112" s="83">
        <f t="shared" si="62"/>
        <v>0</v>
      </c>
      <c r="D112" s="83">
        <f t="shared" si="62"/>
        <v>154.69999999999999</v>
      </c>
      <c r="E112" s="83">
        <f t="shared" si="62"/>
        <v>154.69999999999999</v>
      </c>
      <c r="F112" s="83">
        <f t="shared" si="62"/>
        <v>786.48</v>
      </c>
      <c r="G112" s="83">
        <f t="shared" si="62"/>
        <v>786.48</v>
      </c>
      <c r="H112" s="83">
        <f>SUM(H113:H118)</f>
        <v>32198.722999999998</v>
      </c>
      <c r="I112" s="83">
        <f>SUM(I113:I118)</f>
        <v>32198.722999999998</v>
      </c>
      <c r="J112" s="83">
        <f>SUM(J113:J118)</f>
        <v>63864.607000000004</v>
      </c>
      <c r="K112" s="83">
        <f>SUM(K113:K118)</f>
        <v>62923.427000000003</v>
      </c>
      <c r="L112" s="83">
        <f t="shared" ref="L112:R112" si="63">SUM(L113:L118)</f>
        <v>0</v>
      </c>
      <c r="M112" s="83">
        <f t="shared" si="63"/>
        <v>0</v>
      </c>
      <c r="N112" s="83">
        <f t="shared" si="63"/>
        <v>0</v>
      </c>
      <c r="O112" s="83">
        <f t="shared" si="63"/>
        <v>0</v>
      </c>
      <c r="P112" s="83">
        <f t="shared" si="63"/>
        <v>0</v>
      </c>
      <c r="Q112" s="83">
        <f t="shared" si="63"/>
        <v>0</v>
      </c>
      <c r="R112" s="83">
        <f t="shared" si="63"/>
        <v>0</v>
      </c>
      <c r="S112" s="61"/>
      <c r="T112" s="1383"/>
      <c r="U112" s="23" t="s">
        <v>16</v>
      </c>
      <c r="V112" s="46"/>
      <c r="W112" s="46"/>
      <c r="X112" s="46"/>
      <c r="Y112" s="46"/>
      <c r="Z112" s="495">
        <v>2020</v>
      </c>
      <c r="AA112" s="495">
        <v>2021</v>
      </c>
      <c r="AB112" s="1485"/>
      <c r="AC112" s="1444"/>
      <c r="AD112" s="22"/>
      <c r="AE112" s="22">
        <v>5022.96</v>
      </c>
      <c r="AF112" s="22">
        <v>4602.4799999999996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</row>
    <row r="113" spans="1:41" s="97" customFormat="1" ht="18" customHeight="1" x14ac:dyDescent="0.25">
      <c r="A113" s="259">
        <f>C113+E113</f>
        <v>2</v>
      </c>
      <c r="B113" s="83">
        <f>C113</f>
        <v>0</v>
      </c>
      <c r="C113" s="83">
        <v>0</v>
      </c>
      <c r="D113" s="259">
        <f>E113</f>
        <v>2</v>
      </c>
      <c r="E113" s="259">
        <v>2</v>
      </c>
      <c r="F113" s="259"/>
      <c r="G113" s="259"/>
      <c r="H113" s="259"/>
      <c r="I113" s="259"/>
      <c r="J113" s="259">
        <v>2</v>
      </c>
      <c r="K113" s="259"/>
      <c r="L113" s="259"/>
      <c r="M113" s="259"/>
      <c r="N113" s="259"/>
      <c r="O113" s="259"/>
      <c r="P113" s="259"/>
      <c r="Q113" s="259"/>
      <c r="R113" s="259"/>
      <c r="S113" s="260"/>
      <c r="T113" s="323" t="s">
        <v>13</v>
      </c>
      <c r="U113" s="508" t="s">
        <v>7</v>
      </c>
      <c r="V113" s="509"/>
      <c r="W113" s="509"/>
      <c r="X113" s="509"/>
      <c r="Y113" s="509"/>
      <c r="Z113" s="509"/>
      <c r="AA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09"/>
      <c r="AL113" s="509"/>
      <c r="AM113" s="509"/>
      <c r="AN113" s="509"/>
      <c r="AO113" s="510"/>
    </row>
    <row r="114" spans="1:41" s="97" customFormat="1" ht="18" customHeight="1" x14ac:dyDescent="0.25">
      <c r="A114" s="259">
        <f>C114+E114+G114</f>
        <v>786.48</v>
      </c>
      <c r="B114" s="83"/>
      <c r="C114" s="83"/>
      <c r="D114" s="259"/>
      <c r="E114" s="259"/>
      <c r="F114" s="259">
        <f>G114</f>
        <v>786.48</v>
      </c>
      <c r="G114" s="259">
        <v>786.48</v>
      </c>
      <c r="H114" s="259"/>
      <c r="I114" s="259"/>
      <c r="J114" s="259">
        <f>786.48+K114</f>
        <v>786.48</v>
      </c>
      <c r="K114" s="259">
        <v>0</v>
      </c>
      <c r="L114" s="259"/>
      <c r="M114" s="259"/>
      <c r="N114" s="259"/>
      <c r="O114" s="259"/>
      <c r="P114" s="259"/>
      <c r="Q114" s="259"/>
      <c r="R114" s="259"/>
      <c r="S114" s="260"/>
      <c r="T114" s="1537"/>
      <c r="U114" s="1476"/>
      <c r="V114" s="1476"/>
      <c r="W114" s="1476"/>
      <c r="X114" s="1476"/>
      <c r="Y114" s="1476"/>
      <c r="Z114" s="1476"/>
      <c r="AA114" s="1477"/>
      <c r="AB114" s="384" t="s">
        <v>21</v>
      </c>
      <c r="AC114" s="385">
        <f>AC115+AC116+AC117+AC118</f>
        <v>163883.18999999997</v>
      </c>
      <c r="AD114" s="385">
        <f>AD115+AD116+AD117+AD118</f>
        <v>25354.1</v>
      </c>
      <c r="AE114" s="385">
        <f>AE115+AE116+AE117+AE118</f>
        <v>1040037.26</v>
      </c>
      <c r="AF114" s="386">
        <f>AF115+AF116+AF117+AF118</f>
        <v>105689.92000000001</v>
      </c>
      <c r="AG114" s="386">
        <f t="shared" ref="AG114:AJ114" si="64">AG115+AG116+AG117+AG118</f>
        <v>0</v>
      </c>
      <c r="AH114" s="386">
        <f t="shared" si="64"/>
        <v>0</v>
      </c>
      <c r="AI114" s="386">
        <f t="shared" si="64"/>
        <v>0</v>
      </c>
      <c r="AJ114" s="386">
        <f t="shared" si="64"/>
        <v>0</v>
      </c>
      <c r="AK114" s="386">
        <f>AK224</f>
        <v>43000</v>
      </c>
      <c r="AL114" s="22">
        <v>0</v>
      </c>
      <c r="AM114" s="22">
        <v>0</v>
      </c>
      <c r="AN114" s="22">
        <v>0</v>
      </c>
      <c r="AO114" s="22">
        <v>0</v>
      </c>
    </row>
    <row r="115" spans="1:41" s="97" customFormat="1" ht="40.5" customHeight="1" x14ac:dyDescent="0.25">
      <c r="A115" s="259">
        <f>C115+E115+G115+I115</f>
        <v>9.8030000000000008</v>
      </c>
      <c r="B115" s="83"/>
      <c r="C115" s="83"/>
      <c r="D115" s="259"/>
      <c r="E115" s="259"/>
      <c r="F115" s="259"/>
      <c r="G115" s="259"/>
      <c r="H115" s="259">
        <f>I115</f>
        <v>9.8030000000000008</v>
      </c>
      <c r="I115" s="259">
        <v>9.8030000000000008</v>
      </c>
      <c r="J115" s="259">
        <f>K115</f>
        <v>9.8030000000000008</v>
      </c>
      <c r="K115" s="259">
        <v>9.8030000000000008</v>
      </c>
      <c r="L115" s="259"/>
      <c r="M115" s="259"/>
      <c r="N115" s="259"/>
      <c r="O115" s="259"/>
      <c r="P115" s="259"/>
      <c r="Q115" s="259"/>
      <c r="R115" s="259"/>
      <c r="S115" s="260"/>
      <c r="T115" s="1478"/>
      <c r="U115" s="1479"/>
      <c r="V115" s="1479"/>
      <c r="W115" s="1479"/>
      <c r="X115" s="1479"/>
      <c r="Y115" s="1479"/>
      <c r="Z115" s="1479"/>
      <c r="AA115" s="1480"/>
      <c r="AB115" s="23" t="s">
        <v>19</v>
      </c>
      <c r="AC115" s="70">
        <f>AC119+AC151+AC175</f>
        <v>152888.53999999998</v>
      </c>
      <c r="AD115" s="70">
        <f>AD119+AD151+AD175</f>
        <v>25354.1</v>
      </c>
      <c r="AE115" s="3">
        <f>AE119+AE151+AE175</f>
        <v>193023.18</v>
      </c>
      <c r="AF115" s="47">
        <f>AF119+AF151+AF175</f>
        <v>55764.290000000008</v>
      </c>
      <c r="AG115" s="47">
        <f t="shared" ref="AG115:AK115" si="65">AG119+AG151+AG175</f>
        <v>0</v>
      </c>
      <c r="AH115" s="47">
        <f t="shared" si="65"/>
        <v>0</v>
      </c>
      <c r="AI115" s="47">
        <f t="shared" si="65"/>
        <v>0</v>
      </c>
      <c r="AJ115" s="47">
        <f t="shared" si="65"/>
        <v>0</v>
      </c>
      <c r="AK115" s="47">
        <f t="shared" si="65"/>
        <v>0</v>
      </c>
      <c r="AL115" s="22">
        <v>0</v>
      </c>
      <c r="AM115" s="22">
        <v>0</v>
      </c>
      <c r="AN115" s="22">
        <v>0</v>
      </c>
      <c r="AO115" s="22">
        <v>0</v>
      </c>
    </row>
    <row r="116" spans="1:41" s="97" customFormat="1" ht="34.5" customHeight="1" x14ac:dyDescent="0.25">
      <c r="A116" s="259">
        <f>C116+E116+G116+I116</f>
        <v>32188.92</v>
      </c>
      <c r="B116" s="83"/>
      <c r="C116" s="83"/>
      <c r="D116" s="259"/>
      <c r="E116" s="259"/>
      <c r="F116" s="259"/>
      <c r="G116" s="259"/>
      <c r="H116" s="259">
        <f>I116</f>
        <v>32188.92</v>
      </c>
      <c r="I116" s="259">
        <v>32188.92</v>
      </c>
      <c r="J116" s="259">
        <f>K116</f>
        <v>62831.624000000003</v>
      </c>
      <c r="K116" s="259">
        <v>62831.624000000003</v>
      </c>
      <c r="L116" s="259"/>
      <c r="M116" s="259"/>
      <c r="N116" s="259"/>
      <c r="O116" s="259"/>
      <c r="P116" s="259"/>
      <c r="Q116" s="259"/>
      <c r="R116" s="259"/>
      <c r="S116" s="260"/>
      <c r="T116" s="1478"/>
      <c r="U116" s="1479"/>
      <c r="V116" s="1479"/>
      <c r="W116" s="1479"/>
      <c r="X116" s="1479"/>
      <c r="Y116" s="1479"/>
      <c r="Z116" s="1479"/>
      <c r="AA116" s="1480"/>
      <c r="AB116" s="15" t="s">
        <v>20</v>
      </c>
      <c r="AC116" s="70">
        <f t="shared" ref="AC116:AD118" si="66">AC120+AC152+AC176</f>
        <v>10994.65</v>
      </c>
      <c r="AD116" s="70">
        <f t="shared" si="66"/>
        <v>0</v>
      </c>
      <c r="AE116" s="16">
        <f>AE120+AE152+AE176+AE184</f>
        <v>351480.98999999993</v>
      </c>
      <c r="AF116" s="47">
        <f>AF120+AF152+AF176+AF184</f>
        <v>49925.630000000005</v>
      </c>
      <c r="AG116" s="47">
        <f t="shared" ref="AG116:AK116" si="67">AG120+AG152+AG176+AG184</f>
        <v>0</v>
      </c>
      <c r="AH116" s="47">
        <f t="shared" si="67"/>
        <v>0</v>
      </c>
      <c r="AI116" s="47">
        <f t="shared" si="67"/>
        <v>0</v>
      </c>
      <c r="AJ116" s="47">
        <f t="shared" si="67"/>
        <v>0</v>
      </c>
      <c r="AK116" s="47">
        <f t="shared" si="67"/>
        <v>0</v>
      </c>
      <c r="AL116" s="22">
        <v>0</v>
      </c>
      <c r="AM116" s="22">
        <v>0</v>
      </c>
      <c r="AN116" s="22">
        <v>0</v>
      </c>
      <c r="AO116" s="22">
        <v>0</v>
      </c>
    </row>
    <row r="117" spans="1:41" s="97" customFormat="1" ht="18" customHeight="1" x14ac:dyDescent="0.25">
      <c r="A117" s="259">
        <f>C117+E117+G117+I117</f>
        <v>0</v>
      </c>
      <c r="B117" s="83"/>
      <c r="C117" s="83"/>
      <c r="D117" s="259"/>
      <c r="E117" s="259"/>
      <c r="F117" s="259"/>
      <c r="G117" s="259"/>
      <c r="H117" s="259">
        <f>I117</f>
        <v>0</v>
      </c>
      <c r="I117" s="259">
        <v>0</v>
      </c>
      <c r="J117" s="259">
        <f>K117</f>
        <v>82</v>
      </c>
      <c r="K117" s="259">
        <v>82</v>
      </c>
      <c r="L117" s="259"/>
      <c r="M117" s="259"/>
      <c r="N117" s="259"/>
      <c r="O117" s="259"/>
      <c r="P117" s="259"/>
      <c r="Q117" s="259"/>
      <c r="R117" s="259"/>
      <c r="S117" s="260"/>
      <c r="T117" s="1478"/>
      <c r="U117" s="1479"/>
      <c r="V117" s="1479"/>
      <c r="W117" s="1479"/>
      <c r="X117" s="1479"/>
      <c r="Y117" s="1479"/>
      <c r="Z117" s="1479"/>
      <c r="AA117" s="1480"/>
      <c r="AB117" s="15" t="s">
        <v>10</v>
      </c>
      <c r="AC117" s="70">
        <f t="shared" si="66"/>
        <v>0</v>
      </c>
      <c r="AD117" s="70">
        <f t="shared" si="66"/>
        <v>0</v>
      </c>
      <c r="AE117" s="16">
        <f>AE121+AE153+AE177+AE185</f>
        <v>495533.09</v>
      </c>
      <c r="AF117" s="22">
        <f>AF121+AF153+AF177+AF185</f>
        <v>0</v>
      </c>
      <c r="AG117" s="22">
        <f>AG121+AG153+AG177</f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</row>
    <row r="118" spans="1:41" s="97" customFormat="1" ht="18" customHeight="1" x14ac:dyDescent="0.25">
      <c r="A118" s="259">
        <f>C118+E118+G118+I118</f>
        <v>152.69999999999999</v>
      </c>
      <c r="B118" s="83">
        <f>C118</f>
        <v>0</v>
      </c>
      <c r="C118" s="83">
        <v>0</v>
      </c>
      <c r="D118" s="259">
        <f>E118</f>
        <v>152.69999999999999</v>
      </c>
      <c r="E118" s="259">
        <v>152.69999999999999</v>
      </c>
      <c r="F118" s="259"/>
      <c r="G118" s="259"/>
      <c r="H118" s="259">
        <f>I118</f>
        <v>0</v>
      </c>
      <c r="I118" s="259"/>
      <c r="J118" s="259">
        <v>152.69999999999999</v>
      </c>
      <c r="K118" s="259"/>
      <c r="L118" s="259"/>
      <c r="M118" s="259"/>
      <c r="N118" s="259"/>
      <c r="O118" s="259"/>
      <c r="P118" s="259"/>
      <c r="Q118" s="259"/>
      <c r="R118" s="259"/>
      <c r="S118" s="260"/>
      <c r="T118" s="1481"/>
      <c r="U118" s="1482"/>
      <c r="V118" s="1482"/>
      <c r="W118" s="1482"/>
      <c r="X118" s="1482"/>
      <c r="Y118" s="1482"/>
      <c r="Z118" s="1482"/>
      <c r="AA118" s="1483"/>
      <c r="AB118" s="15" t="s">
        <v>9</v>
      </c>
      <c r="AC118" s="70">
        <f t="shared" si="66"/>
        <v>0</v>
      </c>
      <c r="AD118" s="70">
        <f t="shared" si="66"/>
        <v>0</v>
      </c>
      <c r="AE118" s="16">
        <v>0</v>
      </c>
      <c r="AF118" s="47">
        <f>AF122+AF154+AF178</f>
        <v>0</v>
      </c>
      <c r="AG118" s="22">
        <f>AG122+AG154+AG178</f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</row>
    <row r="119" spans="1:41" s="319" customFormat="1" ht="52.5" customHeight="1" x14ac:dyDescent="0.25">
      <c r="A119" s="284">
        <f t="shared" ref="A119:R119" si="68">A120</f>
        <v>0</v>
      </c>
      <c r="B119" s="284">
        <f t="shared" si="68"/>
        <v>0</v>
      </c>
      <c r="C119" s="284">
        <f t="shared" si="68"/>
        <v>0</v>
      </c>
      <c r="D119" s="284">
        <f t="shared" si="68"/>
        <v>0</v>
      </c>
      <c r="E119" s="284">
        <f t="shared" si="68"/>
        <v>0</v>
      </c>
      <c r="F119" s="284">
        <f t="shared" si="68"/>
        <v>0</v>
      </c>
      <c r="G119" s="284">
        <f t="shared" si="68"/>
        <v>0</v>
      </c>
      <c r="H119" s="284">
        <f t="shared" si="68"/>
        <v>0</v>
      </c>
      <c r="I119" s="284">
        <f t="shared" si="68"/>
        <v>0</v>
      </c>
      <c r="J119" s="284">
        <f t="shared" si="68"/>
        <v>0</v>
      </c>
      <c r="K119" s="284">
        <f t="shared" si="68"/>
        <v>0</v>
      </c>
      <c r="L119" s="284">
        <f t="shared" si="68"/>
        <v>0</v>
      </c>
      <c r="M119" s="284">
        <f t="shared" si="68"/>
        <v>0</v>
      </c>
      <c r="N119" s="284">
        <f t="shared" si="68"/>
        <v>0</v>
      </c>
      <c r="O119" s="284">
        <f t="shared" si="68"/>
        <v>0</v>
      </c>
      <c r="P119" s="284">
        <f t="shared" si="68"/>
        <v>0</v>
      </c>
      <c r="Q119" s="284">
        <f t="shared" si="68"/>
        <v>0</v>
      </c>
      <c r="R119" s="284">
        <f t="shared" si="68"/>
        <v>0</v>
      </c>
      <c r="S119" s="333"/>
      <c r="T119" s="1428" t="s">
        <v>27</v>
      </c>
      <c r="U119" s="1431" t="s">
        <v>214</v>
      </c>
      <c r="V119" s="1432"/>
      <c r="W119" s="1432"/>
      <c r="X119" s="1432"/>
      <c r="Y119" s="1432"/>
      <c r="Z119" s="1432"/>
      <c r="AA119" s="1433"/>
      <c r="AB119" s="15" t="s">
        <v>19</v>
      </c>
      <c r="AC119" s="16">
        <f>AC123+AC125+AC128</f>
        <v>152888.53999999998</v>
      </c>
      <c r="AD119" s="16">
        <f>AD123+AD125+AD128</f>
        <v>25354.1</v>
      </c>
      <c r="AE119" s="16">
        <f>AE123+AE125+AE128+AE137+AE141+AE144</f>
        <v>193023.18</v>
      </c>
      <c r="AF119" s="22">
        <f>AF123+AF125+AF128+AF137+AF141+AF144</f>
        <v>55764.290000000008</v>
      </c>
      <c r="AG119" s="22">
        <f>AG123+AG125+AG128+AG137+AG141+AG143</f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</row>
    <row r="120" spans="1:41" ht="18" customHeight="1" x14ac:dyDescent="0.25">
      <c r="A120" s="83">
        <v>0</v>
      </c>
      <c r="B120" s="83">
        <v>0</v>
      </c>
      <c r="C120" s="83">
        <v>0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61"/>
      <c r="T120" s="1429"/>
      <c r="U120" s="1434"/>
      <c r="V120" s="1435"/>
      <c r="W120" s="1435"/>
      <c r="X120" s="1435"/>
      <c r="Y120" s="1435"/>
      <c r="Z120" s="1435"/>
      <c r="AA120" s="1436"/>
      <c r="AB120" s="15" t="s">
        <v>20</v>
      </c>
      <c r="AC120" s="16">
        <v>0</v>
      </c>
      <c r="AD120" s="16">
        <v>0</v>
      </c>
      <c r="AE120" s="16">
        <f>AG120+AH120+AI120</f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</row>
    <row r="121" spans="1:41" s="97" customFormat="1" ht="18" hidden="1" customHeight="1" x14ac:dyDescent="0.25">
      <c r="A121" s="259"/>
      <c r="B121" s="259"/>
      <c r="C121" s="259"/>
      <c r="D121" s="259"/>
      <c r="E121" s="259"/>
      <c r="F121" s="259"/>
      <c r="G121" s="259"/>
      <c r="H121" s="83"/>
      <c r="I121" s="83"/>
      <c r="J121" s="259"/>
      <c r="K121" s="259"/>
      <c r="L121" s="259"/>
      <c r="M121" s="259"/>
      <c r="N121" s="259"/>
      <c r="O121" s="259"/>
      <c r="P121" s="259"/>
      <c r="Q121" s="259"/>
      <c r="R121" s="259"/>
      <c r="S121" s="260"/>
      <c r="T121" s="1429"/>
      <c r="U121" s="1434"/>
      <c r="V121" s="1435"/>
      <c r="W121" s="1435"/>
      <c r="X121" s="1435"/>
      <c r="Y121" s="1435"/>
      <c r="Z121" s="1435"/>
      <c r="AA121" s="1436"/>
      <c r="AB121" s="15" t="s">
        <v>10</v>
      </c>
      <c r="AC121" s="16">
        <v>0</v>
      </c>
      <c r="AD121" s="16">
        <v>0</v>
      </c>
      <c r="AE121" s="16">
        <f>AE150</f>
        <v>195485</v>
      </c>
      <c r="AF121" s="22">
        <f>AF150</f>
        <v>0</v>
      </c>
      <c r="AG121" s="22">
        <v>0</v>
      </c>
      <c r="AH121" s="469"/>
      <c r="AI121" s="470"/>
      <c r="AJ121" s="284"/>
      <c r="AK121" s="470"/>
      <c r="AL121" s="122"/>
      <c r="AM121" s="123"/>
      <c r="AN121" s="123"/>
      <c r="AO121" s="123"/>
    </row>
    <row r="122" spans="1:41" s="319" customFormat="1" ht="29.25" customHeight="1" x14ac:dyDescent="0.25">
      <c r="A122" s="284">
        <f t="shared" ref="A122:R122" si="69">A123</f>
        <v>0</v>
      </c>
      <c r="B122" s="284">
        <f t="shared" si="69"/>
        <v>0</v>
      </c>
      <c r="C122" s="284">
        <f t="shared" si="69"/>
        <v>0</v>
      </c>
      <c r="D122" s="284">
        <f t="shared" si="69"/>
        <v>0</v>
      </c>
      <c r="E122" s="284">
        <f t="shared" si="69"/>
        <v>0</v>
      </c>
      <c r="F122" s="284">
        <f t="shared" si="69"/>
        <v>0</v>
      </c>
      <c r="G122" s="284">
        <f t="shared" si="69"/>
        <v>0</v>
      </c>
      <c r="H122" s="284">
        <f t="shared" si="69"/>
        <v>0</v>
      </c>
      <c r="I122" s="284">
        <f t="shared" si="69"/>
        <v>0</v>
      </c>
      <c r="J122" s="284">
        <f t="shared" si="69"/>
        <v>0</v>
      </c>
      <c r="K122" s="284">
        <f t="shared" si="69"/>
        <v>0</v>
      </c>
      <c r="L122" s="284">
        <f t="shared" si="69"/>
        <v>0</v>
      </c>
      <c r="M122" s="284">
        <f t="shared" si="69"/>
        <v>0</v>
      </c>
      <c r="N122" s="284">
        <f t="shared" si="69"/>
        <v>0</v>
      </c>
      <c r="O122" s="284">
        <f t="shared" si="69"/>
        <v>0</v>
      </c>
      <c r="P122" s="284">
        <f t="shared" si="69"/>
        <v>0</v>
      </c>
      <c r="Q122" s="284">
        <f t="shared" si="69"/>
        <v>0</v>
      </c>
      <c r="R122" s="284">
        <f t="shared" si="69"/>
        <v>0</v>
      </c>
      <c r="S122" s="333"/>
      <c r="T122" s="1430"/>
      <c r="U122" s="1437"/>
      <c r="V122" s="1438"/>
      <c r="W122" s="1438"/>
      <c r="X122" s="1438"/>
      <c r="Y122" s="1438"/>
      <c r="Z122" s="1438"/>
      <c r="AA122" s="1439"/>
      <c r="AB122" s="15" t="s">
        <v>9</v>
      </c>
      <c r="AC122" s="16">
        <v>0</v>
      </c>
      <c r="AD122" s="16">
        <v>0</v>
      </c>
      <c r="AE122" s="16">
        <f>AG122+AH122+AI122</f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</row>
    <row r="123" spans="1:41" ht="29.25" customHeight="1" x14ac:dyDescent="0.25">
      <c r="A123" s="83">
        <v>0</v>
      </c>
      <c r="B123" s="83">
        <v>0</v>
      </c>
      <c r="C123" s="83">
        <v>0</v>
      </c>
      <c r="D123" s="83">
        <v>0</v>
      </c>
      <c r="E123" s="83">
        <v>0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83">
        <v>0</v>
      </c>
      <c r="P123" s="83">
        <v>0</v>
      </c>
      <c r="Q123" s="83">
        <v>0</v>
      </c>
      <c r="R123" s="83">
        <v>0</v>
      </c>
      <c r="S123" s="61"/>
      <c r="T123" s="1486" t="s">
        <v>34</v>
      </c>
      <c r="U123" s="77" t="s">
        <v>38</v>
      </c>
      <c r="V123" s="1453"/>
      <c r="W123" s="1453"/>
      <c r="X123" s="1453"/>
      <c r="Y123" s="1353">
        <v>220000</v>
      </c>
      <c r="Z123" s="1473">
        <v>2018</v>
      </c>
      <c r="AA123" s="1473">
        <v>2021</v>
      </c>
      <c r="AB123" s="1445" t="s">
        <v>19</v>
      </c>
      <c r="AC123" s="1386">
        <v>66036</v>
      </c>
      <c r="AD123" s="1386">
        <v>16509</v>
      </c>
      <c r="AE123" s="82">
        <f>AE124</f>
        <v>67541.3</v>
      </c>
      <c r="AF123" s="82">
        <f>AF124</f>
        <v>6409</v>
      </c>
      <c r="AG123" s="82">
        <f>AG124</f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</row>
    <row r="124" spans="1:41" s="319" customFormat="1" ht="25.5" customHeight="1" x14ac:dyDescent="0.25">
      <c r="A124" s="284">
        <f t="shared" ref="A124:R124" si="70">A125</f>
        <v>0</v>
      </c>
      <c r="B124" s="284">
        <f t="shared" si="70"/>
        <v>0</v>
      </c>
      <c r="C124" s="284">
        <f t="shared" si="70"/>
        <v>0</v>
      </c>
      <c r="D124" s="284">
        <f t="shared" si="70"/>
        <v>0</v>
      </c>
      <c r="E124" s="284">
        <f t="shared" si="70"/>
        <v>0</v>
      </c>
      <c r="F124" s="284">
        <f t="shared" si="70"/>
        <v>0</v>
      </c>
      <c r="G124" s="284">
        <f t="shared" si="70"/>
        <v>0</v>
      </c>
      <c r="H124" s="284">
        <f t="shared" si="70"/>
        <v>0</v>
      </c>
      <c r="I124" s="284">
        <f t="shared" si="70"/>
        <v>0</v>
      </c>
      <c r="J124" s="284">
        <f t="shared" si="70"/>
        <v>0</v>
      </c>
      <c r="K124" s="284">
        <f t="shared" si="70"/>
        <v>0</v>
      </c>
      <c r="L124" s="284">
        <f t="shared" si="70"/>
        <v>0</v>
      </c>
      <c r="M124" s="284">
        <f t="shared" si="70"/>
        <v>0</v>
      </c>
      <c r="N124" s="284">
        <f t="shared" si="70"/>
        <v>0</v>
      </c>
      <c r="O124" s="284">
        <f t="shared" si="70"/>
        <v>0</v>
      </c>
      <c r="P124" s="284">
        <f t="shared" si="70"/>
        <v>0</v>
      </c>
      <c r="Q124" s="284">
        <f t="shared" si="70"/>
        <v>0</v>
      </c>
      <c r="R124" s="284">
        <f t="shared" si="70"/>
        <v>0</v>
      </c>
      <c r="S124" s="333"/>
      <c r="T124" s="1487"/>
      <c r="U124" s="526" t="s">
        <v>39</v>
      </c>
      <c r="V124" s="1454"/>
      <c r="W124" s="1454"/>
      <c r="X124" s="1454"/>
      <c r="Y124" s="1472"/>
      <c r="Z124" s="1474"/>
      <c r="AA124" s="1474"/>
      <c r="AB124" s="1485"/>
      <c r="AC124" s="1387"/>
      <c r="AD124" s="1387"/>
      <c r="AE124" s="72">
        <v>67541.3</v>
      </c>
      <c r="AF124" s="83">
        <v>6409</v>
      </c>
      <c r="AG124" s="83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</row>
    <row r="125" spans="1:41" ht="27.75" customHeight="1" x14ac:dyDescent="0.25">
      <c r="A125" s="83">
        <v>0</v>
      </c>
      <c r="B125" s="83">
        <v>0</v>
      </c>
      <c r="C125" s="83">
        <v>0</v>
      </c>
      <c r="D125" s="83">
        <v>0</v>
      </c>
      <c r="E125" s="83"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  <c r="O125" s="83">
        <v>0</v>
      </c>
      <c r="P125" s="83">
        <v>0</v>
      </c>
      <c r="Q125" s="83">
        <v>0</v>
      </c>
      <c r="R125" s="83">
        <v>0</v>
      </c>
      <c r="S125" s="61"/>
      <c r="T125" s="1486" t="s">
        <v>42</v>
      </c>
      <c r="U125" s="77" t="s">
        <v>205</v>
      </c>
      <c r="V125" s="48"/>
      <c r="W125" s="48"/>
      <c r="X125" s="48"/>
      <c r="Y125" s="1353">
        <v>2400</v>
      </c>
      <c r="Z125" s="48"/>
      <c r="AA125" s="48"/>
      <c r="AB125" s="1463" t="s">
        <v>19</v>
      </c>
      <c r="AC125" s="24">
        <v>12351.86</v>
      </c>
      <c r="AD125" s="24">
        <f>AD126+AD127</f>
        <v>8845.1</v>
      </c>
      <c r="AE125" s="79">
        <f>AE126+AE127</f>
        <v>25182.28</v>
      </c>
      <c r="AF125" s="79">
        <f>AF126+AF127</f>
        <v>13188.039999999999</v>
      </c>
      <c r="AG125" s="79">
        <f>AG127+AG126</f>
        <v>0</v>
      </c>
      <c r="AH125" s="78">
        <f>Q125</f>
        <v>0</v>
      </c>
      <c r="AI125" s="78">
        <v>0</v>
      </c>
      <c r="AJ125" s="78">
        <f>S125</f>
        <v>0</v>
      </c>
      <c r="AK125" s="78">
        <f>AH125</f>
        <v>0</v>
      </c>
      <c r="AL125" s="78">
        <v>0</v>
      </c>
      <c r="AM125" s="78">
        <v>0</v>
      </c>
      <c r="AN125" s="78">
        <v>0</v>
      </c>
      <c r="AO125" s="78">
        <v>0</v>
      </c>
    </row>
    <row r="126" spans="1:41" s="97" customFormat="1" ht="18" customHeight="1" x14ac:dyDescent="0.25">
      <c r="A126" s="259">
        <f>I126</f>
        <v>0</v>
      </c>
      <c r="B126" s="259"/>
      <c r="C126" s="259"/>
      <c r="D126" s="259"/>
      <c r="E126" s="259"/>
      <c r="F126" s="259"/>
      <c r="G126" s="259"/>
      <c r="H126" s="83">
        <f>I126</f>
        <v>0</v>
      </c>
      <c r="I126" s="83"/>
      <c r="J126" s="259"/>
      <c r="K126" s="259"/>
      <c r="L126" s="259"/>
      <c r="M126" s="259"/>
      <c r="N126" s="259"/>
      <c r="O126" s="259"/>
      <c r="P126" s="259"/>
      <c r="Q126" s="259"/>
      <c r="R126" s="259"/>
      <c r="S126" s="260"/>
      <c r="T126" s="1534"/>
      <c r="U126" s="1" t="s">
        <v>15</v>
      </c>
      <c r="V126" s="48"/>
      <c r="W126" s="48"/>
      <c r="X126" s="48"/>
      <c r="Y126" s="1354"/>
      <c r="Z126" s="517">
        <v>2018</v>
      </c>
      <c r="AA126" s="517">
        <v>2018</v>
      </c>
      <c r="AB126" s="1464"/>
      <c r="AC126" s="27">
        <v>1815.76</v>
      </c>
      <c r="AD126" s="27">
        <v>1815.76</v>
      </c>
      <c r="AE126" s="22">
        <v>2458.14</v>
      </c>
      <c r="AF126" s="22">
        <v>229.39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</row>
    <row r="127" spans="1:41" s="97" customFormat="1" ht="18" customHeight="1" x14ac:dyDescent="0.25">
      <c r="A127" s="259"/>
      <c r="B127" s="259"/>
      <c r="C127" s="259"/>
      <c r="D127" s="259"/>
      <c r="E127" s="259"/>
      <c r="F127" s="259"/>
      <c r="G127" s="259"/>
      <c r="H127" s="83"/>
      <c r="I127" s="83"/>
      <c r="J127" s="259"/>
      <c r="K127" s="259"/>
      <c r="L127" s="259"/>
      <c r="M127" s="259"/>
      <c r="N127" s="259"/>
      <c r="O127" s="259"/>
      <c r="P127" s="259"/>
      <c r="Q127" s="259"/>
      <c r="R127" s="259"/>
      <c r="S127" s="260"/>
      <c r="T127" s="1487"/>
      <c r="U127" s="1" t="s">
        <v>32</v>
      </c>
      <c r="V127" s="48"/>
      <c r="W127" s="48"/>
      <c r="X127" s="48"/>
      <c r="Y127" s="1352"/>
      <c r="Z127" s="517">
        <v>2018</v>
      </c>
      <c r="AA127" s="517">
        <v>2021</v>
      </c>
      <c r="AB127" s="1465"/>
      <c r="AC127" s="27">
        <v>10536.1</v>
      </c>
      <c r="AD127" s="27">
        <v>7029.34</v>
      </c>
      <c r="AE127" s="22">
        <v>22724.14</v>
      </c>
      <c r="AF127" s="22">
        <v>12958.65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</row>
    <row r="128" spans="1:41" s="97" customFormat="1" ht="38.25" customHeight="1" x14ac:dyDescent="0.25">
      <c r="A128" s="259"/>
      <c r="B128" s="259"/>
      <c r="C128" s="259"/>
      <c r="D128" s="259"/>
      <c r="E128" s="259"/>
      <c r="F128" s="259"/>
      <c r="G128" s="259"/>
      <c r="H128" s="83"/>
      <c r="I128" s="83"/>
      <c r="J128" s="259"/>
      <c r="K128" s="259"/>
      <c r="L128" s="259"/>
      <c r="M128" s="259"/>
      <c r="N128" s="259"/>
      <c r="O128" s="259"/>
      <c r="P128" s="259"/>
      <c r="Q128" s="259"/>
      <c r="R128" s="259"/>
      <c r="S128" s="260"/>
      <c r="T128" s="1398" t="s">
        <v>63</v>
      </c>
      <c r="U128" s="77" t="s">
        <v>66</v>
      </c>
      <c r="V128" s="1471"/>
      <c r="W128" s="1471"/>
      <c r="X128" s="1471"/>
      <c r="Y128" s="1492"/>
      <c r="Z128" s="1489">
        <v>2019</v>
      </c>
      <c r="AA128" s="1469">
        <v>2021</v>
      </c>
      <c r="AB128" s="1466" t="s">
        <v>19</v>
      </c>
      <c r="AC128" s="1467">
        <f>AD128+AE128</f>
        <v>74500.679999999993</v>
      </c>
      <c r="AD128" s="1400">
        <v>0</v>
      </c>
      <c r="AE128" s="78">
        <f>AE129</f>
        <v>74500.679999999993</v>
      </c>
      <c r="AF128" s="78">
        <f>AF129</f>
        <v>26139.200000000001</v>
      </c>
      <c r="AG128" s="82">
        <f>AG129</f>
        <v>0</v>
      </c>
      <c r="AH128" s="78">
        <v>0</v>
      </c>
      <c r="AI128" s="78">
        <v>0</v>
      </c>
      <c r="AJ128" s="78">
        <v>0</v>
      </c>
      <c r="AK128" s="78">
        <v>0</v>
      </c>
      <c r="AL128" s="78">
        <v>0</v>
      </c>
      <c r="AM128" s="78">
        <v>0</v>
      </c>
      <c r="AN128" s="78">
        <v>0</v>
      </c>
      <c r="AO128" s="78">
        <v>0</v>
      </c>
    </row>
    <row r="129" spans="1:41" s="97" customFormat="1" ht="18" customHeight="1" x14ac:dyDescent="0.25">
      <c r="A129" s="259"/>
      <c r="B129" s="259"/>
      <c r="C129" s="259"/>
      <c r="D129" s="259"/>
      <c r="E129" s="259"/>
      <c r="F129" s="259"/>
      <c r="G129" s="259"/>
      <c r="H129" s="83"/>
      <c r="I129" s="83"/>
      <c r="J129" s="259"/>
      <c r="K129" s="259"/>
      <c r="L129" s="259"/>
      <c r="M129" s="259"/>
      <c r="N129" s="259"/>
      <c r="O129" s="259"/>
      <c r="P129" s="259"/>
      <c r="Q129" s="259"/>
      <c r="R129" s="259"/>
      <c r="S129" s="260"/>
      <c r="T129" s="1488"/>
      <c r="U129" s="1" t="s">
        <v>16</v>
      </c>
      <c r="V129" s="1471"/>
      <c r="W129" s="1471"/>
      <c r="X129" s="1471"/>
      <c r="Y129" s="1492"/>
      <c r="Z129" s="1489"/>
      <c r="AA129" s="1470"/>
      <c r="AB129" s="1466"/>
      <c r="AC129" s="1467"/>
      <c r="AD129" s="1401"/>
      <c r="AE129" s="72">
        <v>74500.679999999993</v>
      </c>
      <c r="AF129" s="83">
        <v>26139.200000000001</v>
      </c>
      <c r="AG129" s="83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</row>
    <row r="130" spans="1:41" s="97" customFormat="1" ht="18" hidden="1" customHeight="1" x14ac:dyDescent="0.25">
      <c r="A130" s="259"/>
      <c r="B130" s="259"/>
      <c r="C130" s="259"/>
      <c r="D130" s="259"/>
      <c r="E130" s="259"/>
      <c r="F130" s="259"/>
      <c r="G130" s="259"/>
      <c r="H130" s="83"/>
      <c r="I130" s="83"/>
      <c r="J130" s="259"/>
      <c r="K130" s="259"/>
      <c r="L130" s="259"/>
      <c r="M130" s="259"/>
      <c r="N130" s="259"/>
      <c r="O130" s="259"/>
      <c r="P130" s="259"/>
      <c r="Q130" s="259"/>
      <c r="R130" s="259"/>
      <c r="S130" s="260"/>
      <c r="T130" s="324"/>
      <c r="U130" s="252" t="s">
        <v>152</v>
      </c>
      <c r="V130" s="253"/>
      <c r="W130" s="253"/>
      <c r="X130" s="253"/>
      <c r="Y130" s="254"/>
      <c r="Z130" s="255"/>
      <c r="AA130" s="256"/>
      <c r="AB130" s="104"/>
      <c r="AC130" s="98"/>
      <c r="AD130" s="257"/>
      <c r="AE130" s="258"/>
      <c r="AF130" s="83"/>
      <c r="AG130" s="259">
        <f>AI130+AK130</f>
        <v>0</v>
      </c>
      <c r="AH130" s="120">
        <v>0</v>
      </c>
      <c r="AI130" s="121">
        <v>0</v>
      </c>
      <c r="AJ130" s="121">
        <v>0</v>
      </c>
      <c r="AK130" s="121">
        <v>0</v>
      </c>
      <c r="AL130" s="120">
        <v>0</v>
      </c>
      <c r="AM130" s="121">
        <v>0</v>
      </c>
      <c r="AN130" s="121">
        <v>0</v>
      </c>
      <c r="AO130" s="121">
        <v>0</v>
      </c>
    </row>
    <row r="131" spans="1:41" s="97" customFormat="1" ht="18" hidden="1" customHeight="1" x14ac:dyDescent="0.25">
      <c r="A131" s="259"/>
      <c r="B131" s="259"/>
      <c r="C131" s="259"/>
      <c r="D131" s="259"/>
      <c r="E131" s="259"/>
      <c r="F131" s="259"/>
      <c r="G131" s="259"/>
      <c r="H131" s="83"/>
      <c r="I131" s="83"/>
      <c r="J131" s="259"/>
      <c r="K131" s="259"/>
      <c r="L131" s="259"/>
      <c r="M131" s="259"/>
      <c r="N131" s="259"/>
      <c r="O131" s="259"/>
      <c r="P131" s="259"/>
      <c r="Q131" s="259"/>
      <c r="R131" s="259"/>
      <c r="S131" s="260"/>
      <c r="T131" s="324"/>
      <c r="U131" s="252" t="s">
        <v>156</v>
      </c>
      <c r="V131" s="253"/>
      <c r="W131" s="253"/>
      <c r="X131" s="253"/>
      <c r="Y131" s="254"/>
      <c r="Z131" s="255"/>
      <c r="AA131" s="256"/>
      <c r="AB131" s="104"/>
      <c r="AC131" s="98"/>
      <c r="AD131" s="257"/>
      <c r="AE131" s="258"/>
      <c r="AF131" s="83"/>
      <c r="AG131" s="259">
        <f>AI131+AK131+AM131</f>
        <v>0</v>
      </c>
      <c r="AH131" s="120">
        <v>0</v>
      </c>
      <c r="AI131" s="121">
        <v>0</v>
      </c>
      <c r="AJ131" s="121">
        <v>0</v>
      </c>
      <c r="AK131" s="121">
        <v>0</v>
      </c>
      <c r="AL131" s="120">
        <v>0</v>
      </c>
      <c r="AM131" s="121">
        <v>0</v>
      </c>
      <c r="AN131" s="121">
        <v>0</v>
      </c>
      <c r="AO131" s="121">
        <v>0</v>
      </c>
    </row>
    <row r="132" spans="1:41" ht="29.25" hidden="1" customHeight="1" x14ac:dyDescent="0.25">
      <c r="A132" s="47">
        <v>0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  <c r="P132" s="47">
        <v>0</v>
      </c>
      <c r="Q132" s="47">
        <v>0</v>
      </c>
      <c r="R132" s="47">
        <v>0</v>
      </c>
      <c r="S132" s="294"/>
      <c r="T132" s="324"/>
      <c r="U132" s="252" t="s">
        <v>229</v>
      </c>
      <c r="V132" s="253"/>
      <c r="W132" s="253"/>
      <c r="X132" s="253"/>
      <c r="Y132" s="254"/>
      <c r="Z132" s="255"/>
      <c r="AA132" s="256"/>
      <c r="AB132" s="104"/>
      <c r="AC132" s="98"/>
      <c r="AD132" s="257"/>
      <c r="AE132" s="258"/>
      <c r="AF132" s="83"/>
      <c r="AG132" s="259">
        <f>AI132+AK132+AM132+AO132</f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</row>
    <row r="133" spans="1:41" ht="41.25" hidden="1" customHeight="1" x14ac:dyDescent="0.25">
      <c r="A133" s="47">
        <f t="shared" ref="A133:N133" si="71">A136+A140+A146</f>
        <v>3294.0219999999999</v>
      </c>
      <c r="B133" s="47">
        <f t="shared" si="71"/>
        <v>0</v>
      </c>
      <c r="C133" s="47">
        <f t="shared" si="71"/>
        <v>0</v>
      </c>
      <c r="D133" s="47">
        <f t="shared" si="71"/>
        <v>0</v>
      </c>
      <c r="E133" s="47">
        <f t="shared" si="71"/>
        <v>0</v>
      </c>
      <c r="F133" s="47">
        <f t="shared" si="71"/>
        <v>0</v>
      </c>
      <c r="G133" s="47">
        <f t="shared" si="71"/>
        <v>0</v>
      </c>
      <c r="H133" s="47">
        <f t="shared" si="71"/>
        <v>3294.0219999999999</v>
      </c>
      <c r="I133" s="47">
        <f t="shared" si="71"/>
        <v>3294.0219999999999</v>
      </c>
      <c r="J133" s="47">
        <f t="shared" si="71"/>
        <v>6631.4549999999999</v>
      </c>
      <c r="K133" s="47">
        <f t="shared" si="71"/>
        <v>6631.4549999999999</v>
      </c>
      <c r="L133" s="47">
        <f t="shared" si="71"/>
        <v>0</v>
      </c>
      <c r="M133" s="47">
        <f t="shared" si="71"/>
        <v>0</v>
      </c>
      <c r="N133" s="47" t="e">
        <f t="shared" si="71"/>
        <v>#REF!</v>
      </c>
      <c r="O133" s="47" t="e">
        <f>O136</f>
        <v>#REF!</v>
      </c>
      <c r="P133" s="47">
        <f>P136</f>
        <v>0</v>
      </c>
      <c r="Q133" s="47">
        <f>Q136</f>
        <v>0</v>
      </c>
      <c r="R133" s="47">
        <f>R136</f>
        <v>0</v>
      </c>
      <c r="S133" s="294"/>
      <c r="T133" s="324"/>
      <c r="U133" s="252" t="s">
        <v>230</v>
      </c>
      <c r="V133" s="253"/>
      <c r="W133" s="253"/>
      <c r="X133" s="253"/>
      <c r="Y133" s="254"/>
      <c r="Z133" s="255"/>
      <c r="AA133" s="256"/>
      <c r="AB133" s="104"/>
      <c r="AC133" s="98"/>
      <c r="AD133" s="257"/>
      <c r="AE133" s="258"/>
      <c r="AF133" s="83"/>
      <c r="AG133" s="259">
        <f>AI133+AK133+AM133+AO133</f>
        <v>0</v>
      </c>
      <c r="AH133" s="22">
        <f>AH136+AH140+AH146</f>
        <v>0</v>
      </c>
      <c r="AI133" s="22">
        <f>AI136+AI140+AI146</f>
        <v>0</v>
      </c>
      <c r="AJ133" s="22">
        <f>AJ136+AJ140+AJ146</f>
        <v>0</v>
      </c>
      <c r="AK133" s="22">
        <f>AK136+AK140+AK146</f>
        <v>0</v>
      </c>
      <c r="AL133" s="22">
        <v>0</v>
      </c>
      <c r="AM133" s="22">
        <v>0</v>
      </c>
      <c r="AN133" s="22">
        <v>0</v>
      </c>
      <c r="AO133" s="22">
        <v>0</v>
      </c>
    </row>
    <row r="134" spans="1:41" ht="38.25" hidden="1" customHeight="1" x14ac:dyDescent="0.25">
      <c r="A134" s="22">
        <f t="shared" ref="A134:L134" si="72">A151+A153</f>
        <v>0</v>
      </c>
      <c r="B134" s="22">
        <f t="shared" si="72"/>
        <v>0</v>
      </c>
      <c r="C134" s="22">
        <f t="shared" si="72"/>
        <v>0</v>
      </c>
      <c r="D134" s="22">
        <f t="shared" si="72"/>
        <v>0</v>
      </c>
      <c r="E134" s="22">
        <f t="shared" si="72"/>
        <v>0</v>
      </c>
      <c r="F134" s="22">
        <f t="shared" si="72"/>
        <v>0</v>
      </c>
      <c r="G134" s="22">
        <f t="shared" si="72"/>
        <v>0</v>
      </c>
      <c r="H134" s="22">
        <f t="shared" si="72"/>
        <v>0</v>
      </c>
      <c r="I134" s="22">
        <f t="shared" si="72"/>
        <v>0</v>
      </c>
      <c r="J134" s="22">
        <f t="shared" si="72"/>
        <v>0</v>
      </c>
      <c r="K134" s="22">
        <f t="shared" si="72"/>
        <v>0</v>
      </c>
      <c r="L134" s="22">
        <f t="shared" si="72"/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95"/>
      <c r="T134" s="324"/>
      <c r="U134" s="252" t="s">
        <v>231</v>
      </c>
      <c r="V134" s="253"/>
      <c r="W134" s="253"/>
      <c r="X134" s="253"/>
      <c r="Y134" s="254"/>
      <c r="Z134" s="255"/>
      <c r="AA134" s="256"/>
      <c r="AB134" s="104"/>
      <c r="AC134" s="98"/>
      <c r="AD134" s="257"/>
      <c r="AE134" s="258"/>
      <c r="AF134" s="83"/>
      <c r="AG134" s="259">
        <f>AI134+AK134+AM134+AO134</f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</row>
    <row r="135" spans="1:41" ht="15.75" hidden="1" x14ac:dyDescent="0.25">
      <c r="A135" s="22">
        <v>0</v>
      </c>
      <c r="B135" s="22">
        <v>0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95"/>
      <c r="T135" s="324"/>
      <c r="U135" s="252" t="s">
        <v>259</v>
      </c>
      <c r="V135" s="253"/>
      <c r="W135" s="253"/>
      <c r="X135" s="253"/>
      <c r="Y135" s="254"/>
      <c r="Z135" s="255"/>
      <c r="AA135" s="256"/>
      <c r="AB135" s="104"/>
      <c r="AC135" s="98"/>
      <c r="AD135" s="257"/>
      <c r="AE135" s="258"/>
      <c r="AF135" s="83"/>
      <c r="AG135" s="259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</row>
    <row r="136" spans="1:41" ht="30.75" hidden="1" customHeight="1" x14ac:dyDescent="0.25">
      <c r="A136" s="79">
        <f t="shared" ref="A136:M136" si="73">A137+A139</f>
        <v>0</v>
      </c>
      <c r="B136" s="79">
        <f t="shared" si="73"/>
        <v>0</v>
      </c>
      <c r="C136" s="79">
        <f t="shared" si="73"/>
        <v>0</v>
      </c>
      <c r="D136" s="79">
        <f t="shared" si="73"/>
        <v>0</v>
      </c>
      <c r="E136" s="79">
        <f t="shared" si="73"/>
        <v>0</v>
      </c>
      <c r="F136" s="79">
        <f t="shared" si="73"/>
        <v>0</v>
      </c>
      <c r="G136" s="79">
        <f t="shared" si="73"/>
        <v>0</v>
      </c>
      <c r="H136" s="79">
        <f t="shared" si="73"/>
        <v>0</v>
      </c>
      <c r="I136" s="79">
        <f t="shared" si="73"/>
        <v>0</v>
      </c>
      <c r="J136" s="79">
        <f t="shared" si="73"/>
        <v>0</v>
      </c>
      <c r="K136" s="79">
        <f t="shared" si="73"/>
        <v>0</v>
      </c>
      <c r="L136" s="79">
        <f t="shared" si="73"/>
        <v>0</v>
      </c>
      <c r="M136" s="79">
        <f t="shared" si="73"/>
        <v>0</v>
      </c>
      <c r="N136" s="79" t="e">
        <f>#REF!-A136</f>
        <v>#REF!</v>
      </c>
      <c r="O136" s="79" t="e">
        <f>N136</f>
        <v>#REF!</v>
      </c>
      <c r="P136" s="79">
        <v>0</v>
      </c>
      <c r="Q136" s="79">
        <f>Q137+Q139</f>
        <v>0</v>
      </c>
      <c r="R136" s="79">
        <f>R137+R139</f>
        <v>0</v>
      </c>
      <c r="S136" s="301"/>
      <c r="T136" s="324"/>
      <c r="U136" s="252" t="s">
        <v>153</v>
      </c>
      <c r="V136" s="253"/>
      <c r="W136" s="253"/>
      <c r="X136" s="253"/>
      <c r="Y136" s="254"/>
      <c r="Z136" s="255"/>
      <c r="AA136" s="256"/>
      <c r="AB136" s="104"/>
      <c r="AC136" s="98"/>
      <c r="AD136" s="257"/>
      <c r="AE136" s="258"/>
      <c r="AF136" s="83"/>
      <c r="AG136" s="259">
        <f>AI136+AK136+AM136+AO136</f>
        <v>0</v>
      </c>
      <c r="AH136" s="122">
        <v>0</v>
      </c>
      <c r="AI136" s="123">
        <v>0</v>
      </c>
      <c r="AJ136" s="123">
        <v>0</v>
      </c>
      <c r="AK136" s="123">
        <v>0</v>
      </c>
      <c r="AL136" s="122">
        <v>0</v>
      </c>
      <c r="AM136" s="123">
        <v>0</v>
      </c>
      <c r="AN136" s="123">
        <v>0</v>
      </c>
      <c r="AO136" s="123">
        <v>0</v>
      </c>
    </row>
    <row r="137" spans="1:41" ht="51" customHeight="1" x14ac:dyDescent="0.25">
      <c r="A137" s="50">
        <f>SUM(A138)</f>
        <v>0</v>
      </c>
      <c r="B137" s="50">
        <f t="shared" ref="B137:R137" si="74">SUM(B138)</f>
        <v>0</v>
      </c>
      <c r="C137" s="50">
        <f t="shared" si="74"/>
        <v>0</v>
      </c>
      <c r="D137" s="50">
        <f t="shared" si="74"/>
        <v>0</v>
      </c>
      <c r="E137" s="50">
        <f t="shared" si="74"/>
        <v>0</v>
      </c>
      <c r="F137" s="50">
        <f t="shared" si="74"/>
        <v>0</v>
      </c>
      <c r="G137" s="50">
        <f t="shared" si="74"/>
        <v>0</v>
      </c>
      <c r="H137" s="50">
        <f t="shared" si="74"/>
        <v>0</v>
      </c>
      <c r="I137" s="50">
        <f t="shared" si="74"/>
        <v>0</v>
      </c>
      <c r="J137" s="50">
        <f t="shared" si="74"/>
        <v>0</v>
      </c>
      <c r="K137" s="50">
        <f t="shared" si="74"/>
        <v>0</v>
      </c>
      <c r="L137" s="50">
        <f t="shared" si="74"/>
        <v>0</v>
      </c>
      <c r="M137" s="50">
        <f t="shared" si="74"/>
        <v>0</v>
      </c>
      <c r="N137" s="50">
        <f t="shared" si="74"/>
        <v>0</v>
      </c>
      <c r="O137" s="50">
        <f t="shared" si="74"/>
        <v>0</v>
      </c>
      <c r="P137" s="50">
        <f t="shared" si="74"/>
        <v>0</v>
      </c>
      <c r="Q137" s="50">
        <f t="shared" si="74"/>
        <v>0</v>
      </c>
      <c r="R137" s="50">
        <f t="shared" si="74"/>
        <v>0</v>
      </c>
      <c r="S137" s="50"/>
      <c r="T137" s="1398" t="s">
        <v>167</v>
      </c>
      <c r="U137" s="80" t="s">
        <v>168</v>
      </c>
      <c r="V137" s="330"/>
      <c r="W137" s="330"/>
      <c r="X137" s="330"/>
      <c r="Y137" s="315"/>
      <c r="Z137" s="331"/>
      <c r="AA137" s="332"/>
      <c r="AB137" s="1326" t="s">
        <v>19</v>
      </c>
      <c r="AC137" s="328"/>
      <c r="AD137" s="329"/>
      <c r="AE137" s="284">
        <f>AE138</f>
        <v>7644.31</v>
      </c>
      <c r="AF137" s="284">
        <f>AF138</f>
        <v>677.68</v>
      </c>
      <c r="AG137" s="284">
        <f>AG138</f>
        <v>0</v>
      </c>
      <c r="AH137" s="78">
        <v>0</v>
      </c>
      <c r="AI137" s="78">
        <v>0</v>
      </c>
      <c r="AJ137" s="78">
        <v>0</v>
      </c>
      <c r="AK137" s="78">
        <v>0</v>
      </c>
      <c r="AL137" s="78">
        <v>0</v>
      </c>
      <c r="AM137" s="78">
        <v>0</v>
      </c>
      <c r="AN137" s="78">
        <v>0</v>
      </c>
      <c r="AO137" s="78">
        <v>0</v>
      </c>
    </row>
    <row r="138" spans="1:41" s="266" customFormat="1" ht="15.75" customHeight="1" x14ac:dyDescent="0.25">
      <c r="A138" s="263"/>
      <c r="B138" s="50"/>
      <c r="C138" s="50"/>
      <c r="D138" s="263"/>
      <c r="E138" s="263"/>
      <c r="F138" s="263"/>
      <c r="G138" s="263"/>
      <c r="H138" s="50"/>
      <c r="I138" s="50"/>
      <c r="J138" s="263"/>
      <c r="K138" s="263"/>
      <c r="L138" s="263"/>
      <c r="M138" s="263"/>
      <c r="N138" s="263"/>
      <c r="O138" s="263"/>
      <c r="P138" s="263"/>
      <c r="Q138" s="263"/>
      <c r="R138" s="263"/>
      <c r="S138" s="263"/>
      <c r="T138" s="1488"/>
      <c r="U138" s="42" t="s">
        <v>15</v>
      </c>
      <c r="V138" s="334"/>
      <c r="W138" s="334"/>
      <c r="X138" s="334"/>
      <c r="Y138" s="312"/>
      <c r="Z138" s="335"/>
      <c r="AA138" s="336"/>
      <c r="AB138" s="1328"/>
      <c r="AC138" s="500"/>
      <c r="AD138" s="337"/>
      <c r="AE138" s="72">
        <v>7644.31</v>
      </c>
      <c r="AF138" s="83">
        <v>677.68</v>
      </c>
      <c r="AG138" s="83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</row>
    <row r="139" spans="1:41" ht="15.75" hidden="1" customHeight="1" x14ac:dyDescent="0.25">
      <c r="A139" s="50">
        <v>0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/>
      <c r="T139" s="366"/>
      <c r="U139" s="252" t="s">
        <v>232</v>
      </c>
      <c r="V139" s="253"/>
      <c r="W139" s="253"/>
      <c r="X139" s="253"/>
      <c r="Y139" s="254"/>
      <c r="Z139" s="255"/>
      <c r="AA139" s="256"/>
      <c r="AB139" s="367"/>
      <c r="AC139" s="98"/>
      <c r="AD139" s="257"/>
      <c r="AE139" s="258"/>
      <c r="AF139" s="83"/>
      <c r="AG139" s="259"/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</row>
    <row r="140" spans="1:41" ht="53.25" hidden="1" customHeight="1" x14ac:dyDescent="0.25">
      <c r="A140" s="79">
        <f t="shared" ref="A140:R140" si="75">A141</f>
        <v>1639</v>
      </c>
      <c r="B140" s="79">
        <f t="shared" si="75"/>
        <v>0</v>
      </c>
      <c r="C140" s="79">
        <f t="shared" si="75"/>
        <v>0</v>
      </c>
      <c r="D140" s="79">
        <f t="shared" si="75"/>
        <v>0</v>
      </c>
      <c r="E140" s="79">
        <f t="shared" si="75"/>
        <v>0</v>
      </c>
      <c r="F140" s="79">
        <f t="shared" si="75"/>
        <v>0</v>
      </c>
      <c r="G140" s="79">
        <f t="shared" si="75"/>
        <v>0</v>
      </c>
      <c r="H140" s="79">
        <f t="shared" si="75"/>
        <v>1639</v>
      </c>
      <c r="I140" s="79">
        <f t="shared" si="75"/>
        <v>1639</v>
      </c>
      <c r="J140" s="79">
        <f t="shared" si="75"/>
        <v>3856.433</v>
      </c>
      <c r="K140" s="79">
        <f t="shared" si="75"/>
        <v>3856.433</v>
      </c>
      <c r="L140" s="79">
        <f t="shared" si="75"/>
        <v>0</v>
      </c>
      <c r="M140" s="79">
        <f t="shared" si="75"/>
        <v>0</v>
      </c>
      <c r="N140" s="79">
        <f t="shared" si="75"/>
        <v>0</v>
      </c>
      <c r="O140" s="79">
        <f t="shared" si="75"/>
        <v>0</v>
      </c>
      <c r="P140" s="79">
        <f t="shared" si="75"/>
        <v>0</v>
      </c>
      <c r="Q140" s="79">
        <f t="shared" si="75"/>
        <v>0</v>
      </c>
      <c r="R140" s="79">
        <f t="shared" si="75"/>
        <v>0</v>
      </c>
      <c r="S140" s="301"/>
      <c r="T140" s="366"/>
      <c r="U140" s="252" t="s">
        <v>263</v>
      </c>
      <c r="V140" s="253"/>
      <c r="W140" s="253"/>
      <c r="X140" s="253"/>
      <c r="Y140" s="254"/>
      <c r="Z140" s="255"/>
      <c r="AA140" s="256"/>
      <c r="AB140" s="367"/>
      <c r="AC140" s="98"/>
      <c r="AD140" s="257"/>
      <c r="AE140" s="258"/>
      <c r="AF140" s="83">
        <f>AG140</f>
        <v>0</v>
      </c>
      <c r="AG140" s="259">
        <f>AI140+AK140</f>
        <v>0</v>
      </c>
      <c r="AH140" s="122">
        <v>0</v>
      </c>
      <c r="AI140" s="123">
        <v>0</v>
      </c>
      <c r="AJ140" s="123">
        <v>0</v>
      </c>
      <c r="AK140" s="123">
        <v>0</v>
      </c>
      <c r="AL140" s="122">
        <v>0</v>
      </c>
      <c r="AM140" s="123">
        <v>0</v>
      </c>
      <c r="AN140" s="123">
        <v>0</v>
      </c>
      <c r="AO140" s="123">
        <v>0</v>
      </c>
    </row>
    <row r="141" spans="1:41" ht="30" customHeight="1" x14ac:dyDescent="0.25">
      <c r="A141" s="50">
        <f>SUM(A142:A145)</f>
        <v>1639</v>
      </c>
      <c r="B141" s="50">
        <f t="shared" ref="B141:M141" si="76">SUM(B142:B145)</f>
        <v>0</v>
      </c>
      <c r="C141" s="50">
        <f t="shared" si="76"/>
        <v>0</v>
      </c>
      <c r="D141" s="50">
        <f t="shared" si="76"/>
        <v>0</v>
      </c>
      <c r="E141" s="50">
        <f t="shared" si="76"/>
        <v>0</v>
      </c>
      <c r="F141" s="50">
        <f t="shared" si="76"/>
        <v>0</v>
      </c>
      <c r="G141" s="50">
        <f t="shared" si="76"/>
        <v>0</v>
      </c>
      <c r="H141" s="50">
        <f t="shared" si="76"/>
        <v>1639</v>
      </c>
      <c r="I141" s="50">
        <f t="shared" si="76"/>
        <v>1639</v>
      </c>
      <c r="J141" s="50">
        <f t="shared" si="76"/>
        <v>3856.433</v>
      </c>
      <c r="K141" s="50">
        <f t="shared" si="76"/>
        <v>3856.433</v>
      </c>
      <c r="L141" s="50">
        <f t="shared" si="76"/>
        <v>0</v>
      </c>
      <c r="M141" s="50">
        <f t="shared" si="76"/>
        <v>0</v>
      </c>
      <c r="N141" s="50">
        <f>SUM(N142:N145)</f>
        <v>0</v>
      </c>
      <c r="O141" s="50">
        <f>SUM(O142:O145)</f>
        <v>0</v>
      </c>
      <c r="P141" s="50">
        <f>SUM(P142:P145)</f>
        <v>0</v>
      </c>
      <c r="Q141" s="50">
        <f>SUM(Q142:Q145)</f>
        <v>0</v>
      </c>
      <c r="R141" s="50">
        <f>SUM(R142:R145)</f>
        <v>0</v>
      </c>
      <c r="S141" s="50"/>
      <c r="T141" s="1398" t="s">
        <v>169</v>
      </c>
      <c r="U141" s="80" t="s">
        <v>170</v>
      </c>
      <c r="V141" s="330"/>
      <c r="W141" s="330"/>
      <c r="X141" s="330"/>
      <c r="Y141" s="315"/>
      <c r="Z141" s="331"/>
      <c r="AA141" s="332"/>
      <c r="AB141" s="1326" t="s">
        <v>19</v>
      </c>
      <c r="AC141" s="328"/>
      <c r="AD141" s="329"/>
      <c r="AE141" s="284">
        <f>AE142</f>
        <v>8790.08</v>
      </c>
      <c r="AF141" s="284">
        <f>AF142</f>
        <v>8177.68</v>
      </c>
      <c r="AG141" s="284">
        <f>AG142</f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</row>
    <row r="142" spans="1:41" s="97" customFormat="1" ht="15.75" customHeight="1" x14ac:dyDescent="0.25">
      <c r="A142" s="263">
        <f>I142</f>
        <v>6</v>
      </c>
      <c r="B142" s="263"/>
      <c r="C142" s="263"/>
      <c r="D142" s="263"/>
      <c r="E142" s="263"/>
      <c r="F142" s="263"/>
      <c r="G142" s="263"/>
      <c r="H142" s="263">
        <f>I142</f>
        <v>6</v>
      </c>
      <c r="I142" s="263">
        <f>6</f>
        <v>6</v>
      </c>
      <c r="J142" s="263">
        <f>K142</f>
        <v>943.43299999999999</v>
      </c>
      <c r="K142" s="263">
        <f>917.433+20+6</f>
        <v>943.43299999999999</v>
      </c>
      <c r="L142" s="263"/>
      <c r="M142" s="263"/>
      <c r="N142" s="263"/>
      <c r="O142" s="263"/>
      <c r="P142" s="263"/>
      <c r="Q142" s="263"/>
      <c r="R142" s="263"/>
      <c r="S142" s="263"/>
      <c r="T142" s="1488"/>
      <c r="U142" s="42" t="s">
        <v>15</v>
      </c>
      <c r="V142" s="334"/>
      <c r="W142" s="334"/>
      <c r="X142" s="334"/>
      <c r="Y142" s="312"/>
      <c r="Z142" s="335"/>
      <c r="AA142" s="336"/>
      <c r="AB142" s="1328"/>
      <c r="AC142" s="500"/>
      <c r="AD142" s="337"/>
      <c r="AE142" s="72">
        <v>8790.08</v>
      </c>
      <c r="AF142" s="83">
        <v>8177.68</v>
      </c>
      <c r="AG142" s="83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</row>
    <row r="143" spans="1:41" s="97" customFormat="1" ht="56.25" customHeight="1" x14ac:dyDescent="0.25">
      <c r="A143" s="263">
        <f>I143</f>
        <v>270</v>
      </c>
      <c r="B143" s="263"/>
      <c r="C143" s="263"/>
      <c r="D143" s="263"/>
      <c r="E143" s="263"/>
      <c r="F143" s="263"/>
      <c r="G143" s="263"/>
      <c r="H143" s="263">
        <f>I143</f>
        <v>270</v>
      </c>
      <c r="I143" s="263">
        <v>270</v>
      </c>
      <c r="J143" s="263">
        <f>K143</f>
        <v>990</v>
      </c>
      <c r="K143" s="263">
        <v>990</v>
      </c>
      <c r="L143" s="263"/>
      <c r="M143" s="263"/>
      <c r="N143" s="263"/>
      <c r="O143" s="263"/>
      <c r="P143" s="263"/>
      <c r="Q143" s="263"/>
      <c r="R143" s="263"/>
      <c r="S143" s="263"/>
      <c r="T143" s="1398" t="s">
        <v>171</v>
      </c>
      <c r="U143" s="80" t="s">
        <v>172</v>
      </c>
      <c r="V143" s="330"/>
      <c r="W143" s="330"/>
      <c r="X143" s="330"/>
      <c r="Y143" s="315"/>
      <c r="Z143" s="331"/>
      <c r="AA143" s="332"/>
      <c r="AB143" s="1326" t="s">
        <v>19</v>
      </c>
      <c r="AC143" s="328"/>
      <c r="AD143" s="329"/>
      <c r="AE143" s="284">
        <f>AE144+AE150</f>
        <v>204849.53</v>
      </c>
      <c r="AF143" s="284">
        <f>AF144+AF150</f>
        <v>1172.69</v>
      </c>
      <c r="AG143" s="284">
        <f>AG144</f>
        <v>0</v>
      </c>
      <c r="AH143" s="78">
        <v>0</v>
      </c>
      <c r="AI143" s="78">
        <v>0</v>
      </c>
      <c r="AJ143" s="78">
        <v>0</v>
      </c>
      <c r="AK143" s="78">
        <v>0</v>
      </c>
      <c r="AL143" s="78">
        <v>0</v>
      </c>
      <c r="AM143" s="78">
        <v>0</v>
      </c>
      <c r="AN143" s="78">
        <v>0</v>
      </c>
      <c r="AO143" s="78">
        <v>0</v>
      </c>
    </row>
    <row r="144" spans="1:41" s="97" customFormat="1" ht="15.75" customHeight="1" x14ac:dyDescent="0.25">
      <c r="A144" s="263">
        <f>I144</f>
        <v>388</v>
      </c>
      <c r="B144" s="263"/>
      <c r="C144" s="263"/>
      <c r="D144" s="263"/>
      <c r="E144" s="263"/>
      <c r="F144" s="263"/>
      <c r="G144" s="263"/>
      <c r="H144" s="263">
        <f>I144</f>
        <v>388</v>
      </c>
      <c r="I144" s="263">
        <v>388</v>
      </c>
      <c r="J144" s="263">
        <f>K144</f>
        <v>948</v>
      </c>
      <c r="K144" s="263">
        <v>948</v>
      </c>
      <c r="L144" s="263"/>
      <c r="M144" s="263"/>
      <c r="N144" s="263"/>
      <c r="O144" s="263"/>
      <c r="P144" s="263"/>
      <c r="Q144" s="263"/>
      <c r="R144" s="263"/>
      <c r="S144" s="263"/>
      <c r="T144" s="1488"/>
      <c r="U144" s="42" t="s">
        <v>15</v>
      </c>
      <c r="V144" s="334"/>
      <c r="W144" s="334"/>
      <c r="X144" s="334"/>
      <c r="Y144" s="312"/>
      <c r="Z144" s="335"/>
      <c r="AA144" s="336"/>
      <c r="AB144" s="1328"/>
      <c r="AC144" s="500"/>
      <c r="AD144" s="337"/>
      <c r="AE144" s="72">
        <v>9364.5300000000007</v>
      </c>
      <c r="AF144" s="83">
        <v>1172.69</v>
      </c>
      <c r="AG144" s="83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</row>
    <row r="145" spans="1:41" s="266" customFormat="1" ht="15.75" hidden="1" customHeight="1" x14ac:dyDescent="0.25">
      <c r="A145" s="263">
        <f>I145</f>
        <v>975</v>
      </c>
      <c r="B145" s="263"/>
      <c r="C145" s="263"/>
      <c r="D145" s="263"/>
      <c r="E145" s="263"/>
      <c r="F145" s="263"/>
      <c r="G145" s="263"/>
      <c r="H145" s="263">
        <f>I145</f>
        <v>975</v>
      </c>
      <c r="I145" s="263">
        <f>292.5+682.5</f>
        <v>975</v>
      </c>
      <c r="J145" s="263">
        <f>K145</f>
        <v>975</v>
      </c>
      <c r="K145" s="263">
        <v>975</v>
      </c>
      <c r="L145" s="263"/>
      <c r="M145" s="263"/>
      <c r="N145" s="263"/>
      <c r="O145" s="263"/>
      <c r="P145" s="263"/>
      <c r="Q145" s="263"/>
      <c r="R145" s="263"/>
      <c r="S145" s="263"/>
      <c r="T145" s="324"/>
      <c r="U145" s="252" t="s">
        <v>233</v>
      </c>
      <c r="V145" s="253"/>
      <c r="W145" s="253"/>
      <c r="X145" s="253"/>
      <c r="Y145" s="363"/>
      <c r="Z145" s="255"/>
      <c r="AA145" s="256"/>
      <c r="AB145" s="368"/>
      <c r="AC145" s="533"/>
      <c r="AD145" s="534"/>
      <c r="AE145" s="258"/>
      <c r="AF145" s="83"/>
      <c r="AG145" s="259">
        <f>AO145</f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</row>
    <row r="146" spans="1:41" s="285" customFormat="1" ht="63" hidden="1" customHeight="1" x14ac:dyDescent="0.25">
      <c r="A146" s="47">
        <f t="shared" ref="A146:R146" si="77">A147</f>
        <v>1655.0219999999999</v>
      </c>
      <c r="B146" s="47">
        <f t="shared" si="77"/>
        <v>0</v>
      </c>
      <c r="C146" s="47">
        <f t="shared" si="77"/>
        <v>0</v>
      </c>
      <c r="D146" s="47">
        <f t="shared" si="77"/>
        <v>0</v>
      </c>
      <c r="E146" s="47">
        <f t="shared" si="77"/>
        <v>0</v>
      </c>
      <c r="F146" s="47">
        <f t="shared" si="77"/>
        <v>0</v>
      </c>
      <c r="G146" s="47">
        <f t="shared" si="77"/>
        <v>0</v>
      </c>
      <c r="H146" s="47">
        <f t="shared" si="77"/>
        <v>1655.0219999999999</v>
      </c>
      <c r="I146" s="47">
        <f t="shared" si="77"/>
        <v>1655.0219999999999</v>
      </c>
      <c r="J146" s="47">
        <f t="shared" si="77"/>
        <v>2775.0219999999999</v>
      </c>
      <c r="K146" s="47">
        <f t="shared" si="77"/>
        <v>2775.0219999999999</v>
      </c>
      <c r="L146" s="47">
        <f t="shared" si="77"/>
        <v>0</v>
      </c>
      <c r="M146" s="47">
        <f t="shared" si="77"/>
        <v>0</v>
      </c>
      <c r="N146" s="47">
        <f t="shared" si="77"/>
        <v>0</v>
      </c>
      <c r="O146" s="47">
        <f t="shared" si="77"/>
        <v>0</v>
      </c>
      <c r="P146" s="47">
        <f t="shared" si="77"/>
        <v>0</v>
      </c>
      <c r="Q146" s="47">
        <f t="shared" si="77"/>
        <v>0</v>
      </c>
      <c r="R146" s="47">
        <f t="shared" si="77"/>
        <v>0</v>
      </c>
      <c r="S146" s="294"/>
      <c r="T146" s="324"/>
      <c r="U146" s="252" t="s">
        <v>262</v>
      </c>
      <c r="V146" s="253"/>
      <c r="W146" s="253"/>
      <c r="X146" s="253"/>
      <c r="Y146" s="363"/>
      <c r="Z146" s="255"/>
      <c r="AA146" s="256"/>
      <c r="AB146" s="368"/>
      <c r="AC146" s="533"/>
      <c r="AD146" s="534"/>
      <c r="AE146" s="258"/>
      <c r="AF146" s="259"/>
      <c r="AG146" s="259">
        <f>AI146+AK146+AM146</f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</row>
    <row r="147" spans="1:41" s="285" customFormat="1" ht="15.75" hidden="1" customHeight="1" x14ac:dyDescent="0.25">
      <c r="A147" s="50">
        <f t="shared" ref="A147:M147" si="78">SUM(A148:A150)</f>
        <v>1655.0219999999999</v>
      </c>
      <c r="B147" s="50">
        <f t="shared" si="78"/>
        <v>0</v>
      </c>
      <c r="C147" s="50">
        <f t="shared" si="78"/>
        <v>0</v>
      </c>
      <c r="D147" s="50">
        <f t="shared" si="78"/>
        <v>0</v>
      </c>
      <c r="E147" s="50">
        <f t="shared" si="78"/>
        <v>0</v>
      </c>
      <c r="F147" s="50">
        <f t="shared" si="78"/>
        <v>0</v>
      </c>
      <c r="G147" s="50">
        <f t="shared" si="78"/>
        <v>0</v>
      </c>
      <c r="H147" s="50">
        <f t="shared" si="78"/>
        <v>1655.0219999999999</v>
      </c>
      <c r="I147" s="50">
        <f t="shared" si="78"/>
        <v>1655.0219999999999</v>
      </c>
      <c r="J147" s="50">
        <f t="shared" si="78"/>
        <v>2775.0219999999999</v>
      </c>
      <c r="K147" s="50">
        <f t="shared" si="78"/>
        <v>2775.0219999999999</v>
      </c>
      <c r="L147" s="50">
        <f t="shared" si="78"/>
        <v>0</v>
      </c>
      <c r="M147" s="50">
        <f t="shared" si="78"/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/>
      <c r="T147" s="324"/>
      <c r="U147" s="252" t="s">
        <v>263</v>
      </c>
      <c r="V147" s="253"/>
      <c r="W147" s="253"/>
      <c r="X147" s="253"/>
      <c r="Y147" s="363"/>
      <c r="Z147" s="255"/>
      <c r="AA147" s="256"/>
      <c r="AB147" s="368"/>
      <c r="AC147" s="533"/>
      <c r="AD147" s="534"/>
      <c r="AE147" s="258"/>
      <c r="AF147" s="259"/>
      <c r="AG147" s="259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</row>
    <row r="148" spans="1:41" s="97" customFormat="1" ht="15.75" hidden="1" customHeight="1" x14ac:dyDescent="0.25">
      <c r="A148" s="263">
        <f>I148</f>
        <v>510</v>
      </c>
      <c r="B148" s="263"/>
      <c r="C148" s="263"/>
      <c r="D148" s="263"/>
      <c r="E148" s="263"/>
      <c r="F148" s="263"/>
      <c r="G148" s="263"/>
      <c r="H148" s="263">
        <f>I148</f>
        <v>510</v>
      </c>
      <c r="I148" s="263">
        <f>270+240</f>
        <v>510</v>
      </c>
      <c r="J148" s="263">
        <f>K148</f>
        <v>990</v>
      </c>
      <c r="K148" s="263">
        <v>990</v>
      </c>
      <c r="L148" s="263"/>
      <c r="M148" s="263"/>
      <c r="N148" s="263"/>
      <c r="O148" s="263"/>
      <c r="P148" s="263"/>
      <c r="Q148" s="263"/>
      <c r="R148" s="263"/>
      <c r="S148" s="263"/>
      <c r="T148" s="324"/>
      <c r="U148" s="252" t="s">
        <v>292</v>
      </c>
      <c r="V148" s="253"/>
      <c r="W148" s="253"/>
      <c r="X148" s="253"/>
      <c r="Y148" s="254"/>
      <c r="Z148" s="255"/>
      <c r="AA148" s="256"/>
      <c r="AB148" s="368"/>
      <c r="AC148" s="98"/>
      <c r="AD148" s="257"/>
      <c r="AE148" s="258"/>
      <c r="AF148" s="259"/>
      <c r="AG148" s="259">
        <f>AO148</f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</row>
    <row r="149" spans="1:41" s="97" customFormat="1" ht="15.75" hidden="1" customHeight="1" x14ac:dyDescent="0.25">
      <c r="A149" s="263">
        <f>I149</f>
        <v>320</v>
      </c>
      <c r="B149" s="263"/>
      <c r="C149" s="263"/>
      <c r="D149" s="263"/>
      <c r="E149" s="263"/>
      <c r="F149" s="263"/>
      <c r="G149" s="263"/>
      <c r="H149" s="263">
        <f>I149</f>
        <v>320</v>
      </c>
      <c r="I149" s="263">
        <v>320</v>
      </c>
      <c r="J149" s="263">
        <f>K149</f>
        <v>960</v>
      </c>
      <c r="K149" s="263">
        <v>960</v>
      </c>
      <c r="L149" s="263"/>
      <c r="M149" s="263"/>
      <c r="N149" s="263"/>
      <c r="O149" s="263"/>
      <c r="P149" s="263"/>
      <c r="Q149" s="263"/>
      <c r="R149" s="263"/>
      <c r="S149" s="263"/>
      <c r="T149" s="324"/>
      <c r="U149" s="252" t="s">
        <v>293</v>
      </c>
      <c r="V149" s="253"/>
      <c r="W149" s="253"/>
      <c r="X149" s="253"/>
      <c r="Y149" s="254"/>
      <c r="Z149" s="255"/>
      <c r="AA149" s="256"/>
      <c r="AB149" s="368"/>
      <c r="AC149" s="98"/>
      <c r="AD149" s="257"/>
      <c r="AE149" s="258"/>
      <c r="AF149" s="259"/>
      <c r="AG149" s="259">
        <f>AO149</f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</row>
    <row r="150" spans="1:41" s="97" customFormat="1" ht="15.75" customHeight="1" x14ac:dyDescent="0.25">
      <c r="A150" s="263">
        <f>I150</f>
        <v>825.02200000000005</v>
      </c>
      <c r="B150" s="263"/>
      <c r="C150" s="263"/>
      <c r="D150" s="263"/>
      <c r="E150" s="263"/>
      <c r="F150" s="263"/>
      <c r="G150" s="263"/>
      <c r="H150" s="263">
        <f>I150</f>
        <v>825.02200000000005</v>
      </c>
      <c r="I150" s="263">
        <f>805.022+20</f>
        <v>825.02200000000005</v>
      </c>
      <c r="J150" s="263">
        <f>K150</f>
        <v>825.02200000000005</v>
      </c>
      <c r="K150" s="263">
        <f>805.022+20</f>
        <v>825.02200000000005</v>
      </c>
      <c r="L150" s="263"/>
      <c r="M150" s="263"/>
      <c r="N150" s="263"/>
      <c r="O150" s="263"/>
      <c r="P150" s="263"/>
      <c r="Q150" s="263"/>
      <c r="R150" s="263"/>
      <c r="S150" s="263"/>
      <c r="T150" s="507"/>
      <c r="U150" s="42" t="s">
        <v>16</v>
      </c>
      <c r="V150" s="334"/>
      <c r="W150" s="334"/>
      <c r="X150" s="334"/>
      <c r="Y150" s="312"/>
      <c r="Z150" s="335"/>
      <c r="AA150" s="336"/>
      <c r="AB150" s="516" t="s">
        <v>10</v>
      </c>
      <c r="AC150" s="500"/>
      <c r="AD150" s="337"/>
      <c r="AE150" s="72">
        <v>195485</v>
      </c>
      <c r="AF150" s="72">
        <v>0</v>
      </c>
      <c r="AG150" s="83"/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</row>
    <row r="151" spans="1:41" ht="57" customHeight="1" x14ac:dyDescent="0.25">
      <c r="A151" s="349">
        <f t="shared" ref="A151:R151" si="79">A152</f>
        <v>0</v>
      </c>
      <c r="B151" s="349">
        <f t="shared" si="79"/>
        <v>0</v>
      </c>
      <c r="C151" s="349">
        <f t="shared" si="79"/>
        <v>0</v>
      </c>
      <c r="D151" s="349">
        <f t="shared" si="79"/>
        <v>0</v>
      </c>
      <c r="E151" s="349">
        <f t="shared" si="79"/>
        <v>0</v>
      </c>
      <c r="F151" s="349">
        <f t="shared" si="79"/>
        <v>0</v>
      </c>
      <c r="G151" s="349">
        <f t="shared" si="79"/>
        <v>0</v>
      </c>
      <c r="H151" s="349">
        <f t="shared" si="79"/>
        <v>0</v>
      </c>
      <c r="I151" s="349">
        <f t="shared" si="79"/>
        <v>0</v>
      </c>
      <c r="J151" s="349">
        <f t="shared" si="79"/>
        <v>0</v>
      </c>
      <c r="K151" s="349">
        <f t="shared" si="79"/>
        <v>0</v>
      </c>
      <c r="L151" s="349">
        <f t="shared" si="79"/>
        <v>0</v>
      </c>
      <c r="M151" s="349">
        <f t="shared" si="79"/>
        <v>0</v>
      </c>
      <c r="N151" s="349">
        <f t="shared" si="79"/>
        <v>0</v>
      </c>
      <c r="O151" s="349">
        <f t="shared" si="79"/>
        <v>0</v>
      </c>
      <c r="P151" s="349">
        <f t="shared" si="79"/>
        <v>0</v>
      </c>
      <c r="Q151" s="349">
        <f t="shared" si="79"/>
        <v>0</v>
      </c>
      <c r="R151" s="349">
        <f t="shared" si="79"/>
        <v>0</v>
      </c>
      <c r="S151" s="350" t="s">
        <v>207</v>
      </c>
      <c r="T151" s="1535" t="s">
        <v>24</v>
      </c>
      <c r="U151" s="1335" t="s">
        <v>206</v>
      </c>
      <c r="V151" s="1336"/>
      <c r="W151" s="1336"/>
      <c r="X151" s="1336"/>
      <c r="Y151" s="1336"/>
      <c r="Z151" s="1336"/>
      <c r="AA151" s="1337"/>
      <c r="AB151" s="23" t="s">
        <v>19</v>
      </c>
      <c r="AC151" s="500">
        <v>0</v>
      </c>
      <c r="AD151" s="500">
        <v>0</v>
      </c>
      <c r="AE151" s="22">
        <v>0</v>
      </c>
      <c r="AF151" s="47">
        <v>0</v>
      </c>
      <c r="AG151" s="47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</row>
    <row r="152" spans="1:41" ht="15.75" customHeight="1" x14ac:dyDescent="0.25">
      <c r="A152" s="50">
        <v>0</v>
      </c>
      <c r="B152" s="50">
        <v>0</v>
      </c>
      <c r="C152" s="50">
        <v>0</v>
      </c>
      <c r="D152" s="50">
        <v>0</v>
      </c>
      <c r="E152" s="50">
        <v>0</v>
      </c>
      <c r="F152" s="50">
        <v>0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50">
        <v>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/>
      <c r="T152" s="1535"/>
      <c r="U152" s="1338"/>
      <c r="V152" s="1339"/>
      <c r="W152" s="1339"/>
      <c r="X152" s="1339"/>
      <c r="Y152" s="1339"/>
      <c r="Z152" s="1339"/>
      <c r="AA152" s="1340"/>
      <c r="AB152" s="23" t="s">
        <v>20</v>
      </c>
      <c r="AC152" s="500">
        <f>AC155</f>
        <v>6379.79</v>
      </c>
      <c r="AD152" s="500">
        <f>AD155</f>
        <v>0</v>
      </c>
      <c r="AE152" s="47">
        <f>AE155+AE159+AE165</f>
        <v>13097.62</v>
      </c>
      <c r="AF152" s="47">
        <f>AF155+AF159+AF165</f>
        <v>193.54</v>
      </c>
      <c r="AG152" s="47">
        <f>AG155+AG159+AG165</f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</row>
    <row r="153" spans="1:41" ht="27.75" customHeight="1" x14ac:dyDescent="0.25">
      <c r="A153" s="349">
        <f t="shared" ref="A153:R153" si="80">A154</f>
        <v>0</v>
      </c>
      <c r="B153" s="349">
        <f t="shared" si="80"/>
        <v>0</v>
      </c>
      <c r="C153" s="349">
        <f t="shared" si="80"/>
        <v>0</v>
      </c>
      <c r="D153" s="349">
        <f t="shared" si="80"/>
        <v>0</v>
      </c>
      <c r="E153" s="349">
        <f t="shared" si="80"/>
        <v>0</v>
      </c>
      <c r="F153" s="349">
        <f t="shared" si="80"/>
        <v>0</v>
      </c>
      <c r="G153" s="349">
        <f t="shared" si="80"/>
        <v>0</v>
      </c>
      <c r="H153" s="349">
        <f t="shared" si="80"/>
        <v>0</v>
      </c>
      <c r="I153" s="349">
        <f t="shared" si="80"/>
        <v>0</v>
      </c>
      <c r="J153" s="349">
        <f t="shared" si="80"/>
        <v>0</v>
      </c>
      <c r="K153" s="349">
        <f t="shared" si="80"/>
        <v>0</v>
      </c>
      <c r="L153" s="349">
        <f t="shared" si="80"/>
        <v>0</v>
      </c>
      <c r="M153" s="349">
        <f t="shared" si="80"/>
        <v>0</v>
      </c>
      <c r="N153" s="349">
        <f t="shared" si="80"/>
        <v>0</v>
      </c>
      <c r="O153" s="349">
        <f t="shared" si="80"/>
        <v>0</v>
      </c>
      <c r="P153" s="349">
        <f t="shared" si="80"/>
        <v>0</v>
      </c>
      <c r="Q153" s="349">
        <f t="shared" si="80"/>
        <v>0</v>
      </c>
      <c r="R153" s="349">
        <f t="shared" si="80"/>
        <v>0</v>
      </c>
      <c r="S153" s="350" t="s">
        <v>207</v>
      </c>
      <c r="T153" s="1535"/>
      <c r="U153" s="1338"/>
      <c r="V153" s="1339"/>
      <c r="W153" s="1339"/>
      <c r="X153" s="1339"/>
      <c r="Y153" s="1339"/>
      <c r="Z153" s="1339"/>
      <c r="AA153" s="1340"/>
      <c r="AB153" s="15" t="s">
        <v>10</v>
      </c>
      <c r="AC153" s="500">
        <v>0</v>
      </c>
      <c r="AD153" s="500">
        <v>0</v>
      </c>
      <c r="AE153" s="22">
        <f>AE171+AE173</f>
        <v>2305.4499999999998</v>
      </c>
      <c r="AF153" s="22">
        <f>AF171+AF173</f>
        <v>0</v>
      </c>
      <c r="AG153" s="22">
        <f>AG171+AG173</f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</row>
    <row r="154" spans="1:41" ht="15.75" customHeight="1" x14ac:dyDescent="0.25">
      <c r="A154" s="50">
        <v>0</v>
      </c>
      <c r="B154" s="50">
        <v>0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/>
      <c r="T154" s="1535"/>
      <c r="U154" s="1341"/>
      <c r="V154" s="1342"/>
      <c r="W154" s="1342"/>
      <c r="X154" s="1342"/>
      <c r="Y154" s="1342"/>
      <c r="Z154" s="1342"/>
      <c r="AA154" s="1343"/>
      <c r="AB154" s="15" t="s">
        <v>9</v>
      </c>
      <c r="AC154" s="500">
        <v>0</v>
      </c>
      <c r="AD154" s="500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</row>
    <row r="155" spans="1:41" ht="28.5" customHeight="1" x14ac:dyDescent="0.25">
      <c r="A155" s="22">
        <v>0</v>
      </c>
      <c r="B155" s="22">
        <v>0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95"/>
      <c r="T155" s="1450" t="s">
        <v>30</v>
      </c>
      <c r="U155" s="77" t="s">
        <v>173</v>
      </c>
      <c r="V155" s="1350">
        <v>300</v>
      </c>
      <c r="W155" s="1350">
        <v>570</v>
      </c>
      <c r="X155" s="1350"/>
      <c r="Y155" s="1350"/>
      <c r="Z155" s="525"/>
      <c r="AA155" s="525"/>
      <c r="AB155" s="1463" t="s">
        <v>20</v>
      </c>
      <c r="AC155" s="1384">
        <v>6379.79</v>
      </c>
      <c r="AD155" s="3">
        <v>0</v>
      </c>
      <c r="AE155" s="79">
        <f>AE156+AE158</f>
        <v>5597.58</v>
      </c>
      <c r="AF155" s="79">
        <f>AF156+AF158</f>
        <v>193.54</v>
      </c>
      <c r="AG155" s="79">
        <f>AG156+AG158</f>
        <v>0</v>
      </c>
      <c r="AH155" s="78">
        <v>0</v>
      </c>
      <c r="AI155" s="78">
        <v>0</v>
      </c>
      <c r="AJ155" s="78">
        <v>0</v>
      </c>
      <c r="AK155" s="78">
        <v>0</v>
      </c>
      <c r="AL155" s="78">
        <v>0</v>
      </c>
      <c r="AM155" s="78">
        <v>0</v>
      </c>
      <c r="AN155" s="78">
        <v>0</v>
      </c>
      <c r="AO155" s="78">
        <v>0</v>
      </c>
    </row>
    <row r="156" spans="1:41" ht="14.25" customHeight="1" x14ac:dyDescent="0.25">
      <c r="A156" s="22">
        <f t="shared" ref="A156:K156" si="81">A159</f>
        <v>7.4539999999999997</v>
      </c>
      <c r="B156" s="22">
        <f t="shared" si="81"/>
        <v>0</v>
      </c>
      <c r="C156" s="22">
        <f t="shared" si="81"/>
        <v>0</v>
      </c>
      <c r="D156" s="22">
        <f t="shared" si="81"/>
        <v>0</v>
      </c>
      <c r="E156" s="22">
        <f t="shared" si="81"/>
        <v>0</v>
      </c>
      <c r="F156" s="22">
        <f t="shared" si="81"/>
        <v>7.4539999999999997</v>
      </c>
      <c r="G156" s="22">
        <f t="shared" si="81"/>
        <v>7.4539999999999997</v>
      </c>
      <c r="H156" s="22">
        <f t="shared" si="81"/>
        <v>0</v>
      </c>
      <c r="I156" s="22">
        <f t="shared" si="81"/>
        <v>0</v>
      </c>
      <c r="J156" s="22">
        <f t="shared" si="81"/>
        <v>7.45</v>
      </c>
      <c r="K156" s="22">
        <f t="shared" si="81"/>
        <v>0</v>
      </c>
      <c r="L156" s="22">
        <f t="shared" ref="L156:R156" si="82">L159+L179+L182+L183+L185</f>
        <v>0</v>
      </c>
      <c r="M156" s="22">
        <f t="shared" si="82"/>
        <v>0</v>
      </c>
      <c r="N156" s="22" t="e">
        <f t="shared" si="82"/>
        <v>#REF!</v>
      </c>
      <c r="O156" s="22" t="e">
        <f>O159+O179+O182+O183+O185</f>
        <v>#REF!</v>
      </c>
      <c r="P156" s="22" t="e">
        <f t="shared" si="82"/>
        <v>#REF!</v>
      </c>
      <c r="Q156" s="22">
        <f t="shared" si="82"/>
        <v>0</v>
      </c>
      <c r="R156" s="22">
        <f t="shared" si="82"/>
        <v>0</v>
      </c>
      <c r="S156" s="295"/>
      <c r="T156" s="1399"/>
      <c r="U156" s="1" t="s">
        <v>15</v>
      </c>
      <c r="V156" s="1351"/>
      <c r="W156" s="1351"/>
      <c r="X156" s="1351"/>
      <c r="Y156" s="1351"/>
      <c r="Z156" s="517">
        <v>2019</v>
      </c>
      <c r="AA156" s="517">
        <v>2019</v>
      </c>
      <c r="AB156" s="1464"/>
      <c r="AC156" s="1468"/>
      <c r="AD156" s="3"/>
      <c r="AE156" s="47">
        <v>5597.58</v>
      </c>
      <c r="AF156" s="447">
        <v>193.54</v>
      </c>
      <c r="AG156" s="50">
        <v>0</v>
      </c>
      <c r="AH156" s="22">
        <f>AH159</f>
        <v>0</v>
      </c>
      <c r="AI156" s="22">
        <f>AI159</f>
        <v>0</v>
      </c>
      <c r="AJ156" s="22">
        <f>AJ159</f>
        <v>0</v>
      </c>
      <c r="AK156" s="22">
        <f>AK159</f>
        <v>0</v>
      </c>
      <c r="AL156" s="22">
        <v>0</v>
      </c>
      <c r="AM156" s="22">
        <v>0</v>
      </c>
      <c r="AN156" s="22">
        <v>0</v>
      </c>
      <c r="AO156" s="22">
        <v>0</v>
      </c>
    </row>
    <row r="157" spans="1:41" ht="26.25" hidden="1" customHeight="1" x14ac:dyDescent="0.25">
      <c r="A157" s="22">
        <v>0</v>
      </c>
      <c r="B157" s="22">
        <v>0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95"/>
      <c r="T157" s="1399"/>
      <c r="U157" s="92"/>
      <c r="V157" s="1351"/>
      <c r="W157" s="1351"/>
      <c r="X157" s="1351"/>
      <c r="Y157" s="1351"/>
      <c r="Z157" s="104"/>
      <c r="AA157" s="104"/>
      <c r="AB157" s="1464"/>
      <c r="AC157" s="1468"/>
      <c r="AD157" s="95"/>
      <c r="AE157" s="96"/>
      <c r="AF157" s="50"/>
      <c r="AG157" s="263"/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</row>
    <row r="158" spans="1:41" ht="15.75" hidden="1" customHeight="1" x14ac:dyDescent="0.25">
      <c r="A158" s="22">
        <v>0</v>
      </c>
      <c r="B158" s="22">
        <v>0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95"/>
      <c r="T158" s="1488"/>
      <c r="U158" s="525" t="s">
        <v>16</v>
      </c>
      <c r="V158" s="1352"/>
      <c r="W158" s="1352"/>
      <c r="X158" s="1352"/>
      <c r="Y158" s="1352"/>
      <c r="Z158" s="517">
        <v>2021</v>
      </c>
      <c r="AA158" s="517">
        <v>2021</v>
      </c>
      <c r="AB158" s="1465"/>
      <c r="AC158" s="1385"/>
      <c r="AD158" s="3"/>
      <c r="AE158" s="47">
        <v>0</v>
      </c>
      <c r="AF158" s="50">
        <v>0</v>
      </c>
      <c r="AG158" s="50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</row>
    <row r="159" spans="1:41" ht="57.75" customHeight="1" x14ac:dyDescent="0.25">
      <c r="A159" s="79">
        <f>A162+A160</f>
        <v>7.4539999999999997</v>
      </c>
      <c r="B159" s="79">
        <f t="shared" ref="B159:M159" si="83">B162+B160</f>
        <v>0</v>
      </c>
      <c r="C159" s="79">
        <f t="shared" si="83"/>
        <v>0</v>
      </c>
      <c r="D159" s="79">
        <f t="shared" si="83"/>
        <v>0</v>
      </c>
      <c r="E159" s="79">
        <f t="shared" si="83"/>
        <v>0</v>
      </c>
      <c r="F159" s="79">
        <f t="shared" si="83"/>
        <v>7.4539999999999997</v>
      </c>
      <c r="G159" s="79">
        <f t="shared" si="83"/>
        <v>7.4539999999999997</v>
      </c>
      <c r="H159" s="79">
        <f t="shared" si="83"/>
        <v>0</v>
      </c>
      <c r="I159" s="79">
        <f t="shared" si="83"/>
        <v>0</v>
      </c>
      <c r="J159" s="79">
        <f t="shared" si="83"/>
        <v>7.45</v>
      </c>
      <c r="K159" s="79">
        <f t="shared" si="83"/>
        <v>0</v>
      </c>
      <c r="L159" s="79">
        <f t="shared" si="83"/>
        <v>0</v>
      </c>
      <c r="M159" s="79">
        <f t="shared" si="83"/>
        <v>0</v>
      </c>
      <c r="N159" s="79" t="e">
        <f>#REF!-A159</f>
        <v>#REF!</v>
      </c>
      <c r="O159" s="79" t="e">
        <f>N159</f>
        <v>#REF!</v>
      </c>
      <c r="P159" s="79">
        <v>0</v>
      </c>
      <c r="Q159" s="79">
        <f>Q162</f>
        <v>0</v>
      </c>
      <c r="R159" s="79">
        <f>R162</f>
        <v>0</v>
      </c>
      <c r="S159" s="301"/>
      <c r="T159" s="1450" t="s">
        <v>174</v>
      </c>
      <c r="U159" s="77" t="s">
        <v>175</v>
      </c>
      <c r="V159" s="133"/>
      <c r="W159" s="133"/>
      <c r="X159" s="133"/>
      <c r="Y159" s="133"/>
      <c r="Z159" s="525"/>
      <c r="AA159" s="525"/>
      <c r="AB159" s="1463" t="s">
        <v>20</v>
      </c>
      <c r="AC159" s="519"/>
      <c r="AD159" s="3"/>
      <c r="AE159" s="79">
        <f>AE160</f>
        <v>3750.02</v>
      </c>
      <c r="AF159" s="79">
        <f>AF160</f>
        <v>0</v>
      </c>
      <c r="AG159" s="79">
        <f>AG160</f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78">
        <v>0</v>
      </c>
    </row>
    <row r="160" spans="1:41" s="285" customFormat="1" ht="19.5" customHeight="1" x14ac:dyDescent="0.25">
      <c r="A160" s="4">
        <f t="shared" ref="A160:R160" si="84">A161</f>
        <v>7.4539999999999997</v>
      </c>
      <c r="B160" s="4">
        <f t="shared" si="84"/>
        <v>0</v>
      </c>
      <c r="C160" s="4">
        <f t="shared" si="84"/>
        <v>0</v>
      </c>
      <c r="D160" s="4">
        <f t="shared" si="84"/>
        <v>0</v>
      </c>
      <c r="E160" s="4">
        <f t="shared" si="84"/>
        <v>0</v>
      </c>
      <c r="F160" s="4">
        <f t="shared" si="84"/>
        <v>7.4539999999999997</v>
      </c>
      <c r="G160" s="4">
        <f t="shared" si="84"/>
        <v>7.4539999999999997</v>
      </c>
      <c r="H160" s="4">
        <f t="shared" si="84"/>
        <v>0</v>
      </c>
      <c r="I160" s="4">
        <f t="shared" si="84"/>
        <v>0</v>
      </c>
      <c r="J160" s="4">
        <f t="shared" si="84"/>
        <v>7.45</v>
      </c>
      <c r="K160" s="4">
        <f t="shared" si="84"/>
        <v>0</v>
      </c>
      <c r="L160" s="4">
        <f t="shared" si="84"/>
        <v>0</v>
      </c>
      <c r="M160" s="4">
        <f t="shared" si="84"/>
        <v>0</v>
      </c>
      <c r="N160" s="4">
        <f t="shared" si="84"/>
        <v>0</v>
      </c>
      <c r="O160" s="4">
        <f t="shared" si="84"/>
        <v>0</v>
      </c>
      <c r="P160" s="4">
        <f t="shared" si="84"/>
        <v>0</v>
      </c>
      <c r="Q160" s="4">
        <f t="shared" si="84"/>
        <v>0</v>
      </c>
      <c r="R160" s="4">
        <f t="shared" si="84"/>
        <v>0</v>
      </c>
      <c r="S160" s="375"/>
      <c r="T160" s="1488"/>
      <c r="U160" s="42" t="s">
        <v>15</v>
      </c>
      <c r="V160" s="133"/>
      <c r="W160" s="133"/>
      <c r="X160" s="133"/>
      <c r="Y160" s="133"/>
      <c r="Z160" s="313"/>
      <c r="AA160" s="314"/>
      <c r="AB160" s="1465"/>
      <c r="AC160" s="519"/>
      <c r="AD160" s="318"/>
      <c r="AE160" s="47">
        <v>3750.02</v>
      </c>
      <c r="AF160" s="47">
        <v>0</v>
      </c>
      <c r="AG160" s="50">
        <f>SUM(AG161:AG164)</f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</row>
    <row r="161" spans="1:41" s="266" customFormat="1" ht="15.75" hidden="1" customHeight="1" x14ac:dyDescent="0.25">
      <c r="A161" s="263">
        <f>G161</f>
        <v>7.4539999999999997</v>
      </c>
      <c r="B161" s="50"/>
      <c r="C161" s="50"/>
      <c r="D161" s="263"/>
      <c r="E161" s="263"/>
      <c r="F161" s="263">
        <f>G161</f>
        <v>7.4539999999999997</v>
      </c>
      <c r="G161" s="263">
        <v>7.4539999999999997</v>
      </c>
      <c r="H161" s="263"/>
      <c r="I161" s="263"/>
      <c r="J161" s="263">
        <v>7.45</v>
      </c>
      <c r="K161" s="263">
        <v>0</v>
      </c>
      <c r="L161" s="263"/>
      <c r="M161" s="263"/>
      <c r="N161" s="263"/>
      <c r="O161" s="263"/>
      <c r="P161" s="263"/>
      <c r="Q161" s="263"/>
      <c r="R161" s="263"/>
      <c r="S161" s="263"/>
      <c r="T161" s="366"/>
      <c r="U161" s="252" t="s">
        <v>234</v>
      </c>
      <c r="V161" s="369"/>
      <c r="W161" s="369"/>
      <c r="X161" s="369"/>
      <c r="Y161" s="369"/>
      <c r="Z161" s="363"/>
      <c r="AA161" s="364"/>
      <c r="AB161" s="370"/>
      <c r="AC161" s="371"/>
      <c r="AD161" s="372"/>
      <c r="AE161" s="96"/>
      <c r="AF161" s="47"/>
      <c r="AG161" s="263">
        <f>AO161</f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</row>
    <row r="162" spans="1:41" ht="18" hidden="1" customHeight="1" x14ac:dyDescent="0.25">
      <c r="A162" s="4">
        <v>0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375"/>
      <c r="T162" s="366"/>
      <c r="U162" s="252" t="s">
        <v>235</v>
      </c>
      <c r="V162" s="369"/>
      <c r="W162" s="369"/>
      <c r="X162" s="369"/>
      <c r="Y162" s="369"/>
      <c r="Z162" s="363"/>
      <c r="AA162" s="364"/>
      <c r="AB162" s="370"/>
      <c r="AC162" s="371"/>
      <c r="AD162" s="372"/>
      <c r="AE162" s="96"/>
      <c r="AF162" s="47"/>
      <c r="AG162" s="263">
        <f>AO162</f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</row>
    <row r="163" spans="1:41" ht="38.25" hidden="1" customHeight="1" x14ac:dyDescent="0.25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T163" s="366"/>
      <c r="U163" s="252" t="s">
        <v>236</v>
      </c>
      <c r="V163" s="369"/>
      <c r="W163" s="369"/>
      <c r="X163" s="369"/>
      <c r="Y163" s="369"/>
      <c r="Z163" s="363"/>
      <c r="AA163" s="364"/>
      <c r="AB163" s="370"/>
      <c r="AC163" s="371"/>
      <c r="AD163" s="372"/>
      <c r="AE163" s="96"/>
      <c r="AF163" s="47"/>
      <c r="AG163" s="263">
        <f>AO163</f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</row>
    <row r="164" spans="1:41" ht="38.25" hidden="1" customHeight="1" x14ac:dyDescent="0.25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T164" s="366"/>
      <c r="U164" s="252" t="s">
        <v>237</v>
      </c>
      <c r="V164" s="369"/>
      <c r="W164" s="369"/>
      <c r="X164" s="369"/>
      <c r="Y164" s="369"/>
      <c r="Z164" s="363"/>
      <c r="AA164" s="364"/>
      <c r="AB164" s="370"/>
      <c r="AC164" s="371"/>
      <c r="AD164" s="372"/>
      <c r="AE164" s="96"/>
      <c r="AF164" s="47"/>
      <c r="AG164" s="263">
        <f>AO164</f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</row>
    <row r="165" spans="1:41" ht="67.5" customHeight="1" x14ac:dyDescent="0.25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T165" s="521" t="s">
        <v>176</v>
      </c>
      <c r="U165" s="77" t="s">
        <v>177</v>
      </c>
      <c r="V165" s="133"/>
      <c r="W165" s="133"/>
      <c r="X165" s="133"/>
      <c r="Y165" s="133"/>
      <c r="Z165" s="525"/>
      <c r="AA165" s="525"/>
      <c r="AB165" s="1463" t="s">
        <v>20</v>
      </c>
      <c r="AC165" s="519"/>
      <c r="AD165" s="3"/>
      <c r="AE165" s="79">
        <f>AE166</f>
        <v>3750.02</v>
      </c>
      <c r="AF165" s="79">
        <f>AF166</f>
        <v>0</v>
      </c>
      <c r="AG165" s="79">
        <f>AG166</f>
        <v>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</row>
    <row r="166" spans="1:41" s="97" customFormat="1" ht="15.75" customHeight="1" x14ac:dyDescent="0.25">
      <c r="A166" s="265"/>
      <c r="B166" s="74"/>
      <c r="C166" s="74"/>
      <c r="D166" s="265"/>
      <c r="E166" s="265"/>
      <c r="F166" s="265"/>
      <c r="G166" s="265"/>
      <c r="H166" s="74"/>
      <c r="I166" s="74"/>
      <c r="J166" s="265"/>
      <c r="K166" s="265"/>
      <c r="L166" s="265"/>
      <c r="M166" s="265"/>
      <c r="N166" s="265"/>
      <c r="O166" s="265"/>
      <c r="P166" s="265"/>
      <c r="Q166" s="265"/>
      <c r="R166" s="265"/>
      <c r="S166" s="306"/>
      <c r="T166" s="527"/>
      <c r="U166" s="42" t="s">
        <v>15</v>
      </c>
      <c r="V166" s="133"/>
      <c r="W166" s="133"/>
      <c r="X166" s="133"/>
      <c r="Y166" s="133"/>
      <c r="Z166" s="313"/>
      <c r="AA166" s="314"/>
      <c r="AB166" s="1465"/>
      <c r="AC166" s="519"/>
      <c r="AD166" s="318"/>
      <c r="AE166" s="47">
        <v>3750.02</v>
      </c>
      <c r="AF166" s="47">
        <v>0</v>
      </c>
      <c r="AG166" s="50">
        <f>SUM(AG167:AG170)</f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</row>
    <row r="167" spans="1:41" s="97" customFormat="1" ht="15.75" hidden="1" customHeight="1" x14ac:dyDescent="0.25">
      <c r="A167" s="265"/>
      <c r="B167" s="74"/>
      <c r="C167" s="74"/>
      <c r="D167" s="265"/>
      <c r="E167" s="265"/>
      <c r="F167" s="265"/>
      <c r="G167" s="265"/>
      <c r="H167" s="74"/>
      <c r="I167" s="74"/>
      <c r="J167" s="265"/>
      <c r="K167" s="265"/>
      <c r="L167" s="265"/>
      <c r="M167" s="265"/>
      <c r="N167" s="265"/>
      <c r="O167" s="265"/>
      <c r="P167" s="265"/>
      <c r="Q167" s="265"/>
      <c r="R167" s="265"/>
      <c r="S167" s="306"/>
      <c r="T167" s="366"/>
      <c r="U167" s="252" t="s">
        <v>238</v>
      </c>
      <c r="V167" s="369"/>
      <c r="W167" s="369"/>
      <c r="X167" s="369"/>
      <c r="Y167" s="369"/>
      <c r="Z167" s="363"/>
      <c r="AA167" s="364"/>
      <c r="AB167" s="370"/>
      <c r="AC167" s="371"/>
      <c r="AD167" s="372"/>
      <c r="AE167" s="96"/>
      <c r="AF167" s="47"/>
      <c r="AG167" s="263">
        <f>AO167</f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</row>
    <row r="168" spans="1:41" ht="54" hidden="1" customHeight="1" x14ac:dyDescent="0.25">
      <c r="A168" s="22">
        <v>1</v>
      </c>
      <c r="B168" s="22">
        <v>2</v>
      </c>
      <c r="C168" s="22">
        <v>3</v>
      </c>
      <c r="D168" s="22">
        <v>4</v>
      </c>
      <c r="E168" s="22">
        <v>5</v>
      </c>
      <c r="F168" s="22">
        <v>6</v>
      </c>
      <c r="G168" s="22">
        <v>7</v>
      </c>
      <c r="H168" s="22">
        <v>8</v>
      </c>
      <c r="I168" s="22">
        <v>9</v>
      </c>
      <c r="J168" s="22">
        <v>10</v>
      </c>
      <c r="K168" s="22">
        <v>11</v>
      </c>
      <c r="L168" s="22">
        <v>12</v>
      </c>
      <c r="M168" s="22">
        <v>13</v>
      </c>
      <c r="N168" s="22">
        <v>14</v>
      </c>
      <c r="O168" s="22">
        <v>15</v>
      </c>
      <c r="P168" s="22">
        <v>16</v>
      </c>
      <c r="Q168" s="22">
        <v>17</v>
      </c>
      <c r="R168" s="22">
        <v>18</v>
      </c>
      <c r="S168" s="22">
        <v>19</v>
      </c>
      <c r="T168" s="366"/>
      <c r="U168" s="252" t="s">
        <v>239</v>
      </c>
      <c r="V168" s="369"/>
      <c r="W168" s="369"/>
      <c r="X168" s="369"/>
      <c r="Y168" s="369"/>
      <c r="Z168" s="363"/>
      <c r="AA168" s="364"/>
      <c r="AB168" s="370"/>
      <c r="AC168" s="371"/>
      <c r="AD168" s="372"/>
      <c r="AE168" s="96"/>
      <c r="AF168" s="47"/>
      <c r="AG168" s="263">
        <f>AO168</f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</row>
    <row r="169" spans="1:41" ht="39.75" hidden="1" customHeight="1" x14ac:dyDescent="0.25">
      <c r="A169" s="22">
        <f t="shared" ref="A169:AN169" si="85">A172+A174++A179+A182+A183+A185+A189+A193+A200+A203</f>
        <v>19221.413</v>
      </c>
      <c r="B169" s="22">
        <f t="shared" si="85"/>
        <v>33.478999999999999</v>
      </c>
      <c r="C169" s="22">
        <f t="shared" si="85"/>
        <v>33.478999999999999</v>
      </c>
      <c r="D169" s="22">
        <f t="shared" si="85"/>
        <v>0</v>
      </c>
      <c r="E169" s="22">
        <f t="shared" si="85"/>
        <v>0</v>
      </c>
      <c r="F169" s="22">
        <f t="shared" si="85"/>
        <v>3050</v>
      </c>
      <c r="G169" s="22">
        <f t="shared" si="85"/>
        <v>3050</v>
      </c>
      <c r="H169" s="22">
        <f t="shared" si="85"/>
        <v>18014.374</v>
      </c>
      <c r="I169" s="22">
        <f t="shared" si="85"/>
        <v>16137.933999999999</v>
      </c>
      <c r="J169" s="22">
        <f t="shared" si="85"/>
        <v>24886.960000000003</v>
      </c>
      <c r="K169" s="22">
        <f t="shared" si="85"/>
        <v>24853.480000000003</v>
      </c>
      <c r="L169" s="22">
        <f t="shared" si="85"/>
        <v>0</v>
      </c>
      <c r="M169" s="22">
        <f t="shared" si="85"/>
        <v>0</v>
      </c>
      <c r="N169" s="22" t="e">
        <f t="shared" si="85"/>
        <v>#REF!</v>
      </c>
      <c r="O169" s="22" t="e">
        <f t="shared" si="85"/>
        <v>#REF!</v>
      </c>
      <c r="P169" s="22" t="e">
        <f t="shared" si="85"/>
        <v>#REF!</v>
      </c>
      <c r="Q169" s="22">
        <f t="shared" si="85"/>
        <v>0</v>
      </c>
      <c r="R169" s="22">
        <f t="shared" si="85"/>
        <v>0</v>
      </c>
      <c r="S169" s="22" t="e">
        <f t="shared" si="85"/>
        <v>#VALUE!</v>
      </c>
      <c r="T169" s="366"/>
      <c r="U169" s="252" t="s">
        <v>234</v>
      </c>
      <c r="V169" s="369"/>
      <c r="W169" s="369"/>
      <c r="X169" s="369"/>
      <c r="Y169" s="369"/>
      <c r="Z169" s="363"/>
      <c r="AA169" s="364"/>
      <c r="AB169" s="370"/>
      <c r="AC169" s="371"/>
      <c r="AD169" s="372"/>
      <c r="AE169" s="96"/>
      <c r="AF169" s="47"/>
      <c r="AG169" s="263">
        <f>AO169</f>
        <v>0</v>
      </c>
      <c r="AH169" s="22">
        <f t="shared" si="85"/>
        <v>0</v>
      </c>
      <c r="AI169" s="22">
        <v>0</v>
      </c>
      <c r="AJ169" s="22">
        <f t="shared" si="85"/>
        <v>0</v>
      </c>
      <c r="AK169" s="22">
        <v>0</v>
      </c>
      <c r="AL169" s="22">
        <f t="shared" si="85"/>
        <v>0</v>
      </c>
      <c r="AM169" s="22">
        <f t="shared" si="85"/>
        <v>0</v>
      </c>
      <c r="AN169" s="22">
        <f t="shared" si="85"/>
        <v>0</v>
      </c>
      <c r="AO169" s="22">
        <v>0</v>
      </c>
    </row>
    <row r="170" spans="1:41" ht="26.25" hidden="1" customHeight="1" x14ac:dyDescent="0.25">
      <c r="A170" s="22">
        <v>0</v>
      </c>
      <c r="B170" s="22">
        <v>0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366"/>
      <c r="U170" s="252" t="s">
        <v>237</v>
      </c>
      <c r="V170" s="369"/>
      <c r="W170" s="369"/>
      <c r="X170" s="369"/>
      <c r="Y170" s="369"/>
      <c r="Z170" s="363"/>
      <c r="AA170" s="364"/>
      <c r="AB170" s="370"/>
      <c r="AC170" s="371"/>
      <c r="AD170" s="372"/>
      <c r="AE170" s="96"/>
      <c r="AF170" s="47"/>
      <c r="AG170" s="263">
        <f>AO170</f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</row>
    <row r="171" spans="1:41" ht="81.75" customHeight="1" x14ac:dyDescent="0.25">
      <c r="A171" s="22">
        <v>0</v>
      </c>
      <c r="B171" s="22">
        <v>0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521" t="s">
        <v>178</v>
      </c>
      <c r="U171" s="77" t="s">
        <v>180</v>
      </c>
      <c r="V171" s="133"/>
      <c r="W171" s="133"/>
      <c r="X171" s="133"/>
      <c r="Y171" s="133"/>
      <c r="Z171" s="525"/>
      <c r="AA171" s="525"/>
      <c r="AB171" s="1463" t="s">
        <v>181</v>
      </c>
      <c r="AC171" s="519"/>
      <c r="AD171" s="3"/>
      <c r="AE171" s="79">
        <f>AE172</f>
        <v>962.68</v>
      </c>
      <c r="AF171" s="79">
        <f>AF172</f>
        <v>0</v>
      </c>
      <c r="AG171" s="79">
        <f>AG172</f>
        <v>0</v>
      </c>
      <c r="AH171" s="78">
        <v>0</v>
      </c>
      <c r="AI171" s="78">
        <v>0</v>
      </c>
      <c r="AJ171" s="78">
        <v>0</v>
      </c>
      <c r="AK171" s="78">
        <v>0</v>
      </c>
      <c r="AL171" s="78">
        <v>0</v>
      </c>
      <c r="AM171" s="78">
        <v>0</v>
      </c>
      <c r="AN171" s="78">
        <v>0</v>
      </c>
      <c r="AO171" s="78">
        <v>0</v>
      </c>
    </row>
    <row r="172" spans="1:41" ht="13.5" customHeight="1" x14ac:dyDescent="0.25">
      <c r="A172" s="79">
        <f t="shared" ref="A172:R172" si="86">A173</f>
        <v>0</v>
      </c>
      <c r="B172" s="79">
        <f t="shared" si="86"/>
        <v>0</v>
      </c>
      <c r="C172" s="79">
        <f t="shared" si="86"/>
        <v>0</v>
      </c>
      <c r="D172" s="79">
        <f t="shared" si="86"/>
        <v>0</v>
      </c>
      <c r="E172" s="79">
        <f t="shared" si="86"/>
        <v>0</v>
      </c>
      <c r="F172" s="79">
        <f t="shared" si="86"/>
        <v>0</v>
      </c>
      <c r="G172" s="79">
        <f t="shared" si="86"/>
        <v>0</v>
      </c>
      <c r="H172" s="79">
        <f t="shared" si="86"/>
        <v>0</v>
      </c>
      <c r="I172" s="79">
        <f t="shared" si="86"/>
        <v>0</v>
      </c>
      <c r="J172" s="79">
        <f t="shared" si="86"/>
        <v>0</v>
      </c>
      <c r="K172" s="79">
        <f t="shared" si="86"/>
        <v>0</v>
      </c>
      <c r="L172" s="79">
        <f t="shared" si="86"/>
        <v>0</v>
      </c>
      <c r="M172" s="79">
        <f t="shared" si="86"/>
        <v>0</v>
      </c>
      <c r="N172" s="79">
        <f t="shared" si="86"/>
        <v>0</v>
      </c>
      <c r="O172" s="79">
        <f t="shared" si="86"/>
        <v>0</v>
      </c>
      <c r="P172" s="79">
        <f t="shared" si="86"/>
        <v>0</v>
      </c>
      <c r="Q172" s="79">
        <f t="shared" si="86"/>
        <v>0</v>
      </c>
      <c r="R172" s="79">
        <f t="shared" si="86"/>
        <v>0</v>
      </c>
      <c r="S172" s="301"/>
      <c r="T172" s="527"/>
      <c r="U172" s="42" t="s">
        <v>15</v>
      </c>
      <c r="V172" s="133"/>
      <c r="W172" s="133"/>
      <c r="X172" s="133"/>
      <c r="Y172" s="133"/>
      <c r="Z172" s="313"/>
      <c r="AA172" s="314"/>
      <c r="AB172" s="1465"/>
      <c r="AC172" s="519"/>
      <c r="AD172" s="318"/>
      <c r="AE172" s="47">
        <v>962.68</v>
      </c>
      <c r="AF172" s="50">
        <v>0</v>
      </c>
      <c r="AG172" s="50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</row>
    <row r="173" spans="1:41" ht="29.25" customHeight="1" x14ac:dyDescent="0.25">
      <c r="A173" s="50">
        <v>0</v>
      </c>
      <c r="B173" s="50">
        <v>0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/>
      <c r="T173" s="521" t="s">
        <v>179</v>
      </c>
      <c r="U173" s="77" t="s">
        <v>182</v>
      </c>
      <c r="V173" s="133"/>
      <c r="W173" s="133"/>
      <c r="X173" s="133"/>
      <c r="Y173" s="133"/>
      <c r="Z173" s="525"/>
      <c r="AA173" s="525"/>
      <c r="AB173" s="1463" t="s">
        <v>181</v>
      </c>
      <c r="AC173" s="519"/>
      <c r="AD173" s="3"/>
      <c r="AE173" s="79">
        <f>AE174</f>
        <v>1342.77</v>
      </c>
      <c r="AF173" s="79">
        <f>AF174</f>
        <v>0</v>
      </c>
      <c r="AG173" s="79">
        <f>AG174</f>
        <v>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</row>
    <row r="174" spans="1:41" ht="15" customHeight="1" x14ac:dyDescent="0.25">
      <c r="A174" s="79">
        <f t="shared" ref="A174:R174" si="87">A175+A178</f>
        <v>0</v>
      </c>
      <c r="B174" s="79">
        <f t="shared" si="87"/>
        <v>0</v>
      </c>
      <c r="C174" s="79">
        <f t="shared" si="87"/>
        <v>0</v>
      </c>
      <c r="D174" s="79">
        <f t="shared" si="87"/>
        <v>0</v>
      </c>
      <c r="E174" s="79">
        <f t="shared" si="87"/>
        <v>0</v>
      </c>
      <c r="F174" s="79">
        <f t="shared" si="87"/>
        <v>0</v>
      </c>
      <c r="G174" s="79">
        <f t="shared" si="87"/>
        <v>0</v>
      </c>
      <c r="H174" s="79">
        <f t="shared" si="87"/>
        <v>0</v>
      </c>
      <c r="I174" s="79">
        <f t="shared" si="87"/>
        <v>0</v>
      </c>
      <c r="J174" s="79">
        <f t="shared" si="87"/>
        <v>0</v>
      </c>
      <c r="K174" s="79">
        <f t="shared" si="87"/>
        <v>0</v>
      </c>
      <c r="L174" s="79">
        <f t="shared" si="87"/>
        <v>0</v>
      </c>
      <c r="M174" s="79">
        <f t="shared" si="87"/>
        <v>0</v>
      </c>
      <c r="N174" s="79">
        <f t="shared" si="87"/>
        <v>0</v>
      </c>
      <c r="O174" s="79">
        <f t="shared" si="87"/>
        <v>0</v>
      </c>
      <c r="P174" s="79">
        <f t="shared" si="87"/>
        <v>0</v>
      </c>
      <c r="Q174" s="79">
        <f t="shared" si="87"/>
        <v>0</v>
      </c>
      <c r="R174" s="79">
        <f t="shared" si="87"/>
        <v>0</v>
      </c>
      <c r="S174" s="301"/>
      <c r="T174" s="527"/>
      <c r="U174" s="42" t="s">
        <v>15</v>
      </c>
      <c r="V174" s="133"/>
      <c r="W174" s="133"/>
      <c r="X174" s="133"/>
      <c r="Y174" s="133"/>
      <c r="Z174" s="313"/>
      <c r="AA174" s="314"/>
      <c r="AB174" s="1465"/>
      <c r="AC174" s="519"/>
      <c r="AD174" s="318"/>
      <c r="AE174" s="47">
        <v>1342.77</v>
      </c>
      <c r="AF174" s="47">
        <v>0</v>
      </c>
      <c r="AG174" s="50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</row>
    <row r="175" spans="1:41" ht="15.75" customHeight="1" x14ac:dyDescent="0.25">
      <c r="A175" s="50">
        <v>0</v>
      </c>
      <c r="B175" s="50">
        <v>0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/>
      <c r="T175" s="1332" t="s">
        <v>31</v>
      </c>
      <c r="U175" s="1335" t="s">
        <v>208</v>
      </c>
      <c r="V175" s="1336"/>
      <c r="W175" s="1336"/>
      <c r="X175" s="1336"/>
      <c r="Y175" s="1336"/>
      <c r="Z175" s="1336"/>
      <c r="AA175" s="1337"/>
      <c r="AB175" s="15" t="s">
        <v>19</v>
      </c>
      <c r="AC175" s="523">
        <v>0</v>
      </c>
      <c r="AD175" s="523">
        <v>0</v>
      </c>
      <c r="AE175" s="16">
        <f>AG175+AH175+AI175</f>
        <v>0</v>
      </c>
      <c r="AF175" s="22">
        <v>0</v>
      </c>
      <c r="AG175" s="22">
        <v>0</v>
      </c>
      <c r="AH175" s="120">
        <v>0</v>
      </c>
      <c r="AI175" s="121">
        <v>0</v>
      </c>
      <c r="AJ175" s="121">
        <v>0</v>
      </c>
      <c r="AK175" s="121">
        <v>0</v>
      </c>
      <c r="AL175" s="120">
        <v>0</v>
      </c>
      <c r="AM175" s="121">
        <v>0</v>
      </c>
      <c r="AN175" s="121">
        <v>0</v>
      </c>
      <c r="AO175" s="121">
        <v>0</v>
      </c>
    </row>
    <row r="176" spans="1:41" ht="15.75" customHeight="1" x14ac:dyDescent="0.25">
      <c r="A176" s="343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1333"/>
      <c r="U176" s="1338"/>
      <c r="V176" s="1339"/>
      <c r="W176" s="1339"/>
      <c r="X176" s="1339"/>
      <c r="Y176" s="1339"/>
      <c r="Z176" s="1339"/>
      <c r="AA176" s="1340"/>
      <c r="AB176" s="15" t="s">
        <v>20</v>
      </c>
      <c r="AC176" s="523">
        <f>AD176+AE176</f>
        <v>4614.8599999999997</v>
      </c>
      <c r="AD176" s="523">
        <f>AD179+AD194+AD197+AD203</f>
        <v>0</v>
      </c>
      <c r="AE176" s="16">
        <f>AE179</f>
        <v>4614.8599999999997</v>
      </c>
      <c r="AF176" s="22">
        <f>AF179</f>
        <v>4614.8599999999997</v>
      </c>
      <c r="AG176" s="22">
        <f>AG179</f>
        <v>0</v>
      </c>
      <c r="AH176" s="120">
        <v>0</v>
      </c>
      <c r="AI176" s="121">
        <v>0</v>
      </c>
      <c r="AJ176" s="121">
        <v>0</v>
      </c>
      <c r="AK176" s="121">
        <v>0</v>
      </c>
      <c r="AL176" s="120">
        <v>0</v>
      </c>
      <c r="AM176" s="121">
        <v>0</v>
      </c>
      <c r="AN176" s="121">
        <v>0</v>
      </c>
      <c r="AO176" s="121">
        <v>0</v>
      </c>
    </row>
    <row r="177" spans="1:41" ht="15.75" customHeight="1" x14ac:dyDescent="0.25">
      <c r="A177" s="343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1333"/>
      <c r="U177" s="1338"/>
      <c r="V177" s="1339"/>
      <c r="W177" s="1339"/>
      <c r="X177" s="1339"/>
      <c r="Y177" s="1339"/>
      <c r="Z177" s="1339"/>
      <c r="AA177" s="1340"/>
      <c r="AB177" s="15" t="s">
        <v>10</v>
      </c>
      <c r="AC177" s="523">
        <v>0</v>
      </c>
      <c r="AD177" s="523">
        <v>0</v>
      </c>
      <c r="AE177" s="16">
        <f>AG177+AH177+AI177</f>
        <v>0</v>
      </c>
      <c r="AF177" s="22">
        <v>0</v>
      </c>
      <c r="AG177" s="22">
        <v>0</v>
      </c>
      <c r="AH177" s="120">
        <v>0</v>
      </c>
      <c r="AI177" s="121">
        <v>0</v>
      </c>
      <c r="AJ177" s="121">
        <v>0</v>
      </c>
      <c r="AK177" s="121">
        <v>0</v>
      </c>
      <c r="AL177" s="120">
        <v>0</v>
      </c>
      <c r="AM177" s="121">
        <v>0</v>
      </c>
      <c r="AN177" s="121">
        <v>0</v>
      </c>
      <c r="AO177" s="121">
        <v>0</v>
      </c>
    </row>
    <row r="178" spans="1:41" ht="16.5" customHeight="1" x14ac:dyDescent="0.25">
      <c r="A178" s="343">
        <v>0</v>
      </c>
      <c r="B178" s="343">
        <v>0</v>
      </c>
      <c r="C178" s="343">
        <v>0</v>
      </c>
      <c r="D178" s="343">
        <v>0</v>
      </c>
      <c r="E178" s="343">
        <v>0</v>
      </c>
      <c r="F178" s="343">
        <v>0</v>
      </c>
      <c r="G178" s="343">
        <v>0</v>
      </c>
      <c r="H178" s="343">
        <v>0</v>
      </c>
      <c r="I178" s="343">
        <v>0</v>
      </c>
      <c r="J178" s="343">
        <v>0</v>
      </c>
      <c r="K178" s="343">
        <v>0</v>
      </c>
      <c r="L178" s="343">
        <v>0</v>
      </c>
      <c r="M178" s="343">
        <v>0</v>
      </c>
      <c r="N178" s="343">
        <v>0</v>
      </c>
      <c r="O178" s="343">
        <v>0</v>
      </c>
      <c r="P178" s="343">
        <v>0</v>
      </c>
      <c r="Q178" s="343">
        <v>0</v>
      </c>
      <c r="R178" s="343">
        <v>0</v>
      </c>
      <c r="S178" s="343"/>
      <c r="T178" s="1334"/>
      <c r="U178" s="1341"/>
      <c r="V178" s="1342"/>
      <c r="W178" s="1342"/>
      <c r="X178" s="1342"/>
      <c r="Y178" s="1342"/>
      <c r="Z178" s="1342"/>
      <c r="AA178" s="1343"/>
      <c r="AB178" s="15" t="s">
        <v>9</v>
      </c>
      <c r="AC178" s="523">
        <v>0</v>
      </c>
      <c r="AD178" s="523">
        <v>0</v>
      </c>
      <c r="AE178" s="16">
        <f>AG178+AH178+AI178</f>
        <v>0</v>
      </c>
      <c r="AF178" s="22">
        <v>0</v>
      </c>
      <c r="AG178" s="22">
        <v>0</v>
      </c>
      <c r="AH178" s="120">
        <v>0</v>
      </c>
      <c r="AI178" s="121">
        <v>0</v>
      </c>
      <c r="AJ178" s="121">
        <v>0</v>
      </c>
      <c r="AK178" s="121">
        <v>0</v>
      </c>
      <c r="AL178" s="120">
        <v>0</v>
      </c>
      <c r="AM178" s="121">
        <v>0</v>
      </c>
      <c r="AN178" s="121">
        <v>0</v>
      </c>
      <c r="AO178" s="121">
        <v>0</v>
      </c>
    </row>
    <row r="179" spans="1:41" ht="51.75" customHeight="1" x14ac:dyDescent="0.25">
      <c r="A179" s="76">
        <f>A180</f>
        <v>18102.468000000001</v>
      </c>
      <c r="B179" s="76">
        <f t="shared" ref="B179:R180" si="88">B180</f>
        <v>0</v>
      </c>
      <c r="C179" s="76">
        <f t="shared" si="88"/>
        <v>0</v>
      </c>
      <c r="D179" s="76">
        <f t="shared" si="88"/>
        <v>0</v>
      </c>
      <c r="E179" s="76">
        <f t="shared" si="88"/>
        <v>0</v>
      </c>
      <c r="F179" s="76">
        <f t="shared" si="88"/>
        <v>3050</v>
      </c>
      <c r="G179" s="76">
        <f t="shared" si="88"/>
        <v>3050</v>
      </c>
      <c r="H179" s="76">
        <f t="shared" si="88"/>
        <v>15052.467999999999</v>
      </c>
      <c r="I179" s="76">
        <f t="shared" si="88"/>
        <v>15052.467999999999</v>
      </c>
      <c r="J179" s="76">
        <f t="shared" si="88"/>
        <v>24695.014000000003</v>
      </c>
      <c r="K179" s="76">
        <f t="shared" si="88"/>
        <v>24695.014000000003</v>
      </c>
      <c r="L179" s="76">
        <f t="shared" si="88"/>
        <v>0</v>
      </c>
      <c r="M179" s="76">
        <f t="shared" si="88"/>
        <v>0</v>
      </c>
      <c r="N179" s="76">
        <f t="shared" si="88"/>
        <v>0</v>
      </c>
      <c r="O179" s="76">
        <f t="shared" si="88"/>
        <v>0</v>
      </c>
      <c r="P179" s="76">
        <f t="shared" si="88"/>
        <v>0</v>
      </c>
      <c r="Q179" s="76">
        <f t="shared" si="88"/>
        <v>0</v>
      </c>
      <c r="R179" s="76">
        <f t="shared" si="88"/>
        <v>0</v>
      </c>
      <c r="S179" s="307"/>
      <c r="T179" s="1344" t="s">
        <v>50</v>
      </c>
      <c r="U179" s="84" t="s">
        <v>183</v>
      </c>
      <c r="V179" s="1347"/>
      <c r="W179" s="1350"/>
      <c r="X179" s="1350"/>
      <c r="Y179" s="1353">
        <v>150000</v>
      </c>
      <c r="Z179" s="1326">
        <v>2019</v>
      </c>
      <c r="AA179" s="1326">
        <v>2019</v>
      </c>
      <c r="AB179" s="1326" t="s">
        <v>20</v>
      </c>
      <c r="AC179" s="1329">
        <v>4914.5600000000004</v>
      </c>
      <c r="AD179" s="3"/>
      <c r="AE179" s="79">
        <f>AE182+AE180</f>
        <v>4614.8599999999997</v>
      </c>
      <c r="AF179" s="79">
        <f>AF182+AF180</f>
        <v>4614.8599999999997</v>
      </c>
      <c r="AG179" s="79">
        <f>AG182+AG180</f>
        <v>0</v>
      </c>
      <c r="AH179" s="78">
        <f>AH180</f>
        <v>0</v>
      </c>
      <c r="AI179" s="78">
        <f>AI180</f>
        <v>0</v>
      </c>
      <c r="AJ179" s="78">
        <f>AJ180</f>
        <v>0</v>
      </c>
      <c r="AK179" s="78">
        <f>AK180</f>
        <v>0</v>
      </c>
      <c r="AL179" s="78">
        <v>0</v>
      </c>
      <c r="AM179" s="78">
        <v>0</v>
      </c>
      <c r="AN179" s="78">
        <v>0</v>
      </c>
      <c r="AO179" s="78">
        <v>0</v>
      </c>
    </row>
    <row r="180" spans="1:41" s="285" customFormat="1" ht="19.5" customHeight="1" x14ac:dyDescent="0.25">
      <c r="A180" s="4">
        <f>A181</f>
        <v>18102.468000000001</v>
      </c>
      <c r="B180" s="4">
        <f t="shared" si="88"/>
        <v>0</v>
      </c>
      <c r="C180" s="4">
        <f t="shared" si="88"/>
        <v>0</v>
      </c>
      <c r="D180" s="4">
        <f t="shared" si="88"/>
        <v>0</v>
      </c>
      <c r="E180" s="4">
        <f t="shared" si="88"/>
        <v>0</v>
      </c>
      <c r="F180" s="4">
        <f t="shared" si="88"/>
        <v>3050</v>
      </c>
      <c r="G180" s="4">
        <f t="shared" si="88"/>
        <v>3050</v>
      </c>
      <c r="H180" s="4">
        <f t="shared" si="88"/>
        <v>15052.467999999999</v>
      </c>
      <c r="I180" s="4">
        <f t="shared" si="88"/>
        <v>15052.467999999999</v>
      </c>
      <c r="J180" s="4">
        <f t="shared" si="88"/>
        <v>24695.014000000003</v>
      </c>
      <c r="K180" s="4">
        <f t="shared" si="88"/>
        <v>24695.014000000003</v>
      </c>
      <c r="L180" s="4">
        <f t="shared" si="88"/>
        <v>0</v>
      </c>
      <c r="M180" s="4">
        <f t="shared" si="88"/>
        <v>0</v>
      </c>
      <c r="N180" s="4">
        <f t="shared" si="88"/>
        <v>0</v>
      </c>
      <c r="O180" s="4">
        <f t="shared" si="88"/>
        <v>0</v>
      </c>
      <c r="P180" s="4">
        <f t="shared" si="88"/>
        <v>0</v>
      </c>
      <c r="Q180" s="4">
        <f t="shared" si="88"/>
        <v>0</v>
      </c>
      <c r="R180" s="4">
        <f t="shared" si="88"/>
        <v>0</v>
      </c>
      <c r="S180" s="344"/>
      <c r="T180" s="1345"/>
      <c r="U180" s="1" t="s">
        <v>15</v>
      </c>
      <c r="V180" s="1348"/>
      <c r="W180" s="1351"/>
      <c r="X180" s="1351"/>
      <c r="Y180" s="1354"/>
      <c r="Z180" s="1327"/>
      <c r="AA180" s="1327"/>
      <c r="AB180" s="1327"/>
      <c r="AC180" s="1330"/>
      <c r="AD180" s="47"/>
      <c r="AE180" s="47">
        <f>SUM(AG180:AI180)</f>
        <v>0</v>
      </c>
      <c r="AF180" s="4">
        <f>AF181</f>
        <v>0</v>
      </c>
      <c r="AG180" s="4">
        <f>AG181</f>
        <v>0</v>
      </c>
      <c r="AH180" s="47">
        <v>0</v>
      </c>
      <c r="AI180" s="47">
        <v>0</v>
      </c>
      <c r="AJ180" s="47">
        <v>0</v>
      </c>
      <c r="AK180" s="47">
        <v>0</v>
      </c>
      <c r="AL180" s="120">
        <v>0</v>
      </c>
      <c r="AM180" s="121">
        <v>0</v>
      </c>
      <c r="AN180" s="121">
        <v>0</v>
      </c>
      <c r="AO180" s="121">
        <v>0</v>
      </c>
    </row>
    <row r="181" spans="1:41" s="266" customFormat="1" ht="15.75" hidden="1" customHeight="1" x14ac:dyDescent="0.25">
      <c r="A181" s="268">
        <f>G181+I181</f>
        <v>18102.468000000001</v>
      </c>
      <c r="B181" s="4"/>
      <c r="C181" s="4"/>
      <c r="D181" s="268"/>
      <c r="E181" s="268"/>
      <c r="F181" s="268">
        <f>G181</f>
        <v>3050</v>
      </c>
      <c r="G181" s="268">
        <v>3050</v>
      </c>
      <c r="H181" s="268">
        <f>I181</f>
        <v>15052.467999999999</v>
      </c>
      <c r="I181" s="268">
        <f>2000+5000+639.994+4500+2912.474</f>
        <v>15052.467999999999</v>
      </c>
      <c r="J181" s="268">
        <f>K181</f>
        <v>24695.014000000003</v>
      </c>
      <c r="K181" s="268">
        <f>4437.479+13664.994+6592.541</f>
        <v>24695.014000000003</v>
      </c>
      <c r="L181" s="268"/>
      <c r="M181" s="268"/>
      <c r="N181" s="96"/>
      <c r="O181" s="96"/>
      <c r="P181" s="96"/>
      <c r="Q181" s="268"/>
      <c r="R181" s="268"/>
      <c r="S181" s="308"/>
      <c r="T181" s="1345"/>
      <c r="U181" s="92" t="s">
        <v>250</v>
      </c>
      <c r="V181" s="1348"/>
      <c r="W181" s="1351"/>
      <c r="X181" s="1351"/>
      <c r="Y181" s="1354"/>
      <c r="Z181" s="1327"/>
      <c r="AA181" s="1327"/>
      <c r="AB181" s="1327"/>
      <c r="AC181" s="1330"/>
      <c r="AD181" s="95"/>
      <c r="AE181" s="96">
        <f>SUM(AG181:AI181)</f>
        <v>0</v>
      </c>
      <c r="AF181" s="263">
        <f>AH181+AJ181</f>
        <v>0</v>
      </c>
      <c r="AG181" s="263">
        <f>AI181+AK181</f>
        <v>0</v>
      </c>
      <c r="AH181" s="111"/>
      <c r="AI181" s="111"/>
      <c r="AJ181" s="111"/>
      <c r="AK181" s="111"/>
      <c r="AL181"/>
      <c r="AM181"/>
      <c r="AN181"/>
      <c r="AO181"/>
    </row>
    <row r="182" spans="1:41" ht="39.75" hidden="1" customHeight="1" x14ac:dyDescent="0.25">
      <c r="A182" s="349">
        <v>0</v>
      </c>
      <c r="B182" s="349">
        <v>0</v>
      </c>
      <c r="C182" s="349">
        <v>0</v>
      </c>
      <c r="D182" s="349">
        <v>0</v>
      </c>
      <c r="E182" s="349">
        <v>0</v>
      </c>
      <c r="F182" s="349">
        <v>0</v>
      </c>
      <c r="G182" s="349">
        <v>0</v>
      </c>
      <c r="H182" s="349">
        <v>0</v>
      </c>
      <c r="I182" s="349">
        <v>0</v>
      </c>
      <c r="J182" s="349">
        <v>0</v>
      </c>
      <c r="K182" s="349">
        <v>0</v>
      </c>
      <c r="L182" s="349">
        <v>0</v>
      </c>
      <c r="M182" s="349">
        <v>0</v>
      </c>
      <c r="N182" s="349" t="e">
        <f>#REF!-A182</f>
        <v>#REF!</v>
      </c>
      <c r="O182" s="349" t="e">
        <f>N182</f>
        <v>#REF!</v>
      </c>
      <c r="P182" s="349">
        <v>0</v>
      </c>
      <c r="Q182" s="349">
        <v>0</v>
      </c>
      <c r="R182" s="349">
        <v>0</v>
      </c>
      <c r="S182" s="350" t="s">
        <v>158</v>
      </c>
      <c r="T182" s="1346"/>
      <c r="U182" s="5" t="s">
        <v>16</v>
      </c>
      <c r="V182" s="1356"/>
      <c r="W182" s="1356"/>
      <c r="X182" s="1351"/>
      <c r="Y182" s="1357"/>
      <c r="Z182" s="1327"/>
      <c r="AA182" s="1327"/>
      <c r="AB182" s="1327"/>
      <c r="AC182" s="1331"/>
      <c r="AD182" s="47">
        <v>0</v>
      </c>
      <c r="AE182" s="47">
        <v>4614.8599999999997</v>
      </c>
      <c r="AF182" s="4">
        <v>4614.8599999999997</v>
      </c>
      <c r="AG182" s="4">
        <v>0</v>
      </c>
    </row>
    <row r="183" spans="1:41" ht="28.5" customHeight="1" x14ac:dyDescent="0.25">
      <c r="A183" s="76">
        <v>0</v>
      </c>
      <c r="B183" s="76">
        <v>0</v>
      </c>
      <c r="C183" s="76">
        <v>0</v>
      </c>
      <c r="D183" s="76">
        <v>0</v>
      </c>
      <c r="E183" s="76">
        <v>0</v>
      </c>
      <c r="F183" s="76">
        <v>0</v>
      </c>
      <c r="G183" s="76">
        <v>0</v>
      </c>
      <c r="H183" s="76">
        <v>0</v>
      </c>
      <c r="I183" s="76">
        <v>0</v>
      </c>
      <c r="J183" s="76">
        <v>0</v>
      </c>
      <c r="K183" s="76">
        <v>0</v>
      </c>
      <c r="L183" s="76">
        <v>0</v>
      </c>
      <c r="M183" s="76">
        <v>0</v>
      </c>
      <c r="N183" s="79" t="e">
        <f>#REF!-A183</f>
        <v>#REF!</v>
      </c>
      <c r="O183" s="79" t="e">
        <f>N183</f>
        <v>#REF!</v>
      </c>
      <c r="P183" s="79">
        <v>0</v>
      </c>
      <c r="Q183" s="76">
        <v>0</v>
      </c>
      <c r="R183" s="76">
        <v>0</v>
      </c>
      <c r="S183" s="307"/>
      <c r="T183" s="1332" t="s">
        <v>139</v>
      </c>
      <c r="U183" s="1335" t="s">
        <v>209</v>
      </c>
      <c r="V183" s="1336"/>
      <c r="W183" s="1336"/>
      <c r="X183" s="1336"/>
      <c r="Y183" s="1336"/>
      <c r="Z183" s="1336"/>
      <c r="AA183" s="1337"/>
      <c r="AB183" s="15" t="s">
        <v>19</v>
      </c>
      <c r="AC183" s="523">
        <v>0</v>
      </c>
      <c r="AD183" s="523">
        <v>0</v>
      </c>
      <c r="AE183" s="22">
        <f>AG183+AH183+AI183</f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</row>
    <row r="184" spans="1:41" ht="15" customHeight="1" x14ac:dyDescent="0.25">
      <c r="A184" s="47">
        <v>0</v>
      </c>
      <c r="B184" s="47">
        <v>0</v>
      </c>
      <c r="C184" s="47">
        <v>0</v>
      </c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  <c r="P184" s="47">
        <v>0</v>
      </c>
      <c r="Q184" s="47">
        <v>0</v>
      </c>
      <c r="R184" s="47">
        <v>0</v>
      </c>
      <c r="S184" s="310"/>
      <c r="T184" s="1333"/>
      <c r="U184" s="1338"/>
      <c r="V184" s="1339"/>
      <c r="W184" s="1339"/>
      <c r="X184" s="1339"/>
      <c r="Y184" s="1339"/>
      <c r="Z184" s="1339"/>
      <c r="AA184" s="1340"/>
      <c r="AB184" s="15" t="s">
        <v>20</v>
      </c>
      <c r="AC184" s="523" t="e">
        <f>AD184+AE184</f>
        <v>#REF!</v>
      </c>
      <c r="AD184" s="523" t="e">
        <f>#REF!+AD225+#REF!+#REF!</f>
        <v>#REF!</v>
      </c>
      <c r="AE184" s="47">
        <f>AE187+AE189++AE194+AE198+AE203+AE205+AE209+AE214+AE221+AE225</f>
        <v>333768.50999999995</v>
      </c>
      <c r="AF184" s="47">
        <f>AF187+AF189++AF194+AF198+AF203+AF205+AF209+AF214+AF221+AF225</f>
        <v>45117.23</v>
      </c>
      <c r="AG184" s="47">
        <f t="shared" ref="AG184:AK184" si="89">AG187+AG189++AG194+AG198+AG203+AG205+AG209+AG214+AG221+AG225</f>
        <v>0</v>
      </c>
      <c r="AH184" s="47">
        <f t="shared" si="89"/>
        <v>0</v>
      </c>
      <c r="AI184" s="47">
        <f t="shared" si="89"/>
        <v>0</v>
      </c>
      <c r="AJ184" s="47">
        <f t="shared" si="89"/>
        <v>0</v>
      </c>
      <c r="AK184" s="47">
        <f t="shared" si="89"/>
        <v>0</v>
      </c>
      <c r="AL184" s="22">
        <v>0</v>
      </c>
      <c r="AM184" s="22">
        <v>0</v>
      </c>
      <c r="AN184" s="22">
        <v>0</v>
      </c>
      <c r="AO184" s="22">
        <v>0</v>
      </c>
    </row>
    <row r="185" spans="1:41" ht="45.75" customHeight="1" x14ac:dyDescent="0.25">
      <c r="A185" s="79">
        <f>A186+A188</f>
        <v>33.478999999999999</v>
      </c>
      <c r="B185" s="79">
        <f t="shared" ref="B185:R185" si="90">B186+B188</f>
        <v>33.478999999999999</v>
      </c>
      <c r="C185" s="79">
        <f t="shared" si="90"/>
        <v>33.478999999999999</v>
      </c>
      <c r="D185" s="79">
        <f t="shared" si="90"/>
        <v>0</v>
      </c>
      <c r="E185" s="79">
        <f t="shared" si="90"/>
        <v>0</v>
      </c>
      <c r="F185" s="79">
        <f t="shared" si="90"/>
        <v>0</v>
      </c>
      <c r="G185" s="79">
        <f t="shared" si="90"/>
        <v>0</v>
      </c>
      <c r="H185" s="79">
        <f t="shared" si="90"/>
        <v>0</v>
      </c>
      <c r="I185" s="79">
        <f t="shared" si="90"/>
        <v>0</v>
      </c>
      <c r="J185" s="79">
        <f t="shared" si="90"/>
        <v>33.479999999999997</v>
      </c>
      <c r="K185" s="79">
        <f>K186+K188</f>
        <v>0</v>
      </c>
      <c r="L185" s="79">
        <f t="shared" si="90"/>
        <v>0</v>
      </c>
      <c r="M185" s="79">
        <f t="shared" si="90"/>
        <v>0</v>
      </c>
      <c r="N185" s="79" t="e">
        <f>#REF!-A185</f>
        <v>#REF!</v>
      </c>
      <c r="O185" s="79" t="e">
        <f>N185</f>
        <v>#REF!</v>
      </c>
      <c r="P185" s="79" t="e">
        <f>ROUND((A185*100%/#REF!*100),2)</f>
        <v>#REF!</v>
      </c>
      <c r="Q185" s="79">
        <f t="shared" si="90"/>
        <v>0</v>
      </c>
      <c r="R185" s="79">
        <f t="shared" si="90"/>
        <v>0</v>
      </c>
      <c r="S185" s="309"/>
      <c r="T185" s="1333"/>
      <c r="U185" s="1338"/>
      <c r="V185" s="1339"/>
      <c r="W185" s="1339"/>
      <c r="X185" s="1339"/>
      <c r="Y185" s="1339"/>
      <c r="Z185" s="1339"/>
      <c r="AA185" s="1340"/>
      <c r="AB185" s="15" t="s">
        <v>10</v>
      </c>
      <c r="AC185" s="523">
        <v>0</v>
      </c>
      <c r="AD185" s="523">
        <v>0</v>
      </c>
      <c r="AE185" s="22">
        <f>AE201+AE202+AE229</f>
        <v>297742.64</v>
      </c>
      <c r="AF185" s="22">
        <f>AF201+AF202+AF229</f>
        <v>0</v>
      </c>
      <c r="AG185" s="22">
        <f>AG201+AG202+AG229</f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</row>
    <row r="186" spans="1:41" ht="17.25" customHeight="1" x14ac:dyDescent="0.25">
      <c r="A186" s="47">
        <f>SUM(A187)</f>
        <v>33.478999999999999</v>
      </c>
      <c r="B186" s="47">
        <f>SUM(B187)</f>
        <v>33.478999999999999</v>
      </c>
      <c r="C186" s="47">
        <f>SUM(C187)</f>
        <v>33.478999999999999</v>
      </c>
      <c r="D186" s="47">
        <f t="shared" ref="D186:I186" si="91">SUM(D187)</f>
        <v>0</v>
      </c>
      <c r="E186" s="47">
        <f t="shared" si="91"/>
        <v>0</v>
      </c>
      <c r="F186" s="47">
        <f t="shared" si="91"/>
        <v>0</v>
      </c>
      <c r="G186" s="47">
        <f t="shared" si="91"/>
        <v>0</v>
      </c>
      <c r="H186" s="47">
        <f t="shared" si="91"/>
        <v>0</v>
      </c>
      <c r="I186" s="47">
        <f t="shared" si="91"/>
        <v>0</v>
      </c>
      <c r="J186" s="47">
        <v>33.479999999999997</v>
      </c>
      <c r="K186" s="47">
        <v>0</v>
      </c>
      <c r="L186" s="47">
        <v>0</v>
      </c>
      <c r="M186" s="47">
        <v>0</v>
      </c>
      <c r="N186" s="47">
        <v>0</v>
      </c>
      <c r="O186" s="47">
        <v>0</v>
      </c>
      <c r="P186" s="47">
        <v>0</v>
      </c>
      <c r="Q186" s="47">
        <v>0</v>
      </c>
      <c r="R186" s="47">
        <v>0</v>
      </c>
      <c r="S186" s="310"/>
      <c r="T186" s="1334"/>
      <c r="U186" s="1341"/>
      <c r="V186" s="1342"/>
      <c r="W186" s="1342"/>
      <c r="X186" s="1342"/>
      <c r="Y186" s="1342"/>
      <c r="Z186" s="1342"/>
      <c r="AA186" s="1343"/>
      <c r="AB186" s="15" t="s">
        <v>9</v>
      </c>
      <c r="AC186" s="523">
        <v>0</v>
      </c>
      <c r="AD186" s="523">
        <v>0</v>
      </c>
      <c r="AE186" s="22">
        <f>AG186+AH186+AI186</f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</row>
    <row r="187" spans="1:41" s="97" customFormat="1" ht="28.5" customHeight="1" x14ac:dyDescent="0.25">
      <c r="A187" s="96">
        <f>C187</f>
        <v>33.478999999999999</v>
      </c>
      <c r="B187" s="47">
        <f>C187</f>
        <v>33.478999999999999</v>
      </c>
      <c r="C187" s="47">
        <v>33.478999999999999</v>
      </c>
      <c r="D187" s="96"/>
      <c r="E187" s="96"/>
      <c r="F187" s="96"/>
      <c r="G187" s="96"/>
      <c r="H187" s="47"/>
      <c r="I187" s="47"/>
      <c r="J187" s="96">
        <f>K187</f>
        <v>33.478999999999999</v>
      </c>
      <c r="K187" s="96">
        <v>33.478999999999999</v>
      </c>
      <c r="L187" s="96"/>
      <c r="M187" s="96"/>
      <c r="N187" s="96"/>
      <c r="O187" s="96"/>
      <c r="P187" s="96"/>
      <c r="Q187" s="96"/>
      <c r="R187" s="96"/>
      <c r="S187" s="311"/>
      <c r="T187" s="1450" t="s">
        <v>184</v>
      </c>
      <c r="U187" s="77" t="s">
        <v>89</v>
      </c>
      <c r="V187" s="133"/>
      <c r="W187" s="133"/>
      <c r="X187" s="133"/>
      <c r="Y187" s="133"/>
      <c r="Z187" s="525"/>
      <c r="AA187" s="525"/>
      <c r="AB187" s="1463" t="s">
        <v>20</v>
      </c>
      <c r="AC187" s="519"/>
      <c r="AD187" s="3"/>
      <c r="AE187" s="79">
        <f>AE188</f>
        <v>5195.03</v>
      </c>
      <c r="AF187" s="79">
        <f>AF188</f>
        <v>157.59</v>
      </c>
      <c r="AG187" s="79">
        <f>AG188</f>
        <v>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</row>
    <row r="188" spans="1:41" ht="17.25" customHeight="1" x14ac:dyDescent="0.25">
      <c r="A188" s="47">
        <v>0</v>
      </c>
      <c r="B188" s="47">
        <v>0</v>
      </c>
      <c r="C188" s="47">
        <v>0</v>
      </c>
      <c r="D188" s="47">
        <v>0</v>
      </c>
      <c r="E188" s="47">
        <v>0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  <c r="P188" s="47">
        <v>0</v>
      </c>
      <c r="Q188" s="47">
        <v>0</v>
      </c>
      <c r="R188" s="47">
        <v>0</v>
      </c>
      <c r="S188" s="310"/>
      <c r="T188" s="1452"/>
      <c r="U188" s="47" t="s">
        <v>15</v>
      </c>
      <c r="V188" s="133"/>
      <c r="W188" s="133"/>
      <c r="X188" s="133"/>
      <c r="Y188" s="133"/>
      <c r="Z188" s="313"/>
      <c r="AA188" s="314"/>
      <c r="AB188" s="1465"/>
      <c r="AC188" s="519"/>
      <c r="AD188" s="318"/>
      <c r="AE188" s="47">
        <v>5195.03</v>
      </c>
      <c r="AF188" s="50">
        <v>157.59</v>
      </c>
      <c r="AG188" s="50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</row>
    <row r="189" spans="1:41" ht="44.25" customHeight="1" x14ac:dyDescent="0.25">
      <c r="A189" s="79">
        <f>A190+A192</f>
        <v>885</v>
      </c>
      <c r="B189" s="79">
        <f t="shared" ref="B189:J189" si="92">B190+B192</f>
        <v>0</v>
      </c>
      <c r="C189" s="79">
        <f t="shared" si="92"/>
        <v>0</v>
      </c>
      <c r="D189" s="79">
        <f t="shared" si="92"/>
        <v>0</v>
      </c>
      <c r="E189" s="79">
        <f t="shared" si="92"/>
        <v>0</v>
      </c>
      <c r="F189" s="79">
        <f t="shared" si="92"/>
        <v>0</v>
      </c>
      <c r="G189" s="79">
        <f t="shared" si="92"/>
        <v>0</v>
      </c>
      <c r="H189" s="79">
        <f t="shared" si="92"/>
        <v>2761.44</v>
      </c>
      <c r="I189" s="79">
        <f t="shared" si="92"/>
        <v>885</v>
      </c>
      <c r="J189" s="79">
        <f t="shared" si="92"/>
        <v>0</v>
      </c>
      <c r="K189" s="79">
        <f>K190+K192</f>
        <v>0</v>
      </c>
      <c r="L189" s="79">
        <f>L190+L192</f>
        <v>0</v>
      </c>
      <c r="M189" s="79">
        <f>M190+M192</f>
        <v>0</v>
      </c>
      <c r="N189" s="79" t="e">
        <f>#REF!-A189</f>
        <v>#REF!</v>
      </c>
      <c r="O189" s="79" t="e">
        <f>N189</f>
        <v>#REF!</v>
      </c>
      <c r="P189" s="79" t="e">
        <f>ROUND((A189*100%/#REF!*100),2)</f>
        <v>#REF!</v>
      </c>
      <c r="Q189" s="79">
        <f>Q190+Q192</f>
        <v>0</v>
      </c>
      <c r="R189" s="79">
        <f>R190+R192</f>
        <v>0</v>
      </c>
      <c r="S189" s="309"/>
      <c r="T189" s="1450" t="s">
        <v>185</v>
      </c>
      <c r="U189" s="77" t="s">
        <v>187</v>
      </c>
      <c r="V189" s="133"/>
      <c r="W189" s="133"/>
      <c r="X189" s="133"/>
      <c r="Y189" s="133"/>
      <c r="Z189" s="525"/>
      <c r="AA189" s="525"/>
      <c r="AB189" s="1463" t="s">
        <v>20</v>
      </c>
      <c r="AC189" s="519"/>
      <c r="AD189" s="3"/>
      <c r="AE189" s="79">
        <f>AE190+AE193</f>
        <v>134036.41</v>
      </c>
      <c r="AF189" s="79">
        <f>AF190+AF193</f>
        <v>30005.93</v>
      </c>
      <c r="AG189" s="79">
        <f>AG190+AG193</f>
        <v>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</row>
    <row r="190" spans="1:41" s="285" customFormat="1" ht="16.5" customHeight="1" x14ac:dyDescent="0.25">
      <c r="A190" s="47">
        <f>SUM(A191:A192)</f>
        <v>885</v>
      </c>
      <c r="B190" s="47">
        <f t="shared" ref="B190:M190" si="93">SUM(B191:B192)</f>
        <v>0</v>
      </c>
      <c r="C190" s="47">
        <f t="shared" si="93"/>
        <v>0</v>
      </c>
      <c r="D190" s="47">
        <f t="shared" si="93"/>
        <v>0</v>
      </c>
      <c r="E190" s="47">
        <f t="shared" si="93"/>
        <v>0</v>
      </c>
      <c r="F190" s="47">
        <f t="shared" si="93"/>
        <v>0</v>
      </c>
      <c r="G190" s="47">
        <f t="shared" si="93"/>
        <v>0</v>
      </c>
      <c r="H190" s="47">
        <f t="shared" si="93"/>
        <v>2761.44</v>
      </c>
      <c r="I190" s="47">
        <f t="shared" si="93"/>
        <v>885</v>
      </c>
      <c r="J190" s="47">
        <f t="shared" si="93"/>
        <v>0</v>
      </c>
      <c r="K190" s="47">
        <f t="shared" si="93"/>
        <v>0</v>
      </c>
      <c r="L190" s="47">
        <f t="shared" si="93"/>
        <v>0</v>
      </c>
      <c r="M190" s="47">
        <f t="shared" si="93"/>
        <v>0</v>
      </c>
      <c r="N190" s="47">
        <v>0</v>
      </c>
      <c r="O190" s="47">
        <v>0</v>
      </c>
      <c r="P190" s="47">
        <v>0</v>
      </c>
      <c r="Q190" s="47">
        <v>0</v>
      </c>
      <c r="R190" s="47">
        <v>0</v>
      </c>
      <c r="S190" s="294"/>
      <c r="T190" s="1451"/>
      <c r="U190" s="47" t="s">
        <v>15</v>
      </c>
      <c r="V190" s="133"/>
      <c r="W190" s="133"/>
      <c r="X190" s="133"/>
      <c r="Y190" s="133"/>
      <c r="Z190" s="313"/>
      <c r="AA190" s="314"/>
      <c r="AB190" s="1464"/>
      <c r="AC190" s="519"/>
      <c r="AD190" s="318"/>
      <c r="AE190" s="47">
        <v>2401.5100000000002</v>
      </c>
      <c r="AF190" s="47">
        <v>0</v>
      </c>
      <c r="AG190" s="47">
        <f>SUM(AG191:AG192)</f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</row>
    <row r="191" spans="1:41" s="266" customFormat="1" ht="16.5" hidden="1" customHeight="1" x14ac:dyDescent="0.25">
      <c r="A191" s="96">
        <f>I191</f>
        <v>885</v>
      </c>
      <c r="B191" s="96"/>
      <c r="C191" s="96"/>
      <c r="D191" s="96"/>
      <c r="E191" s="96"/>
      <c r="F191" s="96"/>
      <c r="G191" s="96"/>
      <c r="H191" s="96">
        <v>2761.44</v>
      </c>
      <c r="I191" s="96">
        <v>885</v>
      </c>
      <c r="J191" s="96">
        <f>K191</f>
        <v>0</v>
      </c>
      <c r="K191" s="96">
        <v>0</v>
      </c>
      <c r="L191" s="96">
        <v>0</v>
      </c>
      <c r="M191" s="96">
        <v>0</v>
      </c>
      <c r="N191" s="96">
        <v>0</v>
      </c>
      <c r="O191" s="96">
        <v>0</v>
      </c>
      <c r="P191" s="96">
        <v>0</v>
      </c>
      <c r="Q191" s="96">
        <v>0</v>
      </c>
      <c r="R191" s="96">
        <v>0</v>
      </c>
      <c r="S191" s="302"/>
      <c r="T191" s="1451"/>
      <c r="U191" s="452" t="s">
        <v>267</v>
      </c>
      <c r="V191" s="369"/>
      <c r="W191" s="369"/>
      <c r="X191" s="369"/>
      <c r="Y191" s="369"/>
      <c r="Z191" s="453"/>
      <c r="AA191" s="454"/>
      <c r="AB191" s="1464"/>
      <c r="AC191" s="371"/>
      <c r="AD191" s="372"/>
      <c r="AE191" s="96"/>
      <c r="AF191" s="268">
        <f>AG191</f>
        <v>0</v>
      </c>
      <c r="AG191" s="455">
        <f>AI191+AK191+AM191</f>
        <v>0</v>
      </c>
      <c r="AH191" s="120">
        <v>0</v>
      </c>
      <c r="AI191" s="121">
        <v>0</v>
      </c>
      <c r="AJ191" s="121">
        <v>0</v>
      </c>
      <c r="AK191" s="121">
        <v>0</v>
      </c>
      <c r="AL191" s="120">
        <v>0</v>
      </c>
      <c r="AM191" s="121">
        <v>0</v>
      </c>
      <c r="AN191" s="121">
        <v>0</v>
      </c>
      <c r="AO191" s="121">
        <v>0</v>
      </c>
    </row>
    <row r="192" spans="1:41" ht="17.25" hidden="1" customHeight="1" x14ac:dyDescent="0.25">
      <c r="A192" s="47">
        <v>0</v>
      </c>
      <c r="B192" s="47">
        <v>0</v>
      </c>
      <c r="C192" s="47">
        <v>0</v>
      </c>
      <c r="D192" s="47">
        <v>0</v>
      </c>
      <c r="E192" s="47">
        <v>0</v>
      </c>
      <c r="F192" s="47">
        <v>0</v>
      </c>
      <c r="G192" s="47">
        <v>0</v>
      </c>
      <c r="H192" s="47">
        <v>0</v>
      </c>
      <c r="I192" s="47">
        <v>0</v>
      </c>
      <c r="J192" s="47">
        <v>0</v>
      </c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0</v>
      </c>
      <c r="Q192" s="47">
        <v>0</v>
      </c>
      <c r="R192" s="47">
        <v>0</v>
      </c>
      <c r="S192" s="310"/>
      <c r="T192" s="1451"/>
      <c r="U192" s="452" t="s">
        <v>271</v>
      </c>
      <c r="V192" s="369"/>
      <c r="W192" s="369"/>
      <c r="X192" s="369"/>
      <c r="Y192" s="369"/>
      <c r="Z192" s="453"/>
      <c r="AA192" s="454"/>
      <c r="AB192" s="1464"/>
      <c r="AC192" s="371"/>
      <c r="AD192" s="372"/>
      <c r="AE192" s="96"/>
      <c r="AF192" s="268"/>
      <c r="AG192" s="489">
        <f>AI192+AK192+AM192+AO192</f>
        <v>0</v>
      </c>
      <c r="AH192" s="120">
        <v>0</v>
      </c>
      <c r="AI192" s="121">
        <v>0</v>
      </c>
      <c r="AJ192" s="121">
        <v>0</v>
      </c>
      <c r="AK192" s="121">
        <v>0</v>
      </c>
      <c r="AL192" s="120">
        <v>0</v>
      </c>
      <c r="AM192" s="121">
        <v>0</v>
      </c>
      <c r="AN192" s="121">
        <v>0</v>
      </c>
      <c r="AO192" s="121">
        <v>0</v>
      </c>
    </row>
    <row r="193" spans="1:41" ht="16.5" customHeight="1" x14ac:dyDescent="0.25">
      <c r="A193" s="79">
        <f>A194+A199</f>
        <v>158.46600000000001</v>
      </c>
      <c r="B193" s="79">
        <f t="shared" ref="B193:J193" si="94">B194+B199</f>
        <v>0</v>
      </c>
      <c r="C193" s="79">
        <f t="shared" si="94"/>
        <v>0</v>
      </c>
      <c r="D193" s="79">
        <f t="shared" si="94"/>
        <v>0</v>
      </c>
      <c r="E193" s="79">
        <f t="shared" si="94"/>
        <v>0</v>
      </c>
      <c r="F193" s="79">
        <f t="shared" si="94"/>
        <v>0</v>
      </c>
      <c r="G193" s="79">
        <f t="shared" si="94"/>
        <v>0</v>
      </c>
      <c r="H193" s="79">
        <f t="shared" si="94"/>
        <v>158.46600000000001</v>
      </c>
      <c r="I193" s="79">
        <f t="shared" si="94"/>
        <v>158.46600000000001</v>
      </c>
      <c r="J193" s="79">
        <f t="shared" si="94"/>
        <v>158.46600000000001</v>
      </c>
      <c r="K193" s="79">
        <f>K194+K199</f>
        <v>158.46600000000001</v>
      </c>
      <c r="L193" s="79">
        <f>L194+L199</f>
        <v>0</v>
      </c>
      <c r="M193" s="79">
        <f>M194+M199</f>
        <v>0</v>
      </c>
      <c r="N193" s="79" t="e">
        <f>#REF!-A193</f>
        <v>#REF!</v>
      </c>
      <c r="O193" s="79" t="e">
        <f>N193</f>
        <v>#REF!</v>
      </c>
      <c r="P193" s="79" t="e">
        <f>ROUND((A193*100%/#REF!*100),2)</f>
        <v>#REF!</v>
      </c>
      <c r="Q193" s="79">
        <f>Q194+Q199</f>
        <v>0</v>
      </c>
      <c r="R193" s="79">
        <f>R194+R199</f>
        <v>0</v>
      </c>
      <c r="S193" s="351" t="s">
        <v>212</v>
      </c>
      <c r="T193" s="1452"/>
      <c r="U193" s="340" t="s">
        <v>32</v>
      </c>
      <c r="V193" s="133"/>
      <c r="W193" s="133"/>
      <c r="X193" s="133"/>
      <c r="Y193" s="133"/>
      <c r="Z193" s="341"/>
      <c r="AA193" s="342"/>
      <c r="AB193" s="1491"/>
      <c r="AC193" s="519"/>
      <c r="AD193" s="318"/>
      <c r="AE193" s="47">
        <v>131634.9</v>
      </c>
      <c r="AF193" s="47">
        <v>30005.93</v>
      </c>
      <c r="AG193" s="47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</row>
    <row r="194" spans="1:41" ht="45" customHeight="1" x14ac:dyDescent="0.25">
      <c r="A194" s="47">
        <f>SUM(A196:A198)</f>
        <v>158.46600000000001</v>
      </c>
      <c r="B194" s="47">
        <f t="shared" ref="B194:K194" si="95">SUM(B196:B198)</f>
        <v>0</v>
      </c>
      <c r="C194" s="47">
        <f t="shared" si="95"/>
        <v>0</v>
      </c>
      <c r="D194" s="47">
        <f t="shared" si="95"/>
        <v>0</v>
      </c>
      <c r="E194" s="47">
        <f t="shared" si="95"/>
        <v>0</v>
      </c>
      <c r="F194" s="47">
        <f t="shared" si="95"/>
        <v>0</v>
      </c>
      <c r="G194" s="47">
        <f t="shared" si="95"/>
        <v>0</v>
      </c>
      <c r="H194" s="47">
        <f t="shared" si="95"/>
        <v>158.46600000000001</v>
      </c>
      <c r="I194" s="47">
        <f t="shared" si="95"/>
        <v>158.46600000000001</v>
      </c>
      <c r="J194" s="47">
        <f t="shared" si="95"/>
        <v>158.46600000000001</v>
      </c>
      <c r="K194" s="47">
        <f t="shared" si="95"/>
        <v>158.46600000000001</v>
      </c>
      <c r="L194" s="47">
        <f>L198</f>
        <v>0</v>
      </c>
      <c r="M194" s="47">
        <f>M198</f>
        <v>0</v>
      </c>
      <c r="N194" s="47">
        <v>0</v>
      </c>
      <c r="O194" s="47">
        <v>0</v>
      </c>
      <c r="P194" s="47">
        <v>0</v>
      </c>
      <c r="Q194" s="47">
        <v>0</v>
      </c>
      <c r="R194" s="47">
        <v>0</v>
      </c>
      <c r="S194" s="310">
        <v>159.434</v>
      </c>
      <c r="T194" s="1486" t="s">
        <v>186</v>
      </c>
      <c r="U194" s="77" t="s">
        <v>210</v>
      </c>
      <c r="V194" s="514"/>
      <c r="W194" s="514"/>
      <c r="X194" s="514">
        <v>300</v>
      </c>
      <c r="Y194" s="514"/>
      <c r="Z194" s="517">
        <v>2019</v>
      </c>
      <c r="AA194" s="517">
        <v>2019</v>
      </c>
      <c r="AB194" s="1493" t="s">
        <v>20</v>
      </c>
      <c r="AC194" s="52">
        <f>AD194+AE194</f>
        <v>27019.38</v>
      </c>
      <c r="AD194" s="3">
        <v>0</v>
      </c>
      <c r="AE194" s="79">
        <f>AE195</f>
        <v>27019.38</v>
      </c>
      <c r="AF194" s="76">
        <f>AF195</f>
        <v>0</v>
      </c>
      <c r="AG194" s="76">
        <f>AG195</f>
        <v>0</v>
      </c>
      <c r="AH194" s="78">
        <v>0</v>
      </c>
      <c r="AI194" s="78">
        <v>0</v>
      </c>
      <c r="AJ194" s="78">
        <v>0</v>
      </c>
      <c r="AK194" s="78">
        <v>0</v>
      </c>
      <c r="AL194" s="78">
        <v>0</v>
      </c>
      <c r="AM194" s="78">
        <v>0</v>
      </c>
      <c r="AN194" s="78">
        <v>0</v>
      </c>
      <c r="AO194" s="78">
        <v>0</v>
      </c>
    </row>
    <row r="195" spans="1:41" ht="17.25" customHeight="1" x14ac:dyDescent="0.25">
      <c r="A195" s="96">
        <f>C195</f>
        <v>0</v>
      </c>
      <c r="B195" s="47">
        <f>C195</f>
        <v>0</v>
      </c>
      <c r="C195" s="47">
        <v>0</v>
      </c>
      <c r="D195" s="96"/>
      <c r="E195" s="96"/>
      <c r="F195" s="96"/>
      <c r="G195" s="96"/>
      <c r="H195" s="96"/>
      <c r="I195" s="96"/>
      <c r="J195" s="96">
        <f>K195</f>
        <v>11.1596666666667</v>
      </c>
      <c r="K195" s="96">
        <v>11.1596666666667</v>
      </c>
      <c r="L195" s="96"/>
      <c r="M195" s="96"/>
      <c r="N195" s="96"/>
      <c r="O195" s="96"/>
      <c r="P195" s="96"/>
      <c r="Q195" s="96"/>
      <c r="R195" s="96"/>
      <c r="S195" s="311"/>
      <c r="T195" s="1533"/>
      <c r="U195" s="1" t="s">
        <v>211</v>
      </c>
      <c r="V195" s="517"/>
      <c r="W195" s="517"/>
      <c r="X195" s="517"/>
      <c r="Y195" s="517"/>
      <c r="Z195" s="517"/>
      <c r="AA195" s="517"/>
      <c r="AB195" s="1494"/>
      <c r="AC195" s="6"/>
      <c r="AD195" s="47"/>
      <c r="AE195" s="47">
        <v>27019.38</v>
      </c>
      <c r="AF195" s="4">
        <v>0</v>
      </c>
      <c r="AG195" s="4">
        <f>AG196</f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</row>
    <row r="196" spans="1:41" s="266" customFormat="1" ht="17.25" hidden="1" customHeight="1" x14ac:dyDescent="0.25">
      <c r="A196" s="96">
        <f>I196</f>
        <v>3.4409999999999998</v>
      </c>
      <c r="B196" s="96"/>
      <c r="C196" s="96"/>
      <c r="D196" s="96"/>
      <c r="E196" s="96"/>
      <c r="F196" s="96"/>
      <c r="G196" s="96"/>
      <c r="H196" s="96">
        <f>I196</f>
        <v>3.4409999999999998</v>
      </c>
      <c r="I196" s="96">
        <v>3.4409999999999998</v>
      </c>
      <c r="J196" s="96">
        <f>K196</f>
        <v>3.4409999999999998</v>
      </c>
      <c r="K196" s="96">
        <v>3.4409999999999998</v>
      </c>
      <c r="L196" s="96"/>
      <c r="M196" s="96"/>
      <c r="N196" s="96"/>
      <c r="O196" s="96"/>
      <c r="P196" s="96"/>
      <c r="Q196" s="96"/>
      <c r="R196" s="96"/>
      <c r="S196" s="302"/>
      <c r="T196" s="267"/>
      <c r="U196" s="102" t="s">
        <v>253</v>
      </c>
      <c r="V196" s="104"/>
      <c r="W196" s="104"/>
      <c r="X196" s="104"/>
      <c r="Y196" s="104"/>
      <c r="Z196" s="104"/>
      <c r="AA196" s="104"/>
      <c r="AB196" s="102"/>
      <c r="AC196" s="106"/>
      <c r="AD196" s="96"/>
      <c r="AE196" s="96"/>
      <c r="AF196" s="268">
        <f>AG196</f>
        <v>0</v>
      </c>
      <c r="AG196" s="268">
        <f>AI196+AK196+AM196</f>
        <v>0</v>
      </c>
      <c r="AH196" s="120">
        <v>0</v>
      </c>
      <c r="AI196" s="121">
        <v>0</v>
      </c>
      <c r="AJ196" s="121">
        <v>0</v>
      </c>
      <c r="AK196" s="121">
        <v>0</v>
      </c>
      <c r="AL196" s="120">
        <v>0</v>
      </c>
      <c r="AM196" s="121">
        <v>0</v>
      </c>
      <c r="AN196" s="121">
        <v>0</v>
      </c>
      <c r="AO196" s="121">
        <v>0</v>
      </c>
    </row>
    <row r="197" spans="1:41" s="266" customFormat="1" ht="54.75" customHeight="1" x14ac:dyDescent="0.25">
      <c r="A197" s="96">
        <f>I197</f>
        <v>122.36</v>
      </c>
      <c r="B197" s="96"/>
      <c r="C197" s="96"/>
      <c r="D197" s="96"/>
      <c r="E197" s="96"/>
      <c r="F197" s="96"/>
      <c r="G197" s="96"/>
      <c r="H197" s="96">
        <f>I197</f>
        <v>122.36</v>
      </c>
      <c r="I197" s="96">
        <v>122.36</v>
      </c>
      <c r="J197" s="96">
        <f>K197</f>
        <v>122.36</v>
      </c>
      <c r="K197" s="96">
        <v>122.36</v>
      </c>
      <c r="L197" s="96"/>
      <c r="M197" s="96"/>
      <c r="N197" s="96"/>
      <c r="O197" s="96"/>
      <c r="P197" s="96"/>
      <c r="Q197" s="96"/>
      <c r="R197" s="96"/>
      <c r="S197" s="302"/>
      <c r="T197" s="14" t="s">
        <v>188</v>
      </c>
      <c r="U197" s="77" t="s">
        <v>289</v>
      </c>
      <c r="V197" s="346">
        <v>63</v>
      </c>
      <c r="W197" s="346">
        <v>250</v>
      </c>
      <c r="X197" s="346">
        <v>250</v>
      </c>
      <c r="Y197" s="346"/>
      <c r="Z197" s="347">
        <v>2019</v>
      </c>
      <c r="AA197" s="347">
        <v>2019</v>
      </c>
      <c r="AB197" s="1"/>
      <c r="AC197" s="348">
        <f>AD197+AE197</f>
        <v>36691.870000000003</v>
      </c>
      <c r="AD197" s="349">
        <v>0</v>
      </c>
      <c r="AE197" s="79">
        <f>AE198+AE201+AE202</f>
        <v>36691.870000000003</v>
      </c>
      <c r="AF197" s="79">
        <f>AF198+AF201+AF202</f>
        <v>2799.3</v>
      </c>
      <c r="AG197" s="79">
        <f t="shared" ref="AG197:AK197" si="96">AG198+AG201+AG202</f>
        <v>0</v>
      </c>
      <c r="AH197" s="79">
        <f t="shared" si="96"/>
        <v>0</v>
      </c>
      <c r="AI197" s="79">
        <f t="shared" si="96"/>
        <v>0</v>
      </c>
      <c r="AJ197" s="79">
        <f t="shared" si="96"/>
        <v>0</v>
      </c>
      <c r="AK197" s="79">
        <f t="shared" si="96"/>
        <v>0</v>
      </c>
      <c r="AL197" s="78">
        <v>0</v>
      </c>
      <c r="AM197" s="78">
        <v>0</v>
      </c>
      <c r="AN197" s="78">
        <v>0</v>
      </c>
      <c r="AO197" s="78">
        <v>0</v>
      </c>
    </row>
    <row r="198" spans="1:41" s="266" customFormat="1" ht="38.25" customHeight="1" x14ac:dyDescent="0.25">
      <c r="A198" s="96">
        <f>I198</f>
        <v>32.664999999999999</v>
      </c>
      <c r="B198" s="96"/>
      <c r="C198" s="96"/>
      <c r="D198" s="96"/>
      <c r="E198" s="96"/>
      <c r="F198" s="96"/>
      <c r="G198" s="96"/>
      <c r="H198" s="96">
        <f>I198</f>
        <v>32.664999999999999</v>
      </c>
      <c r="I198" s="96">
        <v>32.664999999999999</v>
      </c>
      <c r="J198" s="96">
        <f>K198</f>
        <v>32.664999999999999</v>
      </c>
      <c r="K198" s="96">
        <v>32.664999999999999</v>
      </c>
      <c r="L198" s="96"/>
      <c r="M198" s="96"/>
      <c r="N198" s="96"/>
      <c r="O198" s="96"/>
      <c r="P198" s="96"/>
      <c r="Q198" s="96"/>
      <c r="R198" s="96"/>
      <c r="S198" s="302"/>
      <c r="T198" s="512"/>
      <c r="U198" s="47" t="s">
        <v>15</v>
      </c>
      <c r="V198" s="517"/>
      <c r="W198" s="517"/>
      <c r="X198" s="517"/>
      <c r="Y198" s="517"/>
      <c r="Z198" s="517"/>
      <c r="AA198" s="517"/>
      <c r="AB198" s="481" t="s">
        <v>20</v>
      </c>
      <c r="AC198" s="462"/>
      <c r="AD198" s="47"/>
      <c r="AE198" s="47">
        <v>2799.3</v>
      </c>
      <c r="AF198" s="4">
        <v>2799.3</v>
      </c>
      <c r="AG198" s="4">
        <f>SUM(AG199:AG200)</f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</row>
    <row r="199" spans="1:41" ht="15.75" hidden="1" customHeight="1" x14ac:dyDescent="0.25">
      <c r="A199" s="47">
        <v>0</v>
      </c>
      <c r="B199" s="47">
        <v>0</v>
      </c>
      <c r="C199" s="47">
        <v>0</v>
      </c>
      <c r="D199" s="47">
        <v>0</v>
      </c>
      <c r="E199" s="47">
        <v>0</v>
      </c>
      <c r="F199" s="47">
        <v>0</v>
      </c>
      <c r="G199" s="47">
        <v>0</v>
      </c>
      <c r="H199" s="96">
        <v>0</v>
      </c>
      <c r="I199" s="96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310">
        <v>1639.8466699999999</v>
      </c>
      <c r="T199" s="267"/>
      <c r="U199" s="102" t="s">
        <v>263</v>
      </c>
      <c r="V199" s="104"/>
      <c r="W199" s="104"/>
      <c r="X199" s="104"/>
      <c r="Y199" s="104"/>
      <c r="Z199" s="104"/>
      <c r="AA199" s="104"/>
      <c r="AB199" s="102"/>
      <c r="AC199" s="106"/>
      <c r="AD199" s="96"/>
      <c r="AE199" s="96"/>
      <c r="AF199" s="268">
        <f>AH199+AJ199</f>
        <v>0</v>
      </c>
      <c r="AG199" s="268">
        <f>AO199</f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</row>
    <row r="200" spans="1:41" ht="15.75" hidden="1" customHeight="1" x14ac:dyDescent="0.25">
      <c r="A200" s="79">
        <f t="shared" ref="A200:R200" si="97">A202</f>
        <v>0</v>
      </c>
      <c r="B200" s="79">
        <f t="shared" si="97"/>
        <v>0</v>
      </c>
      <c r="C200" s="79">
        <f t="shared" si="97"/>
        <v>0</v>
      </c>
      <c r="D200" s="79">
        <f t="shared" si="97"/>
        <v>0</v>
      </c>
      <c r="E200" s="79">
        <f t="shared" si="97"/>
        <v>0</v>
      </c>
      <c r="F200" s="79">
        <f t="shared" si="97"/>
        <v>0</v>
      </c>
      <c r="G200" s="79">
        <f t="shared" si="97"/>
        <v>0</v>
      </c>
      <c r="H200" s="79">
        <f t="shared" si="97"/>
        <v>0</v>
      </c>
      <c r="I200" s="79">
        <f t="shared" si="97"/>
        <v>0</v>
      </c>
      <c r="J200" s="79">
        <f t="shared" si="97"/>
        <v>0</v>
      </c>
      <c r="K200" s="79">
        <f t="shared" si="97"/>
        <v>0</v>
      </c>
      <c r="L200" s="79">
        <f t="shared" si="97"/>
        <v>0</v>
      </c>
      <c r="M200" s="79">
        <f t="shared" si="97"/>
        <v>0</v>
      </c>
      <c r="N200" s="79">
        <f t="shared" si="97"/>
        <v>0</v>
      </c>
      <c r="O200" s="79">
        <f t="shared" si="97"/>
        <v>0</v>
      </c>
      <c r="P200" s="79">
        <f t="shared" si="97"/>
        <v>0</v>
      </c>
      <c r="Q200" s="79">
        <f t="shared" si="97"/>
        <v>0</v>
      </c>
      <c r="R200" s="79">
        <f t="shared" si="97"/>
        <v>0</v>
      </c>
      <c r="S200" s="309"/>
      <c r="T200" s="490"/>
      <c r="U200" s="102" t="s">
        <v>294</v>
      </c>
      <c r="V200" s="104"/>
      <c r="W200" s="104"/>
      <c r="X200" s="104"/>
      <c r="Y200" s="104"/>
      <c r="Z200" s="104"/>
      <c r="AA200" s="104"/>
      <c r="AB200" s="92"/>
      <c r="AC200" s="442"/>
      <c r="AD200" s="96"/>
      <c r="AE200" s="96"/>
      <c r="AF200" s="268"/>
      <c r="AG200" s="268">
        <f>AO200</f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</row>
    <row r="201" spans="1:41" ht="15.75" customHeight="1" x14ac:dyDescent="0.25">
      <c r="A201" s="96">
        <f>C201</f>
        <v>0</v>
      </c>
      <c r="B201" s="47">
        <f>C201</f>
        <v>0</v>
      </c>
      <c r="C201" s="47">
        <v>0</v>
      </c>
      <c r="D201" s="96"/>
      <c r="E201" s="96"/>
      <c r="F201" s="96"/>
      <c r="G201" s="96"/>
      <c r="H201" s="47"/>
      <c r="I201" s="47"/>
      <c r="J201" s="96">
        <f>K201</f>
        <v>11.1596666666667</v>
      </c>
      <c r="K201" s="96">
        <v>11.1596666666667</v>
      </c>
      <c r="L201" s="96"/>
      <c r="M201" s="96"/>
      <c r="N201" s="96"/>
      <c r="O201" s="96"/>
      <c r="P201" s="96"/>
      <c r="Q201" s="96"/>
      <c r="R201" s="96"/>
      <c r="S201" s="311"/>
      <c r="T201" s="512"/>
      <c r="U201" s="47" t="s">
        <v>15</v>
      </c>
      <c r="V201" s="517"/>
      <c r="W201" s="517"/>
      <c r="X201" s="517"/>
      <c r="Y201" s="517"/>
      <c r="Z201" s="517"/>
      <c r="AA201" s="517"/>
      <c r="AB201" s="1493" t="s">
        <v>10</v>
      </c>
      <c r="AC201" s="462"/>
      <c r="AD201" s="47"/>
      <c r="AE201" s="47">
        <v>2500</v>
      </c>
      <c r="AF201" s="4">
        <v>0</v>
      </c>
      <c r="AG201" s="4"/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</row>
    <row r="202" spans="1:41" ht="16.5" customHeight="1" x14ac:dyDescent="0.25">
      <c r="A202" s="47">
        <v>0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  <c r="P202" s="47">
        <v>0</v>
      </c>
      <c r="Q202" s="47">
        <v>0</v>
      </c>
      <c r="R202" s="47">
        <v>0</v>
      </c>
      <c r="S202" s="310"/>
      <c r="T202" s="512"/>
      <c r="U202" s="1" t="s">
        <v>16</v>
      </c>
      <c r="V202" s="517"/>
      <c r="W202" s="517"/>
      <c r="X202" s="517"/>
      <c r="Y202" s="517"/>
      <c r="Z202" s="517"/>
      <c r="AA202" s="517"/>
      <c r="AB202" s="1494"/>
      <c r="AC202" s="462"/>
      <c r="AD202" s="47"/>
      <c r="AE202" s="47">
        <v>31392.57</v>
      </c>
      <c r="AF202" s="47">
        <v>0</v>
      </c>
      <c r="AG202" s="4"/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</row>
    <row r="203" spans="1:41" ht="31.5" customHeight="1" x14ac:dyDescent="0.25">
      <c r="A203" s="79">
        <f t="shared" ref="A203:R203" si="98">A204</f>
        <v>42</v>
      </c>
      <c r="B203" s="79">
        <f t="shared" si="98"/>
        <v>0</v>
      </c>
      <c r="C203" s="79">
        <f t="shared" si="98"/>
        <v>0</v>
      </c>
      <c r="D203" s="79">
        <f t="shared" si="98"/>
        <v>0</v>
      </c>
      <c r="E203" s="79">
        <f t="shared" si="98"/>
        <v>0</v>
      </c>
      <c r="F203" s="79">
        <f t="shared" si="98"/>
        <v>0</v>
      </c>
      <c r="G203" s="79">
        <f t="shared" si="98"/>
        <v>0</v>
      </c>
      <c r="H203" s="79">
        <f t="shared" si="98"/>
        <v>42</v>
      </c>
      <c r="I203" s="79">
        <f t="shared" si="98"/>
        <v>42</v>
      </c>
      <c r="J203" s="79">
        <f t="shared" si="98"/>
        <v>0</v>
      </c>
      <c r="K203" s="79">
        <f t="shared" si="98"/>
        <v>0</v>
      </c>
      <c r="L203" s="79">
        <f t="shared" si="98"/>
        <v>0</v>
      </c>
      <c r="M203" s="79">
        <f t="shared" si="98"/>
        <v>0</v>
      </c>
      <c r="N203" s="79">
        <f t="shared" si="98"/>
        <v>0</v>
      </c>
      <c r="O203" s="79">
        <f t="shared" si="98"/>
        <v>0</v>
      </c>
      <c r="P203" s="79">
        <f t="shared" si="98"/>
        <v>0</v>
      </c>
      <c r="Q203" s="79">
        <f t="shared" si="98"/>
        <v>0</v>
      </c>
      <c r="R203" s="79">
        <f t="shared" si="98"/>
        <v>0</v>
      </c>
      <c r="S203" s="309"/>
      <c r="T203" s="1358" t="s">
        <v>189</v>
      </c>
      <c r="U203" s="77" t="s">
        <v>35</v>
      </c>
      <c r="V203" s="1363">
        <v>500</v>
      </c>
      <c r="W203" s="1363" t="s">
        <v>43</v>
      </c>
      <c r="X203" s="1363">
        <v>850</v>
      </c>
      <c r="Y203" s="1362">
        <v>20400</v>
      </c>
      <c r="Z203" s="51"/>
      <c r="AA203" s="51"/>
      <c r="AB203" s="1326" t="s">
        <v>20</v>
      </c>
      <c r="AC203" s="1384">
        <v>6942.46</v>
      </c>
      <c r="AD203" s="3">
        <v>0</v>
      </c>
      <c r="AE203" s="79">
        <f>AE204</f>
        <v>6462.97</v>
      </c>
      <c r="AF203" s="76">
        <f>AF204</f>
        <v>6462.97</v>
      </c>
      <c r="AG203" s="76">
        <v>0</v>
      </c>
      <c r="AH203" s="78">
        <v>0</v>
      </c>
      <c r="AI203" s="78">
        <v>0</v>
      </c>
      <c r="AJ203" s="78">
        <v>0</v>
      </c>
      <c r="AK203" s="78">
        <v>0</v>
      </c>
      <c r="AL203" s="78">
        <v>0</v>
      </c>
      <c r="AM203" s="78">
        <v>0</v>
      </c>
      <c r="AN203" s="78">
        <v>0</v>
      </c>
      <c r="AO203" s="78">
        <v>0</v>
      </c>
    </row>
    <row r="204" spans="1:41" ht="18.75" customHeight="1" x14ac:dyDescent="0.25">
      <c r="A204" s="96">
        <f>C204+I204</f>
        <v>42</v>
      </c>
      <c r="B204" s="47">
        <f>C204</f>
        <v>0</v>
      </c>
      <c r="C204" s="47">
        <v>0</v>
      </c>
      <c r="D204" s="96"/>
      <c r="E204" s="96"/>
      <c r="F204" s="96"/>
      <c r="G204" s="96"/>
      <c r="H204" s="96">
        <f>I204</f>
        <v>42</v>
      </c>
      <c r="I204" s="96">
        <v>42</v>
      </c>
      <c r="J204" s="96">
        <f>K204</f>
        <v>0</v>
      </c>
      <c r="K204" s="96">
        <v>0</v>
      </c>
      <c r="L204" s="96"/>
      <c r="M204" s="96"/>
      <c r="N204" s="96"/>
      <c r="O204" s="96"/>
      <c r="P204" s="96"/>
      <c r="Q204" s="96"/>
      <c r="R204" s="96"/>
      <c r="S204" s="311"/>
      <c r="T204" s="1361"/>
      <c r="U204" s="1" t="s">
        <v>15</v>
      </c>
      <c r="V204" s="1363"/>
      <c r="W204" s="1363"/>
      <c r="X204" s="1363"/>
      <c r="Y204" s="1363"/>
      <c r="Z204" s="517">
        <v>2021</v>
      </c>
      <c r="AA204" s="517">
        <v>2021</v>
      </c>
      <c r="AB204" s="1328"/>
      <c r="AC204" s="1385"/>
      <c r="AD204" s="3"/>
      <c r="AE204" s="22">
        <v>6462.97</v>
      </c>
      <c r="AF204" s="47">
        <v>6462.97</v>
      </c>
      <c r="AG204" s="47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</row>
    <row r="205" spans="1:41" ht="41.25" customHeight="1" x14ac:dyDescent="0.25">
      <c r="A205" s="47">
        <v>0</v>
      </c>
      <c r="B205" s="47">
        <v>0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0</v>
      </c>
      <c r="M205" s="47">
        <v>0</v>
      </c>
      <c r="N205" s="47">
        <v>0</v>
      </c>
      <c r="O205" s="47">
        <v>0</v>
      </c>
      <c r="P205" s="47">
        <v>0</v>
      </c>
      <c r="Q205" s="47">
        <v>0</v>
      </c>
      <c r="R205" s="47">
        <v>0</v>
      </c>
      <c r="S205" s="310"/>
      <c r="T205" s="1358" t="s">
        <v>190</v>
      </c>
      <c r="U205" s="77" t="s">
        <v>191</v>
      </c>
      <c r="V205" s="1362"/>
      <c r="W205" s="1362"/>
      <c r="X205" s="1362"/>
      <c r="Y205" s="1362">
        <v>80</v>
      </c>
      <c r="Z205" s="51"/>
      <c r="AA205" s="51"/>
      <c r="AB205" s="1326" t="s">
        <v>20</v>
      </c>
      <c r="AC205" s="53">
        <f>AE205</f>
        <v>45265.81</v>
      </c>
      <c r="AD205" s="6"/>
      <c r="AE205" s="79">
        <f>AE206+AE208</f>
        <v>45265.81</v>
      </c>
      <c r="AF205" s="79">
        <f>AF206+AF208</f>
        <v>0</v>
      </c>
      <c r="AG205" s="79">
        <f>AG206+AG208</f>
        <v>0</v>
      </c>
      <c r="AH205" s="78">
        <v>0</v>
      </c>
      <c r="AI205" s="78">
        <v>0</v>
      </c>
      <c r="AJ205" s="78">
        <v>0</v>
      </c>
      <c r="AK205" s="78">
        <v>0</v>
      </c>
      <c r="AL205" s="78">
        <v>0</v>
      </c>
      <c r="AM205" s="78">
        <v>0</v>
      </c>
      <c r="AN205" s="78">
        <v>0</v>
      </c>
      <c r="AO205" s="78">
        <v>0</v>
      </c>
    </row>
    <row r="206" spans="1:41" ht="15.75" customHeight="1" x14ac:dyDescent="0.25">
      <c r="A206" s="108"/>
      <c r="B206" s="129"/>
      <c r="C206" s="129"/>
      <c r="D206" s="108"/>
      <c r="E206" s="108"/>
      <c r="F206" s="108"/>
      <c r="G206" s="108"/>
      <c r="T206" s="1359"/>
      <c r="U206" s="1" t="s">
        <v>15</v>
      </c>
      <c r="V206" s="1363"/>
      <c r="W206" s="1363"/>
      <c r="X206" s="1363"/>
      <c r="Y206" s="1363"/>
      <c r="Z206" s="517">
        <v>2019</v>
      </c>
      <c r="AA206" s="517">
        <v>2019</v>
      </c>
      <c r="AB206" s="1327"/>
      <c r="AC206" s="53">
        <f>AE206</f>
        <v>7077.92</v>
      </c>
      <c r="AD206" s="6"/>
      <c r="AE206" s="22">
        <v>7077.92</v>
      </c>
      <c r="AF206" s="47">
        <v>0</v>
      </c>
      <c r="AG206" s="47">
        <f>SUM(AG207)</f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</row>
    <row r="207" spans="1:41" ht="15.75" hidden="1" customHeight="1" x14ac:dyDescent="0.25">
      <c r="A207" s="108"/>
      <c r="B207" s="129"/>
      <c r="C207" s="129"/>
      <c r="D207" s="108"/>
      <c r="E207" s="108"/>
      <c r="F207" s="108" t="s">
        <v>97</v>
      </c>
      <c r="G207" s="108"/>
      <c r="T207" s="1359"/>
      <c r="U207" s="102" t="s">
        <v>266</v>
      </c>
      <c r="V207" s="103"/>
      <c r="W207" s="103"/>
      <c r="X207" s="103"/>
      <c r="Y207" s="103"/>
      <c r="Z207" s="104"/>
      <c r="AA207" s="104"/>
      <c r="AB207" s="1327"/>
      <c r="AC207" s="105"/>
      <c r="AD207" s="106"/>
      <c r="AE207" s="165"/>
      <c r="AF207" s="96">
        <f>AH207</f>
        <v>0</v>
      </c>
      <c r="AG207" s="96">
        <f>AI207</f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</row>
    <row r="208" spans="1:41" ht="15.75" customHeight="1" x14ac:dyDescent="0.25">
      <c r="A208" s="108"/>
      <c r="B208" s="129"/>
      <c r="C208" s="129"/>
      <c r="D208" s="108"/>
      <c r="E208" s="108"/>
      <c r="F208" s="108"/>
      <c r="G208" s="108"/>
      <c r="T208" s="1361"/>
      <c r="U208" s="1" t="s">
        <v>16</v>
      </c>
      <c r="V208" s="497"/>
      <c r="W208" s="497"/>
      <c r="X208" s="497"/>
      <c r="Y208" s="497"/>
      <c r="Z208" s="517">
        <v>2020</v>
      </c>
      <c r="AA208" s="517">
        <v>2021</v>
      </c>
      <c r="AB208" s="1328"/>
      <c r="AC208" s="53">
        <f>AE208</f>
        <v>38187.89</v>
      </c>
      <c r="AD208" s="6"/>
      <c r="AE208" s="22">
        <v>38187.89</v>
      </c>
      <c r="AF208" s="47">
        <v>0</v>
      </c>
      <c r="AG208" s="47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</row>
    <row r="209" spans="1:41" ht="55.5" customHeight="1" x14ac:dyDescent="0.25">
      <c r="A209" s="108"/>
      <c r="B209" s="129"/>
      <c r="C209" s="129"/>
      <c r="D209" s="108"/>
      <c r="E209" s="108"/>
      <c r="F209" s="108"/>
      <c r="G209" s="108"/>
      <c r="T209" s="1358" t="s">
        <v>192</v>
      </c>
      <c r="U209" s="80" t="s">
        <v>166</v>
      </c>
      <c r="V209" s="1362"/>
      <c r="W209" s="1362"/>
      <c r="X209" s="1362"/>
      <c r="Y209" s="1362">
        <v>80</v>
      </c>
      <c r="Z209" s="51"/>
      <c r="AA209" s="51"/>
      <c r="AB209" s="1326" t="s">
        <v>20</v>
      </c>
      <c r="AC209" s="53">
        <f>AE209</f>
        <v>94875.549999999988</v>
      </c>
      <c r="AD209" s="6"/>
      <c r="AE209" s="79">
        <f>AE210+AE213</f>
        <v>94875.549999999988</v>
      </c>
      <c r="AF209" s="79">
        <f>AF210+AF213</f>
        <v>2605.9899999999998</v>
      </c>
      <c r="AG209" s="79">
        <f>AG210+AG213</f>
        <v>0</v>
      </c>
      <c r="AH209" s="78">
        <v>0</v>
      </c>
      <c r="AI209" s="78">
        <v>0</v>
      </c>
      <c r="AJ209" s="78">
        <v>0</v>
      </c>
      <c r="AK209" s="78">
        <v>0</v>
      </c>
      <c r="AL209" s="78">
        <v>0</v>
      </c>
      <c r="AM209" s="78">
        <v>0</v>
      </c>
      <c r="AN209" s="78">
        <v>0</v>
      </c>
      <c r="AO209" s="78">
        <v>0</v>
      </c>
    </row>
    <row r="210" spans="1:41" ht="15.75" customHeight="1" x14ac:dyDescent="0.25">
      <c r="A210" s="108"/>
      <c r="B210" s="129"/>
      <c r="C210" s="129"/>
      <c r="D210" s="108"/>
      <c r="E210" s="108"/>
      <c r="F210" s="108" t="s">
        <v>99</v>
      </c>
      <c r="G210" s="108"/>
      <c r="T210" s="1359"/>
      <c r="U210" s="42" t="s">
        <v>15</v>
      </c>
      <c r="V210" s="1363"/>
      <c r="W210" s="1363"/>
      <c r="X210" s="1363"/>
      <c r="Y210" s="1363"/>
      <c r="Z210" s="313"/>
      <c r="AA210" s="314"/>
      <c r="AB210" s="1327"/>
      <c r="AC210" s="72"/>
      <c r="AD210" s="47"/>
      <c r="AE210" s="47">
        <v>5734.87</v>
      </c>
      <c r="AF210" s="47">
        <v>0</v>
      </c>
      <c r="AG210" s="47">
        <f>SUM(AG211:AG213)</f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</row>
    <row r="211" spans="1:41" ht="15.75" hidden="1" customHeight="1" x14ac:dyDescent="0.25">
      <c r="A211" s="108"/>
      <c r="B211" s="129"/>
      <c r="C211" s="129"/>
      <c r="D211" s="108"/>
      <c r="E211" s="108"/>
      <c r="F211" s="108"/>
      <c r="G211" s="108"/>
      <c r="T211" s="1359"/>
      <c r="U211" s="252" t="s">
        <v>228</v>
      </c>
      <c r="V211" s="363"/>
      <c r="W211" s="363"/>
      <c r="X211" s="363"/>
      <c r="Y211" s="363"/>
      <c r="Z211" s="363"/>
      <c r="AA211" s="364"/>
      <c r="AB211" s="1327"/>
      <c r="AC211" s="258"/>
      <c r="AD211" s="96"/>
      <c r="AE211" s="96"/>
      <c r="AF211" s="47"/>
      <c r="AG211" s="96">
        <f>AO211</f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</row>
    <row r="212" spans="1:41" ht="15.75" hidden="1" customHeight="1" x14ac:dyDescent="0.25">
      <c r="A212" s="108"/>
      <c r="B212" s="129"/>
      <c r="C212" s="129"/>
      <c r="D212" s="108"/>
      <c r="E212" s="108"/>
      <c r="F212" s="108" t="s">
        <v>101</v>
      </c>
      <c r="G212" s="108"/>
      <c r="T212" s="1359"/>
      <c r="U212" s="252" t="s">
        <v>267</v>
      </c>
      <c r="V212" s="363"/>
      <c r="W212" s="363"/>
      <c r="X212" s="363"/>
      <c r="Y212" s="363"/>
      <c r="Z212" s="363"/>
      <c r="AA212" s="364"/>
      <c r="AB212" s="1327"/>
      <c r="AC212" s="258"/>
      <c r="AD212" s="96"/>
      <c r="AE212" s="96"/>
      <c r="AF212" s="96">
        <f>AH212+AJ212</f>
        <v>0</v>
      </c>
      <c r="AG212" s="96">
        <f>AI212+AK212</f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</row>
    <row r="213" spans="1:41" ht="15" customHeight="1" x14ac:dyDescent="0.25">
      <c r="T213" s="1361"/>
      <c r="U213" s="1" t="s">
        <v>16</v>
      </c>
      <c r="V213" s="497"/>
      <c r="W213" s="497"/>
      <c r="X213" s="497"/>
      <c r="Y213" s="497"/>
      <c r="Z213" s="517">
        <v>2020</v>
      </c>
      <c r="AA213" s="517">
        <v>2021</v>
      </c>
      <c r="AB213" s="1328"/>
      <c r="AC213" s="53">
        <f>AE213</f>
        <v>89140.68</v>
      </c>
      <c r="AD213" s="6"/>
      <c r="AE213" s="47">
        <v>89140.68</v>
      </c>
      <c r="AF213" s="47">
        <v>2605.9899999999998</v>
      </c>
      <c r="AG213" s="47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</row>
    <row r="214" spans="1:41" ht="51" customHeight="1" x14ac:dyDescent="0.25">
      <c r="T214" s="1358" t="s">
        <v>193</v>
      </c>
      <c r="U214" s="80" t="s">
        <v>163</v>
      </c>
      <c r="V214" s="1362"/>
      <c r="W214" s="1362"/>
      <c r="X214" s="1362"/>
      <c r="Y214" s="1362">
        <v>81</v>
      </c>
      <c r="Z214" s="51"/>
      <c r="AA214" s="51"/>
      <c r="AB214" s="1326" t="s">
        <v>20</v>
      </c>
      <c r="AC214" s="53">
        <f>AE214</f>
        <v>5513.9</v>
      </c>
      <c r="AD214" s="6"/>
      <c r="AE214" s="79">
        <f>AE215+AE220</f>
        <v>5513.9</v>
      </c>
      <c r="AF214" s="79">
        <f>AF215+AF220</f>
        <v>0</v>
      </c>
      <c r="AG214" s="79">
        <f>AG215+AG220</f>
        <v>0</v>
      </c>
      <c r="AH214" s="78">
        <v>0</v>
      </c>
      <c r="AI214" s="78">
        <v>0</v>
      </c>
      <c r="AJ214" s="78">
        <v>0</v>
      </c>
      <c r="AK214" s="78">
        <v>0</v>
      </c>
      <c r="AL214" s="78">
        <v>0</v>
      </c>
      <c r="AM214" s="78">
        <v>0</v>
      </c>
      <c r="AN214" s="78">
        <v>0</v>
      </c>
      <c r="AO214" s="78">
        <v>0</v>
      </c>
    </row>
    <row r="215" spans="1:41" ht="15.75" customHeight="1" x14ac:dyDescent="0.25">
      <c r="T215" s="1359"/>
      <c r="U215" s="1" t="s">
        <v>15</v>
      </c>
      <c r="V215" s="1363"/>
      <c r="W215" s="1363"/>
      <c r="X215" s="1363"/>
      <c r="Y215" s="1363"/>
      <c r="Z215" s="517">
        <v>2021</v>
      </c>
      <c r="AA215" s="517">
        <v>2023</v>
      </c>
      <c r="AB215" s="1327"/>
      <c r="AC215" s="53">
        <f>AE215</f>
        <v>594.36</v>
      </c>
      <c r="AD215" s="6"/>
      <c r="AE215" s="22">
        <v>594.36</v>
      </c>
      <c r="AF215" s="22">
        <v>0</v>
      </c>
      <c r="AG215" s="47">
        <f>SUM(AG217:AG219)</f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</row>
    <row r="216" spans="1:41" ht="15" hidden="1" customHeight="1" x14ac:dyDescent="0.25">
      <c r="T216" s="1359"/>
      <c r="U216" s="102" t="s">
        <v>93</v>
      </c>
      <c r="V216" s="103"/>
      <c r="W216" s="103"/>
      <c r="X216" s="103"/>
      <c r="Y216" s="103"/>
      <c r="Z216" s="104"/>
      <c r="AA216" s="104"/>
      <c r="AB216" s="1327"/>
      <c r="AC216" s="105"/>
      <c r="AD216" s="106"/>
      <c r="AE216" s="165"/>
      <c r="AF216" s="96">
        <f>AH216</f>
        <v>0</v>
      </c>
      <c r="AG216" s="96">
        <f>AI216</f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</row>
    <row r="217" spans="1:41" ht="15" hidden="1" customHeight="1" x14ac:dyDescent="0.25">
      <c r="T217" s="1359"/>
      <c r="U217" s="252" t="s">
        <v>225</v>
      </c>
      <c r="V217" s="363"/>
      <c r="W217" s="363"/>
      <c r="X217" s="363"/>
      <c r="Y217" s="363"/>
      <c r="Z217" s="363"/>
      <c r="AA217" s="364"/>
      <c r="AB217" s="1327"/>
      <c r="AC217" s="258"/>
      <c r="AD217" s="96"/>
      <c r="AE217" s="96"/>
      <c r="AF217" s="47"/>
      <c r="AG217" s="96">
        <f>AO217</f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</row>
    <row r="218" spans="1:41" ht="15" hidden="1" customHeight="1" x14ac:dyDescent="0.25">
      <c r="T218" s="1359"/>
      <c r="U218" s="252" t="s">
        <v>226</v>
      </c>
      <c r="V218" s="363"/>
      <c r="W218" s="363"/>
      <c r="X218" s="363"/>
      <c r="Y218" s="363"/>
      <c r="Z218" s="363"/>
      <c r="AA218" s="364"/>
      <c r="AB218" s="1327"/>
      <c r="AC218" s="258"/>
      <c r="AD218" s="96"/>
      <c r="AE218" s="96"/>
      <c r="AF218" s="47"/>
      <c r="AG218" s="96">
        <f>AI218</f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</row>
    <row r="219" spans="1:41" ht="15" hidden="1" customHeight="1" x14ac:dyDescent="0.25">
      <c r="T219" s="1359"/>
      <c r="U219" s="252" t="s">
        <v>227</v>
      </c>
      <c r="V219" s="363"/>
      <c r="W219" s="363"/>
      <c r="X219" s="363"/>
      <c r="Y219" s="363"/>
      <c r="Z219" s="363"/>
      <c r="AA219" s="364"/>
      <c r="AB219" s="1327"/>
      <c r="AC219" s="258"/>
      <c r="AD219" s="96"/>
      <c r="AE219" s="96"/>
      <c r="AF219" s="47"/>
      <c r="AG219" s="96">
        <f>AO219</f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</row>
    <row r="220" spans="1:41" ht="15" customHeight="1" x14ac:dyDescent="0.25">
      <c r="T220" s="1361"/>
      <c r="U220" s="1" t="s">
        <v>32</v>
      </c>
      <c r="V220" s="497"/>
      <c r="W220" s="497"/>
      <c r="X220" s="497"/>
      <c r="Y220" s="497"/>
      <c r="Z220" s="517">
        <v>2022</v>
      </c>
      <c r="AA220" s="517">
        <v>2025</v>
      </c>
      <c r="AB220" s="1328"/>
      <c r="AC220" s="53">
        <f>AE220</f>
        <v>4919.54</v>
      </c>
      <c r="AD220" s="6"/>
      <c r="AE220" s="22">
        <v>4919.54</v>
      </c>
      <c r="AF220" s="47">
        <v>0</v>
      </c>
      <c r="AG220" s="47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</row>
    <row r="221" spans="1:41" ht="15" customHeight="1" x14ac:dyDescent="0.25">
      <c r="T221" s="1358" t="s">
        <v>194</v>
      </c>
      <c r="U221" s="77" t="s">
        <v>196</v>
      </c>
      <c r="V221" s="497"/>
      <c r="W221" s="497"/>
      <c r="X221" s="497"/>
      <c r="Y221" s="497">
        <v>82</v>
      </c>
      <c r="Z221" s="51"/>
      <c r="AA221" s="51"/>
      <c r="AB221" s="1326" t="s">
        <v>20</v>
      </c>
      <c r="AC221" s="53">
        <f>AE221</f>
        <v>12299.37</v>
      </c>
      <c r="AD221" s="6"/>
      <c r="AE221" s="79">
        <f>AE223</f>
        <v>12299.37</v>
      </c>
      <c r="AF221" s="79">
        <f>AF223</f>
        <v>2784.66</v>
      </c>
      <c r="AG221" s="79">
        <f>AG223</f>
        <v>0</v>
      </c>
      <c r="AH221" s="78">
        <v>0</v>
      </c>
      <c r="AI221" s="78">
        <v>0</v>
      </c>
      <c r="AJ221" s="78">
        <v>0</v>
      </c>
      <c r="AK221" s="78">
        <v>0</v>
      </c>
      <c r="AL221" s="78">
        <v>0</v>
      </c>
      <c r="AM221" s="78">
        <v>0</v>
      </c>
      <c r="AN221" s="78">
        <v>0</v>
      </c>
      <c r="AO221" s="78">
        <v>0</v>
      </c>
    </row>
    <row r="222" spans="1:41" ht="15" hidden="1" customHeight="1" x14ac:dyDescent="0.25">
      <c r="T222" s="1359"/>
      <c r="U222" s="102" t="s">
        <v>93</v>
      </c>
      <c r="V222" s="103"/>
      <c r="W222" s="103"/>
      <c r="X222" s="103"/>
      <c r="Y222" s="103"/>
      <c r="Z222" s="104"/>
      <c r="AA222" s="104"/>
      <c r="AB222" s="1327"/>
      <c r="AC222" s="105"/>
      <c r="AD222" s="106"/>
      <c r="AE222" s="165"/>
      <c r="AF222" s="47">
        <f>AH222</f>
        <v>0</v>
      </c>
      <c r="AG222" s="96">
        <f>AI222</f>
        <v>0</v>
      </c>
      <c r="AH222" s="120">
        <v>0</v>
      </c>
      <c r="AI222" s="121">
        <v>0</v>
      </c>
      <c r="AJ222" s="121">
        <v>0</v>
      </c>
      <c r="AK222" s="121">
        <v>0</v>
      </c>
      <c r="AL222" s="120">
        <v>0</v>
      </c>
      <c r="AM222" s="121">
        <v>0</v>
      </c>
      <c r="AN222" s="121">
        <v>0</v>
      </c>
      <c r="AO222" s="121">
        <v>0</v>
      </c>
    </row>
    <row r="223" spans="1:41" ht="26.25" customHeight="1" x14ac:dyDescent="0.25">
      <c r="T223" s="1361"/>
      <c r="U223" s="1" t="s">
        <v>213</v>
      </c>
      <c r="V223" s="497"/>
      <c r="W223" s="497"/>
      <c r="X223" s="497"/>
      <c r="Y223" s="497"/>
      <c r="Z223" s="517">
        <v>2024</v>
      </c>
      <c r="AA223" s="517">
        <v>2029</v>
      </c>
      <c r="AB223" s="1328"/>
      <c r="AC223" s="53">
        <f>AE223</f>
        <v>12299.37</v>
      </c>
      <c r="AD223" s="6"/>
      <c r="AE223" s="22">
        <v>12299.37</v>
      </c>
      <c r="AF223" s="47">
        <v>2784.66</v>
      </c>
      <c r="AG223" s="47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</row>
    <row r="224" spans="1:41" ht="15" customHeight="1" x14ac:dyDescent="0.25">
      <c r="T224" s="1358" t="s">
        <v>195</v>
      </c>
      <c r="U224" s="77" t="s">
        <v>197</v>
      </c>
      <c r="V224" s="497"/>
      <c r="W224" s="497"/>
      <c r="X224" s="497"/>
      <c r="Y224" s="497">
        <v>83</v>
      </c>
      <c r="Z224" s="51"/>
      <c r="AA224" s="51"/>
      <c r="AB224" s="495"/>
      <c r="AC224" s="53">
        <f>AE224</f>
        <v>264150.86</v>
      </c>
      <c r="AD224" s="6"/>
      <c r="AE224" s="79">
        <f>AE225+AE229</f>
        <v>264150.86</v>
      </c>
      <c r="AF224" s="79">
        <f>AF225+AF229</f>
        <v>300.79000000000002</v>
      </c>
      <c r="AG224" s="79">
        <f>AG225</f>
        <v>0</v>
      </c>
      <c r="AH224" s="78">
        <v>0</v>
      </c>
      <c r="AI224" s="78">
        <v>0</v>
      </c>
      <c r="AJ224" s="78">
        <v>0</v>
      </c>
      <c r="AK224" s="78">
        <v>43000</v>
      </c>
      <c r="AL224" s="78">
        <v>0</v>
      </c>
      <c r="AM224" s="78">
        <v>0</v>
      </c>
      <c r="AN224" s="78">
        <v>0</v>
      </c>
      <c r="AO224" s="78">
        <v>0</v>
      </c>
    </row>
    <row r="225" spans="20:41" ht="38.25" customHeight="1" x14ac:dyDescent="0.25">
      <c r="T225" s="1359"/>
      <c r="U225" s="1" t="s">
        <v>213</v>
      </c>
      <c r="V225" s="497"/>
      <c r="W225" s="497"/>
      <c r="X225" s="497"/>
      <c r="Y225" s="497"/>
      <c r="Z225" s="517">
        <v>2026</v>
      </c>
      <c r="AA225" s="517">
        <v>2033</v>
      </c>
      <c r="AB225" s="517" t="s">
        <v>20</v>
      </c>
      <c r="AC225" s="53">
        <f>AE225</f>
        <v>300.79000000000002</v>
      </c>
      <c r="AD225" s="6"/>
      <c r="AE225" s="22">
        <v>300.79000000000002</v>
      </c>
      <c r="AF225" s="47">
        <v>300.79000000000002</v>
      </c>
      <c r="AG225" s="47">
        <f>SUM(AG226:AG228)</f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</row>
    <row r="226" spans="20:41" ht="15.75" hidden="1" customHeight="1" x14ac:dyDescent="0.25">
      <c r="T226" s="1360"/>
      <c r="U226" s="92" t="s">
        <v>264</v>
      </c>
      <c r="V226" s="440"/>
      <c r="W226" s="440"/>
      <c r="X226" s="440"/>
      <c r="Y226" s="440"/>
      <c r="Z226" s="262"/>
      <c r="AA226" s="262"/>
      <c r="AB226" s="368"/>
      <c r="AC226" s="441"/>
      <c r="AD226" s="442"/>
      <c r="AE226" s="264"/>
      <c r="AF226" s="268">
        <f>AH226</f>
        <v>0</v>
      </c>
      <c r="AG226" s="268">
        <f>AI226</f>
        <v>0</v>
      </c>
      <c r="AH226" s="120">
        <v>0</v>
      </c>
      <c r="AI226" s="121">
        <v>0</v>
      </c>
      <c r="AJ226" s="121">
        <v>0</v>
      </c>
      <c r="AK226" s="121">
        <v>0</v>
      </c>
      <c r="AL226" s="120">
        <v>0</v>
      </c>
      <c r="AM226" s="121">
        <v>0</v>
      </c>
      <c r="AN226" s="121">
        <v>0</v>
      </c>
      <c r="AO226" s="121">
        <v>0</v>
      </c>
    </row>
    <row r="227" spans="20:41" ht="25.5" hidden="1" customHeight="1" x14ac:dyDescent="0.25">
      <c r="T227" s="1360"/>
      <c r="U227" s="102" t="s">
        <v>240</v>
      </c>
      <c r="V227" s="103"/>
      <c r="W227" s="103"/>
      <c r="X227" s="103"/>
      <c r="Y227" s="103"/>
      <c r="Z227" s="104"/>
      <c r="AA227" s="104"/>
      <c r="AB227" s="119"/>
      <c r="AC227" s="105"/>
      <c r="AD227" s="106"/>
      <c r="AE227" s="165">
        <v>0</v>
      </c>
      <c r="AF227" s="165">
        <v>0</v>
      </c>
      <c r="AG227" s="165">
        <v>0</v>
      </c>
      <c r="AH227" s="120">
        <v>0</v>
      </c>
      <c r="AI227" s="121">
        <v>0</v>
      </c>
      <c r="AJ227" s="121">
        <v>0</v>
      </c>
      <c r="AK227" s="121">
        <v>0</v>
      </c>
      <c r="AL227" s="120">
        <v>0</v>
      </c>
      <c r="AM227" s="121">
        <v>0</v>
      </c>
      <c r="AN227" s="121">
        <v>0</v>
      </c>
      <c r="AO227" s="121">
        <v>0</v>
      </c>
    </row>
    <row r="228" spans="20:41" ht="25.5" hidden="1" customHeight="1" x14ac:dyDescent="0.25">
      <c r="T228" s="1360"/>
      <c r="U228" s="102" t="s">
        <v>265</v>
      </c>
      <c r="V228" s="103"/>
      <c r="W228" s="103"/>
      <c r="X228" s="103"/>
      <c r="Y228" s="103"/>
      <c r="Z228" s="104"/>
      <c r="AA228" s="104"/>
      <c r="AB228" s="119"/>
      <c r="AC228" s="105"/>
      <c r="AD228" s="106"/>
      <c r="AE228" s="165"/>
      <c r="AF228" s="165">
        <f>AH228+AJ228</f>
        <v>0</v>
      </c>
      <c r="AG228" s="165">
        <f>AI228+AK228+AM228+AO228</f>
        <v>0</v>
      </c>
      <c r="AH228" s="120">
        <v>0</v>
      </c>
      <c r="AI228" s="121">
        <v>0</v>
      </c>
      <c r="AJ228" s="121">
        <v>0</v>
      </c>
      <c r="AK228" s="121">
        <v>0</v>
      </c>
      <c r="AL228" s="120">
        <v>0</v>
      </c>
      <c r="AM228" s="121">
        <v>0</v>
      </c>
      <c r="AN228" s="121">
        <v>0</v>
      </c>
      <c r="AO228" s="121">
        <v>0</v>
      </c>
    </row>
    <row r="229" spans="20:41" ht="25.5" x14ac:dyDescent="0.25">
      <c r="T229" s="1536"/>
      <c r="U229" s="1"/>
      <c r="V229" s="498"/>
      <c r="W229" s="498"/>
      <c r="X229" s="498"/>
      <c r="Y229" s="498"/>
      <c r="Z229" s="517"/>
      <c r="AA229" s="517"/>
      <c r="AB229" s="23" t="s">
        <v>10</v>
      </c>
      <c r="AC229" s="53"/>
      <c r="AD229" s="6"/>
      <c r="AE229" s="22">
        <v>263850.07</v>
      </c>
      <c r="AF229" s="22">
        <v>0</v>
      </c>
      <c r="AG229" s="22"/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</row>
    <row r="230" spans="20:41" ht="15.75" x14ac:dyDescent="0.25"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29"/>
      <c r="AG230" s="108"/>
    </row>
    <row r="231" spans="20:41" ht="15.75" x14ac:dyDescent="0.25"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29"/>
      <c r="AG231" s="108"/>
    </row>
    <row r="232" spans="20:41" ht="15.75" x14ac:dyDescent="0.25"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29"/>
      <c r="AG232" s="108"/>
    </row>
    <row r="233" spans="20:41" ht="15.75" x14ac:dyDescent="0.25">
      <c r="U233" s="108" t="s">
        <v>94</v>
      </c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29"/>
      <c r="AG233" s="108"/>
      <c r="AI233" s="111" t="s">
        <v>95</v>
      </c>
    </row>
    <row r="236" spans="20:41" ht="15.75" x14ac:dyDescent="0.25">
      <c r="U236" s="129" t="s">
        <v>98</v>
      </c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I236" s="111" t="s">
        <v>99</v>
      </c>
    </row>
    <row r="237" spans="20:41" x14ac:dyDescent="0.25">
      <c r="T237" s="196"/>
    </row>
    <row r="239" spans="20:41" ht="15.75" x14ac:dyDescent="0.25"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29"/>
      <c r="AG239" s="108"/>
    </row>
    <row r="240" spans="20:41" ht="15.75" x14ac:dyDescent="0.25"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29"/>
      <c r="AG240" s="108"/>
    </row>
    <row r="241" spans="22:33" ht="15.75" x14ac:dyDescent="0.25"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29"/>
      <c r="AG241" s="108"/>
    </row>
    <row r="242" spans="22:33" ht="15.75" x14ac:dyDescent="0.25"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29"/>
      <c r="AG242" s="108"/>
    </row>
  </sheetData>
  <mergeCells count="208">
    <mergeCell ref="A7:A8"/>
    <mergeCell ref="B7:C8"/>
    <mergeCell ref="D7:E8"/>
    <mergeCell ref="A2:S2"/>
    <mergeCell ref="O8:O9"/>
    <mergeCell ref="P8:P9"/>
    <mergeCell ref="Q8:R8"/>
    <mergeCell ref="F7:G8"/>
    <mergeCell ref="H7:I8"/>
    <mergeCell ref="J7:K8"/>
    <mergeCell ref="L7:M8"/>
    <mergeCell ref="N7:N9"/>
    <mergeCell ref="O7:R7"/>
    <mergeCell ref="T63:T65"/>
    <mergeCell ref="U63:AA65"/>
    <mergeCell ref="AH7:AK7"/>
    <mergeCell ref="AL7:AO7"/>
    <mergeCell ref="AH8:AI8"/>
    <mergeCell ref="AJ8:AK8"/>
    <mergeCell ref="AL8:AM8"/>
    <mergeCell ref="AN8:AO8"/>
    <mergeCell ref="S26:S35"/>
    <mergeCell ref="AB40:AB42"/>
    <mergeCell ref="AC40:AC42"/>
    <mergeCell ref="S7:S9"/>
    <mergeCell ref="AA7:AA9"/>
    <mergeCell ref="AB7:AB9"/>
    <mergeCell ref="U11:Y11"/>
    <mergeCell ref="T12:AA15"/>
    <mergeCell ref="T16:AA16"/>
    <mergeCell ref="T17:AA21"/>
    <mergeCell ref="T22:T25"/>
    <mergeCell ref="U22:AA25"/>
    <mergeCell ref="T26:T35"/>
    <mergeCell ref="V26:V27"/>
    <mergeCell ref="W26:W27"/>
    <mergeCell ref="X26:X27"/>
    <mergeCell ref="AA26:AA27"/>
    <mergeCell ref="T7:T9"/>
    <mergeCell ref="U7:U9"/>
    <mergeCell ref="V7:V9"/>
    <mergeCell ref="W7:W9"/>
    <mergeCell ref="X7:Y8"/>
    <mergeCell ref="Z7:Z9"/>
    <mergeCell ref="AD40:AD42"/>
    <mergeCell ref="T43:T46"/>
    <mergeCell ref="AB43:AB46"/>
    <mergeCell ref="AD43:AD46"/>
    <mergeCell ref="Y26:Y27"/>
    <mergeCell ref="Z26:Z27"/>
    <mergeCell ref="T47:T50"/>
    <mergeCell ref="U47:AA50"/>
    <mergeCell ref="T51:T53"/>
    <mergeCell ref="AB51:AB53"/>
    <mergeCell ref="AC51:AC53"/>
    <mergeCell ref="AD51:AD53"/>
    <mergeCell ref="T40:T42"/>
    <mergeCell ref="AB57:AB59"/>
    <mergeCell ref="T60:T62"/>
    <mergeCell ref="V60:V62"/>
    <mergeCell ref="W60:W62"/>
    <mergeCell ref="X60:X62"/>
    <mergeCell ref="Y60:Y62"/>
    <mergeCell ref="AB60:AB62"/>
    <mergeCell ref="T54:T56"/>
    <mergeCell ref="U54:AA56"/>
    <mergeCell ref="T57:T59"/>
    <mergeCell ref="V57:V59"/>
    <mergeCell ref="W57:W59"/>
    <mergeCell ref="X57:X59"/>
    <mergeCell ref="Y57:Y59"/>
    <mergeCell ref="AB66:AB69"/>
    <mergeCell ref="AC66:AC69"/>
    <mergeCell ref="T70:T73"/>
    <mergeCell ref="U70:AA73"/>
    <mergeCell ref="T74:T75"/>
    <mergeCell ref="AB74:AB75"/>
    <mergeCell ref="V76:V78"/>
    <mergeCell ref="W76:W78"/>
    <mergeCell ref="X76:X78"/>
    <mergeCell ref="Y76:Y78"/>
    <mergeCell ref="AB76:AB78"/>
    <mergeCell ref="T66:T69"/>
    <mergeCell ref="V66:V69"/>
    <mergeCell ref="W66:W69"/>
    <mergeCell ref="X66:X69"/>
    <mergeCell ref="Y66:Y69"/>
    <mergeCell ref="AB80:AB81"/>
    <mergeCell ref="T82:T83"/>
    <mergeCell ref="AB82:AB83"/>
    <mergeCell ref="T84:T85"/>
    <mergeCell ref="AB84:AB85"/>
    <mergeCell ref="T86:T89"/>
    <mergeCell ref="AB86:AB89"/>
    <mergeCell ref="T90:T92"/>
    <mergeCell ref="AB90:AB92"/>
    <mergeCell ref="AB93:AB94"/>
    <mergeCell ref="T95:T97"/>
    <mergeCell ref="AB95:AB97"/>
    <mergeCell ref="T98:T100"/>
    <mergeCell ref="AB98:AB100"/>
    <mergeCell ref="T101:T102"/>
    <mergeCell ref="AB101:AB102"/>
    <mergeCell ref="T104:T107"/>
    <mergeCell ref="U104:AA107"/>
    <mergeCell ref="T93:T94"/>
    <mergeCell ref="AB108:AB112"/>
    <mergeCell ref="AC108:AC112"/>
    <mergeCell ref="T114:AA118"/>
    <mergeCell ref="T119:T122"/>
    <mergeCell ref="U119:AA122"/>
    <mergeCell ref="T123:T124"/>
    <mergeCell ref="V123:V124"/>
    <mergeCell ref="W123:W124"/>
    <mergeCell ref="X123:X124"/>
    <mergeCell ref="Y123:Y124"/>
    <mergeCell ref="Z123:Z124"/>
    <mergeCell ref="AA123:AA124"/>
    <mergeCell ref="AB123:AB124"/>
    <mergeCell ref="AC123:AC124"/>
    <mergeCell ref="T108:T112"/>
    <mergeCell ref="AD123:AD124"/>
    <mergeCell ref="T125:T127"/>
    <mergeCell ref="Y125:Y127"/>
    <mergeCell ref="AB125:AB127"/>
    <mergeCell ref="T128:T129"/>
    <mergeCell ref="V128:V129"/>
    <mergeCell ref="W128:W129"/>
    <mergeCell ref="X128:X129"/>
    <mergeCell ref="Y128:Y129"/>
    <mergeCell ref="Z128:Z129"/>
    <mergeCell ref="AA128:AA129"/>
    <mergeCell ref="AB128:AB129"/>
    <mergeCell ref="AC128:AC129"/>
    <mergeCell ref="AD128:AD129"/>
    <mergeCell ref="T137:T138"/>
    <mergeCell ref="AB137:AB138"/>
    <mergeCell ref="T141:T142"/>
    <mergeCell ref="AB141:AB142"/>
    <mergeCell ref="T143:T144"/>
    <mergeCell ref="AB143:AB144"/>
    <mergeCell ref="T151:T154"/>
    <mergeCell ref="U151:AA154"/>
    <mergeCell ref="T155:T158"/>
    <mergeCell ref="V155:V158"/>
    <mergeCell ref="W155:W158"/>
    <mergeCell ref="X155:X158"/>
    <mergeCell ref="Y155:Y158"/>
    <mergeCell ref="AB155:AB158"/>
    <mergeCell ref="AC155:AC158"/>
    <mergeCell ref="T159:T160"/>
    <mergeCell ref="AB159:AB160"/>
    <mergeCell ref="AB165:AB166"/>
    <mergeCell ref="AB171:AB172"/>
    <mergeCell ref="AB173:AB174"/>
    <mergeCell ref="T175:T178"/>
    <mergeCell ref="U175:AA178"/>
    <mergeCell ref="T179:T182"/>
    <mergeCell ref="V179:V182"/>
    <mergeCell ref="W179:W182"/>
    <mergeCell ref="X179:X182"/>
    <mergeCell ref="Y179:Y182"/>
    <mergeCell ref="Z179:Z182"/>
    <mergeCell ref="AA179:AA182"/>
    <mergeCell ref="AB179:AB182"/>
    <mergeCell ref="AC179:AC182"/>
    <mergeCell ref="T183:T186"/>
    <mergeCell ref="U183:AA186"/>
    <mergeCell ref="T187:T188"/>
    <mergeCell ref="AB187:AB188"/>
    <mergeCell ref="T189:T193"/>
    <mergeCell ref="AB189:AB193"/>
    <mergeCell ref="T194:T195"/>
    <mergeCell ref="AB194:AB195"/>
    <mergeCell ref="AB201:AB202"/>
    <mergeCell ref="Y203:Y204"/>
    <mergeCell ref="AB203:AB204"/>
    <mergeCell ref="AC203:AC204"/>
    <mergeCell ref="T205:T208"/>
    <mergeCell ref="V205:V206"/>
    <mergeCell ref="W205:W206"/>
    <mergeCell ref="X205:X206"/>
    <mergeCell ref="Y205:Y206"/>
    <mergeCell ref="AB205:AB208"/>
    <mergeCell ref="T221:T223"/>
    <mergeCell ref="AB221:AB223"/>
    <mergeCell ref="AC7:AC9"/>
    <mergeCell ref="AD7:AD9"/>
    <mergeCell ref="AE7:AE9"/>
    <mergeCell ref="AF7:AG8"/>
    <mergeCell ref="T1:AO1"/>
    <mergeCell ref="T224:T229"/>
    <mergeCell ref="T209:T213"/>
    <mergeCell ref="V209:V210"/>
    <mergeCell ref="W209:W210"/>
    <mergeCell ref="X209:X210"/>
    <mergeCell ref="Y209:Y210"/>
    <mergeCell ref="AB209:AB213"/>
    <mergeCell ref="T214:T220"/>
    <mergeCell ref="V214:V215"/>
    <mergeCell ref="W214:W215"/>
    <mergeCell ref="X214:X215"/>
    <mergeCell ref="Y214:Y215"/>
    <mergeCell ref="AB214:AB220"/>
    <mergeCell ref="T203:T204"/>
    <mergeCell ref="V203:V204"/>
    <mergeCell ref="W203:W204"/>
    <mergeCell ref="X203:X204"/>
  </mergeCells>
  <pageMargins left="0" right="0" top="0.19685039370078741" bottom="0" header="0.31496062992125984" footer="0.31496062992125984"/>
  <pageSetup paperSize="9" scale="8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9"/>
  <sheetViews>
    <sheetView zoomScale="150" zoomScaleNormal="150" workbookViewId="0">
      <selection activeCell="C11" sqref="C11"/>
    </sheetView>
  </sheetViews>
  <sheetFormatPr defaultRowHeight="15" x14ac:dyDescent="0.25"/>
  <cols>
    <col min="1" max="1" width="8.28515625" style="124" customWidth="1"/>
    <col min="2" max="2" width="44.42578125" style="124" customWidth="1"/>
    <col min="3" max="3" width="15.85546875" style="124" customWidth="1"/>
    <col min="4" max="4" width="12.28515625" style="124" customWidth="1"/>
    <col min="5" max="5" width="12.28515625" style="124" hidden="1" customWidth="1"/>
    <col min="6" max="6" width="14.7109375" style="124" hidden="1" customWidth="1"/>
    <col min="7" max="8" width="10.7109375" style="124" hidden="1" customWidth="1"/>
    <col min="9" max="10" width="10.7109375" style="124" customWidth="1"/>
    <col min="11" max="11" width="12.5703125" style="124" hidden="1" customWidth="1"/>
    <col min="12" max="12" width="12.42578125" style="124" hidden="1" customWidth="1"/>
    <col min="13" max="13" width="26.42578125" style="124" customWidth="1"/>
    <col min="14" max="14" width="13.28515625" style="124" customWidth="1"/>
    <col min="15" max="15" width="11.28515625" style="124" customWidth="1"/>
    <col min="16" max="16" width="11" style="124" customWidth="1"/>
    <col min="17" max="16384" width="9.140625" style="124"/>
  </cols>
  <sheetData>
    <row r="1" spans="1:18" s="204" customFormat="1" ht="42" customHeight="1" x14ac:dyDescent="0.25">
      <c r="A1" s="1561" t="s">
        <v>436</v>
      </c>
      <c r="B1" s="1561"/>
      <c r="C1" s="1561"/>
      <c r="D1" s="1561"/>
      <c r="E1" s="1561"/>
      <c r="F1" s="1561"/>
      <c r="G1" s="1561"/>
      <c r="H1" s="1561"/>
      <c r="I1" s="1561"/>
      <c r="J1" s="1561"/>
      <c r="K1" s="1561"/>
      <c r="L1" s="1561"/>
      <c r="M1" s="1561"/>
      <c r="N1" s="561"/>
    </row>
    <row r="2" spans="1:18" s="204" customFormat="1" ht="15.75" x14ac:dyDescent="0.25">
      <c r="A2" s="1561" t="s">
        <v>461</v>
      </c>
      <c r="B2" s="1561"/>
      <c r="C2" s="1561"/>
      <c r="D2" s="1561"/>
      <c r="E2" s="1561"/>
      <c r="F2" s="1561"/>
      <c r="G2" s="1561"/>
      <c r="H2" s="1561"/>
      <c r="I2" s="1561"/>
      <c r="J2" s="1561"/>
      <c r="K2" s="1561"/>
      <c r="L2" s="1561"/>
      <c r="M2" s="1561"/>
      <c r="N2" s="561"/>
    </row>
    <row r="3" spans="1:18" s="204" customFormat="1" ht="15.75" x14ac:dyDescent="0.25">
      <c r="A3" s="561"/>
      <c r="B3" s="561"/>
      <c r="C3" s="561"/>
      <c r="D3" s="1562" t="s">
        <v>241</v>
      </c>
      <c r="E3" s="1546"/>
      <c r="F3" s="1546"/>
      <c r="G3" s="1546"/>
      <c r="H3" s="1546"/>
      <c r="I3" s="1546"/>
      <c r="J3" s="1546"/>
      <c r="K3" s="1546"/>
      <c r="L3" s="1546"/>
      <c r="M3" s="1546"/>
      <c r="N3" s="561"/>
    </row>
    <row r="4" spans="1:18" s="204" customFormat="1" ht="15.75" x14ac:dyDescent="0.25">
      <c r="A4" s="561"/>
      <c r="B4" s="561"/>
      <c r="C4" s="561"/>
      <c r="D4" s="1578" t="s">
        <v>296</v>
      </c>
      <c r="E4" s="1579"/>
      <c r="F4" s="1579"/>
      <c r="G4" s="1579"/>
      <c r="H4" s="1579"/>
      <c r="I4" s="1579"/>
      <c r="J4" s="1579"/>
      <c r="K4" s="1579"/>
      <c r="L4" s="1579"/>
      <c r="M4" s="1579"/>
      <c r="N4" s="561"/>
    </row>
    <row r="5" spans="1:18" s="204" customFormat="1" ht="15.75" x14ac:dyDescent="0.25">
      <c r="A5" s="561"/>
      <c r="B5" s="561"/>
      <c r="C5" s="561"/>
      <c r="D5" s="561"/>
      <c r="E5" s="561"/>
      <c r="F5" s="1562" t="s">
        <v>423</v>
      </c>
      <c r="G5" s="1546"/>
      <c r="H5" s="1546"/>
      <c r="I5" s="1546"/>
      <c r="J5" s="1546"/>
      <c r="K5" s="1546"/>
      <c r="L5" s="1546"/>
      <c r="M5" s="1546"/>
      <c r="N5" s="561"/>
    </row>
    <row r="6" spans="1:18" s="204" customFormat="1" ht="15.75" x14ac:dyDescent="0.25">
      <c r="A6" s="561"/>
      <c r="B6" s="561"/>
      <c r="C6" s="561"/>
      <c r="D6" s="561"/>
      <c r="E6" s="561"/>
      <c r="F6" s="562"/>
      <c r="G6" s="547"/>
      <c r="H6" s="547"/>
      <c r="I6" s="547"/>
      <c r="J6" s="547"/>
      <c r="K6" s="547"/>
      <c r="L6" s="547"/>
      <c r="M6" s="563" t="s">
        <v>92</v>
      </c>
      <c r="N6" s="561"/>
    </row>
    <row r="7" spans="1:18" s="115" customFormat="1" ht="15.75" thickBot="1" x14ac:dyDescent="0.3">
      <c r="A7" s="1580" t="s">
        <v>257</v>
      </c>
      <c r="B7" s="1580"/>
      <c r="D7" s="556">
        <f>C17-D17</f>
        <v>42839.90740169998</v>
      </c>
      <c r="M7" s="555"/>
    </row>
    <row r="8" spans="1:18" s="138" customFormat="1" x14ac:dyDescent="0.25">
      <c r="A8" s="1570" t="s">
        <v>110</v>
      </c>
      <c r="B8" s="1573" t="s">
        <v>0</v>
      </c>
      <c r="C8" s="1576" t="s">
        <v>435</v>
      </c>
      <c r="D8" s="1576"/>
      <c r="E8" s="1576"/>
      <c r="F8" s="1576"/>
      <c r="G8" s="1576"/>
      <c r="H8" s="1576"/>
      <c r="I8" s="1576"/>
      <c r="J8" s="1576"/>
      <c r="K8" s="1576"/>
      <c r="L8" s="1577"/>
      <c r="M8" s="1563" t="s">
        <v>75</v>
      </c>
      <c r="N8" s="135"/>
      <c r="O8" s="136"/>
      <c r="P8" s="137"/>
    </row>
    <row r="9" spans="1:18" x14ac:dyDescent="0.25">
      <c r="A9" s="1571"/>
      <c r="B9" s="1574"/>
      <c r="C9" s="1566" t="s">
        <v>21</v>
      </c>
      <c r="D9" s="1567"/>
      <c r="E9" s="1566" t="s">
        <v>310</v>
      </c>
      <c r="F9" s="1567"/>
      <c r="G9" s="1566" t="s">
        <v>111</v>
      </c>
      <c r="H9" s="1567"/>
      <c r="I9" s="1566" t="s">
        <v>112</v>
      </c>
      <c r="J9" s="1567"/>
      <c r="K9" s="1568" t="s">
        <v>113</v>
      </c>
      <c r="L9" s="1569"/>
      <c r="M9" s="1564"/>
      <c r="N9" s="135"/>
      <c r="O9" s="136"/>
      <c r="P9" s="137"/>
      <c r="Q9" s="138"/>
    </row>
    <row r="10" spans="1:18" ht="15.75" thickBot="1" x14ac:dyDescent="0.3">
      <c r="A10" s="1572"/>
      <c r="B10" s="1575"/>
      <c r="C10" s="139" t="s">
        <v>104</v>
      </c>
      <c r="D10" s="139" t="s">
        <v>80</v>
      </c>
      <c r="E10" s="139" t="s">
        <v>81</v>
      </c>
      <c r="F10" s="139" t="s">
        <v>82</v>
      </c>
      <c r="G10" s="139" t="s">
        <v>81</v>
      </c>
      <c r="H10" s="139" t="s">
        <v>82</v>
      </c>
      <c r="I10" s="139" t="s">
        <v>81</v>
      </c>
      <c r="J10" s="139" t="s">
        <v>82</v>
      </c>
      <c r="K10" s="140" t="s">
        <v>81</v>
      </c>
      <c r="L10" s="719" t="s">
        <v>82</v>
      </c>
      <c r="M10" s="1565"/>
      <c r="N10" s="135"/>
      <c r="O10" s="136"/>
      <c r="P10" s="137"/>
      <c r="Q10" s="138"/>
    </row>
    <row r="11" spans="1:18" s="149" customFormat="1" x14ac:dyDescent="0.25">
      <c r="A11" s="141" t="s">
        <v>114</v>
      </c>
      <c r="B11" s="142" t="s">
        <v>115</v>
      </c>
      <c r="C11" s="143">
        <f>C12+C19+C23+C24+C26</f>
        <v>224510.38999999998</v>
      </c>
      <c r="D11" s="143">
        <f>D12+D19+D23+D24+D26</f>
        <v>168596.85259830003</v>
      </c>
      <c r="E11" s="143">
        <f>E12+E19+E23+E24+E26</f>
        <v>77942.720000000001</v>
      </c>
      <c r="F11" s="143">
        <f t="shared" ref="F11:L11" si="0">F12+F19+F23+F24+F26</f>
        <v>77942.720000000001</v>
      </c>
      <c r="G11" s="143">
        <f t="shared" si="0"/>
        <v>47051.063390000003</v>
      </c>
      <c r="H11" s="143">
        <f t="shared" si="0"/>
        <v>47051.063390000003</v>
      </c>
      <c r="I11" s="143">
        <f t="shared" si="0"/>
        <v>13073.62</v>
      </c>
      <c r="J11" s="143">
        <f>J12+J19+J23+J24+J26</f>
        <v>43603.069208300003</v>
      </c>
      <c r="K11" s="143">
        <f>K12+K19+K23+K24+K26</f>
        <v>0</v>
      </c>
      <c r="L11" s="143">
        <f t="shared" si="0"/>
        <v>0</v>
      </c>
      <c r="M11" s="144">
        <f>F11+H11+J11+L11</f>
        <v>168596.8525983</v>
      </c>
      <c r="N11" s="145"/>
      <c r="O11" s="146"/>
      <c r="P11" s="147"/>
      <c r="Q11" s="148"/>
    </row>
    <row r="12" spans="1:18" s="97" customFormat="1" x14ac:dyDescent="0.25">
      <c r="A12" s="150" t="s">
        <v>25</v>
      </c>
      <c r="B12" s="151" t="s">
        <v>116</v>
      </c>
      <c r="C12" s="246">
        <f>SUM(C13:C18)</f>
        <v>172215.9</v>
      </c>
      <c r="D12" s="246">
        <f>SUM(D13:D18)</f>
        <v>129375.99259830001</v>
      </c>
      <c r="E12" s="246">
        <f>SUM(E13:E18)</f>
        <v>64869.1</v>
      </c>
      <c r="F12" s="246">
        <f t="shared" ref="F12:L12" si="1">SUM(F13:F18)</f>
        <v>64869.1</v>
      </c>
      <c r="G12" s="246">
        <f t="shared" si="1"/>
        <v>33977.44339</v>
      </c>
      <c r="H12" s="246">
        <f t="shared" si="1"/>
        <v>33977.44339</v>
      </c>
      <c r="I12" s="246">
        <f t="shared" si="1"/>
        <v>0</v>
      </c>
      <c r="J12" s="246">
        <f t="shared" si="1"/>
        <v>30529.4492083</v>
      </c>
      <c r="K12" s="246">
        <f t="shared" si="1"/>
        <v>0</v>
      </c>
      <c r="L12" s="246">
        <f t="shared" si="1"/>
        <v>0</v>
      </c>
      <c r="M12" s="152"/>
      <c r="N12" s="153"/>
      <c r="O12" s="153"/>
      <c r="P12" s="153"/>
      <c r="Q12" s="154"/>
      <c r="R12" s="97" t="s">
        <v>117</v>
      </c>
    </row>
    <row r="13" spans="1:18" x14ac:dyDescent="0.25">
      <c r="A13" s="155" t="s">
        <v>26</v>
      </c>
      <c r="B13" s="156" t="s">
        <v>118</v>
      </c>
      <c r="C13" s="157">
        <f>E13+G13+I13+K13</f>
        <v>0</v>
      </c>
      <c r="D13" s="157">
        <f>F13+H13+J13+L13</f>
        <v>0</v>
      </c>
      <c r="E13" s="157">
        <f t="shared" ref="E13:F16" si="2">G13+I13+K13+M13</f>
        <v>0</v>
      </c>
      <c r="F13" s="157">
        <f t="shared" si="2"/>
        <v>0</v>
      </c>
      <c r="G13" s="157">
        <f t="shared" ref="G13:L16" si="3">I13+K13+M13+O13</f>
        <v>0</v>
      </c>
      <c r="H13" s="157">
        <f t="shared" si="3"/>
        <v>0</v>
      </c>
      <c r="I13" s="157">
        <f t="shared" si="3"/>
        <v>0</v>
      </c>
      <c r="J13" s="157">
        <f t="shared" si="3"/>
        <v>0</v>
      </c>
      <c r="K13" s="157">
        <f t="shared" si="3"/>
        <v>0</v>
      </c>
      <c r="L13" s="157">
        <f t="shared" si="3"/>
        <v>0</v>
      </c>
      <c r="M13" s="152"/>
      <c r="N13" s="158"/>
      <c r="O13" s="158"/>
      <c r="P13" s="158"/>
      <c r="Q13" s="138"/>
    </row>
    <row r="14" spans="1:18" x14ac:dyDescent="0.25">
      <c r="A14" s="155" t="s">
        <v>33</v>
      </c>
      <c r="B14" s="156" t="s">
        <v>119</v>
      </c>
      <c r="C14" s="157">
        <f t="shared" ref="C14:D16" si="4">E14+G14+I14+K14</f>
        <v>0</v>
      </c>
      <c r="D14" s="157">
        <f t="shared" si="4"/>
        <v>0</v>
      </c>
      <c r="E14" s="157">
        <f t="shared" si="2"/>
        <v>0</v>
      </c>
      <c r="F14" s="157">
        <f t="shared" si="2"/>
        <v>0</v>
      </c>
      <c r="G14" s="157">
        <f t="shared" si="3"/>
        <v>0</v>
      </c>
      <c r="H14" s="157">
        <f t="shared" si="3"/>
        <v>0</v>
      </c>
      <c r="I14" s="157">
        <f t="shared" si="3"/>
        <v>0</v>
      </c>
      <c r="J14" s="157">
        <f t="shared" si="3"/>
        <v>0</v>
      </c>
      <c r="K14" s="157">
        <f t="shared" si="3"/>
        <v>0</v>
      </c>
      <c r="L14" s="157">
        <f t="shared" si="3"/>
        <v>0</v>
      </c>
      <c r="M14" s="152"/>
      <c r="N14" s="158"/>
      <c r="O14" s="158"/>
      <c r="P14" s="158"/>
      <c r="Q14" s="138"/>
    </row>
    <row r="15" spans="1:18" ht="30" x14ac:dyDescent="0.25">
      <c r="A15" s="155" t="s">
        <v>37</v>
      </c>
      <c r="B15" s="156" t="s">
        <v>120</v>
      </c>
      <c r="C15" s="157">
        <f>E15+G15+I15+K15</f>
        <v>0</v>
      </c>
      <c r="D15" s="157">
        <f>F15+H15+J15+L15</f>
        <v>0</v>
      </c>
      <c r="E15" s="157">
        <v>0</v>
      </c>
      <c r="F15" s="157">
        <v>0</v>
      </c>
      <c r="G15" s="157">
        <f t="shared" si="3"/>
        <v>0</v>
      </c>
      <c r="H15" s="157">
        <f t="shared" si="3"/>
        <v>0</v>
      </c>
      <c r="I15" s="157">
        <f t="shared" si="3"/>
        <v>0</v>
      </c>
      <c r="J15" s="157">
        <f t="shared" si="3"/>
        <v>0</v>
      </c>
      <c r="K15" s="157">
        <f t="shared" si="3"/>
        <v>0</v>
      </c>
      <c r="L15" s="157">
        <f t="shared" si="3"/>
        <v>0</v>
      </c>
      <c r="M15" s="159"/>
      <c r="N15" s="160"/>
      <c r="O15" s="158"/>
      <c r="P15" s="158"/>
      <c r="Q15" s="138"/>
    </row>
    <row r="16" spans="1:18" ht="30" x14ac:dyDescent="0.25">
      <c r="A16" s="155" t="s">
        <v>121</v>
      </c>
      <c r="B16" s="156" t="s">
        <v>122</v>
      </c>
      <c r="C16" s="157">
        <f t="shared" si="4"/>
        <v>0</v>
      </c>
      <c r="D16" s="157">
        <f t="shared" si="4"/>
        <v>0</v>
      </c>
      <c r="E16" s="157">
        <f t="shared" si="2"/>
        <v>0</v>
      </c>
      <c r="F16" s="157">
        <f t="shared" si="2"/>
        <v>0</v>
      </c>
      <c r="G16" s="157">
        <f t="shared" si="3"/>
        <v>0</v>
      </c>
      <c r="H16" s="157">
        <f t="shared" si="3"/>
        <v>0</v>
      </c>
      <c r="I16" s="157">
        <f t="shared" si="3"/>
        <v>0</v>
      </c>
      <c r="J16" s="157">
        <f t="shared" si="3"/>
        <v>0</v>
      </c>
      <c r="K16" s="157">
        <f t="shared" si="3"/>
        <v>0</v>
      </c>
      <c r="L16" s="157">
        <f t="shared" si="3"/>
        <v>0</v>
      </c>
      <c r="M16" s="152"/>
      <c r="N16" s="158"/>
      <c r="O16" s="158"/>
      <c r="P16" s="158"/>
      <c r="Q16" s="138"/>
    </row>
    <row r="17" spans="1:17" ht="30" x14ac:dyDescent="0.25">
      <c r="A17" s="155" t="s">
        <v>123</v>
      </c>
      <c r="B17" s="161" t="s">
        <v>124</v>
      </c>
      <c r="C17" s="557">
        <v>172215.9</v>
      </c>
      <c r="D17" s="163">
        <f>F17+H17+J17+L17</f>
        <v>129375.99259830001</v>
      </c>
      <c r="E17" s="557">
        <f>F17</f>
        <v>64869.1</v>
      </c>
      <c r="F17" s="557">
        <v>64869.1</v>
      </c>
      <c r="G17" s="247">
        <f>H17</f>
        <v>33977.44339</v>
      </c>
      <c r="H17" s="557">
        <v>33977.44339</v>
      </c>
      <c r="I17" s="247">
        <v>0</v>
      </c>
      <c r="J17" s="557">
        <v>30529.4492083</v>
      </c>
      <c r="K17" s="557">
        <v>0</v>
      </c>
      <c r="L17" s="557">
        <v>0</v>
      </c>
      <c r="M17" s="270"/>
      <c r="N17" s="389">
        <f>E17+G17+I17+K17</f>
        <v>98846.543390000006</v>
      </c>
      <c r="O17" s="389">
        <f>C17-N17</f>
        <v>73369.356609999988</v>
      </c>
      <c r="P17" s="158"/>
      <c r="Q17" s="138"/>
    </row>
    <row r="18" spans="1:17" x14ac:dyDescent="0.25">
      <c r="A18" s="155" t="s">
        <v>125</v>
      </c>
      <c r="B18" s="156" t="s">
        <v>126</v>
      </c>
      <c r="C18" s="248">
        <v>0</v>
      </c>
      <c r="D18" s="157">
        <f>F18+H18+J18+L18</f>
        <v>0</v>
      </c>
      <c r="E18" s="248">
        <v>0</v>
      </c>
      <c r="F18" s="248">
        <v>0</v>
      </c>
      <c r="G18" s="248">
        <v>0</v>
      </c>
      <c r="H18" s="248">
        <v>0</v>
      </c>
      <c r="I18" s="248">
        <v>0</v>
      </c>
      <c r="J18" s="248">
        <v>0</v>
      </c>
      <c r="K18" s="248">
        <v>0</v>
      </c>
      <c r="L18" s="248">
        <v>0</v>
      </c>
      <c r="M18" s="159"/>
      <c r="N18" s="158"/>
      <c r="O18" s="158"/>
      <c r="P18" s="158"/>
      <c r="Q18" s="138"/>
    </row>
    <row r="19" spans="1:17" s="97" customFormat="1" x14ac:dyDescent="0.25">
      <c r="A19" s="150" t="s">
        <v>22</v>
      </c>
      <c r="B19" s="164" t="s">
        <v>127</v>
      </c>
      <c r="C19" s="246">
        <f>SUM(C20:C22)</f>
        <v>52294.49</v>
      </c>
      <c r="D19" s="246">
        <f t="shared" ref="D19:L19" si="5">SUM(D20:D22)</f>
        <v>39220.86</v>
      </c>
      <c r="E19" s="246">
        <f t="shared" si="5"/>
        <v>13073.62</v>
      </c>
      <c r="F19" s="246">
        <f t="shared" si="5"/>
        <v>13073.62</v>
      </c>
      <c r="G19" s="246">
        <f t="shared" si="5"/>
        <v>13073.62</v>
      </c>
      <c r="H19" s="246">
        <f>SUM(H20:H22)</f>
        <v>13073.62</v>
      </c>
      <c r="I19" s="246">
        <f t="shared" si="5"/>
        <v>13073.62</v>
      </c>
      <c r="J19" s="246">
        <f>SUM(J20:J22)</f>
        <v>13073.62</v>
      </c>
      <c r="K19" s="246">
        <f t="shared" si="5"/>
        <v>0</v>
      </c>
      <c r="L19" s="246">
        <f t="shared" si="5"/>
        <v>0</v>
      </c>
      <c r="M19" s="159"/>
      <c r="N19" s="153"/>
      <c r="O19" s="153"/>
      <c r="P19" s="153"/>
      <c r="Q19" s="154"/>
    </row>
    <row r="20" spans="1:17" x14ac:dyDescent="0.25">
      <c r="A20" s="155" t="s">
        <v>23</v>
      </c>
      <c r="B20" s="161" t="s">
        <v>128</v>
      </c>
      <c r="C20" s="247">
        <v>52294.49</v>
      </c>
      <c r="D20" s="163">
        <f>E20+H20+J20</f>
        <v>39220.86</v>
      </c>
      <c r="E20" s="247">
        <v>13073.62</v>
      </c>
      <c r="F20" s="247">
        <v>13073.62</v>
      </c>
      <c r="G20" s="247">
        <f>H20</f>
        <v>13073.62</v>
      </c>
      <c r="H20" s="247">
        <v>13073.62</v>
      </c>
      <c r="I20" s="247">
        <f>J20</f>
        <v>13073.62</v>
      </c>
      <c r="J20" s="247">
        <v>13073.62</v>
      </c>
      <c r="K20" s="247">
        <v>0</v>
      </c>
      <c r="L20" s="247">
        <v>0</v>
      </c>
      <c r="M20" s="270"/>
      <c r="N20" s="389">
        <f>C20-O20</f>
        <v>13073.629999999997</v>
      </c>
      <c r="O20" s="389">
        <f>I20+E20+G20+K20</f>
        <v>39220.86</v>
      </c>
      <c r="P20" s="158"/>
      <c r="Q20" s="138"/>
    </row>
    <row r="21" spans="1:17" x14ac:dyDescent="0.25">
      <c r="A21" s="155" t="s">
        <v>107</v>
      </c>
      <c r="B21" s="156" t="s">
        <v>129</v>
      </c>
      <c r="C21" s="248">
        <v>0</v>
      </c>
      <c r="D21" s="157">
        <f t="shared" ref="D21:D26" si="6">F21+H21+J21+L21</f>
        <v>0</v>
      </c>
      <c r="E21" s="248">
        <v>0</v>
      </c>
      <c r="F21" s="248">
        <v>0</v>
      </c>
      <c r="G21" s="248">
        <v>0</v>
      </c>
      <c r="H21" s="248">
        <v>0</v>
      </c>
      <c r="I21" s="248">
        <v>0</v>
      </c>
      <c r="J21" s="248">
        <v>0</v>
      </c>
      <c r="K21" s="248">
        <v>0</v>
      </c>
      <c r="L21" s="248">
        <v>0</v>
      </c>
      <c r="M21" s="159"/>
      <c r="N21" s="158"/>
      <c r="O21" s="158"/>
      <c r="P21" s="158"/>
      <c r="Q21" s="138"/>
    </row>
    <row r="22" spans="1:17" ht="30" x14ac:dyDescent="0.25">
      <c r="A22" s="155" t="s">
        <v>108</v>
      </c>
      <c r="B22" s="156" t="s">
        <v>130</v>
      </c>
      <c r="C22" s="248">
        <v>0</v>
      </c>
      <c r="D22" s="157">
        <f t="shared" si="6"/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152"/>
      <c r="N22" s="158"/>
      <c r="O22" s="158"/>
      <c r="P22" s="158"/>
      <c r="Q22" s="138"/>
    </row>
    <row r="23" spans="1:17" s="97" customFormat="1" x14ac:dyDescent="0.25">
      <c r="A23" s="150" t="s">
        <v>29</v>
      </c>
      <c r="B23" s="164" t="s">
        <v>131</v>
      </c>
      <c r="C23" s="249">
        <v>0</v>
      </c>
      <c r="D23" s="166">
        <f t="shared" si="6"/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9">
        <v>0</v>
      </c>
      <c r="K23" s="249">
        <v>0</v>
      </c>
      <c r="L23" s="249">
        <v>0</v>
      </c>
      <c r="M23" s="152"/>
      <c r="N23" s="153"/>
      <c r="O23" s="153"/>
      <c r="P23" s="153"/>
      <c r="Q23" s="154"/>
    </row>
    <row r="24" spans="1:17" s="97" customFormat="1" x14ac:dyDescent="0.25">
      <c r="A24" s="150" t="s">
        <v>47</v>
      </c>
      <c r="B24" s="164" t="s">
        <v>132</v>
      </c>
      <c r="C24" s="249">
        <v>0</v>
      </c>
      <c r="D24" s="166">
        <f t="shared" si="6"/>
        <v>0</v>
      </c>
      <c r="E24" s="249">
        <v>0</v>
      </c>
      <c r="F24" s="249">
        <v>0</v>
      </c>
      <c r="G24" s="249">
        <v>0</v>
      </c>
      <c r="H24" s="249">
        <v>0</v>
      </c>
      <c r="I24" s="249">
        <v>0</v>
      </c>
      <c r="J24" s="249">
        <v>0</v>
      </c>
      <c r="K24" s="249">
        <v>0</v>
      </c>
      <c r="L24" s="249">
        <v>0</v>
      </c>
      <c r="M24" s="152"/>
      <c r="N24" s="153"/>
      <c r="O24" s="153"/>
      <c r="P24" s="153"/>
      <c r="Q24" s="154"/>
    </row>
    <row r="25" spans="1:17" x14ac:dyDescent="0.25">
      <c r="A25" s="155" t="s">
        <v>48</v>
      </c>
      <c r="B25" s="156" t="s">
        <v>133</v>
      </c>
      <c r="C25" s="248">
        <v>0</v>
      </c>
      <c r="D25" s="157">
        <f t="shared" si="6"/>
        <v>0</v>
      </c>
      <c r="E25" s="248">
        <v>0</v>
      </c>
      <c r="F25" s="248">
        <v>0</v>
      </c>
      <c r="G25" s="248">
        <v>0</v>
      </c>
      <c r="H25" s="248">
        <v>0</v>
      </c>
      <c r="I25" s="248">
        <v>0</v>
      </c>
      <c r="J25" s="248">
        <v>0</v>
      </c>
      <c r="K25" s="248">
        <v>0</v>
      </c>
      <c r="L25" s="248">
        <v>0</v>
      </c>
      <c r="M25" s="152"/>
      <c r="N25" s="158"/>
      <c r="O25" s="158"/>
      <c r="P25" s="158"/>
      <c r="Q25" s="138"/>
    </row>
    <row r="26" spans="1:17" s="97" customFormat="1" ht="15.75" thickBot="1" x14ac:dyDescent="0.3">
      <c r="A26" s="150" t="s">
        <v>56</v>
      </c>
      <c r="B26" s="164" t="s">
        <v>134</v>
      </c>
      <c r="C26" s="167"/>
      <c r="D26" s="166">
        <f t="shared" si="6"/>
        <v>0</v>
      </c>
      <c r="E26" s="167"/>
      <c r="F26" s="167"/>
      <c r="G26" s="167"/>
      <c r="H26" s="167"/>
      <c r="I26" s="167"/>
      <c r="J26" s="167"/>
      <c r="K26" s="167"/>
      <c r="L26" s="167"/>
      <c r="M26" s="168"/>
      <c r="N26" s="153"/>
      <c r="O26" s="153"/>
      <c r="P26" s="153"/>
      <c r="Q26" s="154"/>
    </row>
    <row r="27" spans="1:17" s="176" customFormat="1" x14ac:dyDescent="0.25">
      <c r="A27" s="169" t="s">
        <v>13</v>
      </c>
      <c r="B27" s="170" t="s">
        <v>135</v>
      </c>
      <c r="C27" s="171">
        <f>SUM(C28:C34)</f>
        <v>2234.2800000000002</v>
      </c>
      <c r="D27" s="171">
        <f>F27+H27+J27+L27</f>
        <v>0</v>
      </c>
      <c r="E27" s="171">
        <f t="shared" ref="E27:L27" si="7">SUM(E28:E34)</f>
        <v>0</v>
      </c>
      <c r="F27" s="171">
        <f>SUM(F28:F34)</f>
        <v>0</v>
      </c>
      <c r="G27" s="171">
        <f t="shared" si="7"/>
        <v>0</v>
      </c>
      <c r="H27" s="171">
        <f t="shared" si="7"/>
        <v>0</v>
      </c>
      <c r="I27" s="171">
        <f t="shared" si="7"/>
        <v>0</v>
      </c>
      <c r="J27" s="171">
        <f t="shared" si="7"/>
        <v>0</v>
      </c>
      <c r="K27" s="171">
        <f t="shared" si="7"/>
        <v>0</v>
      </c>
      <c r="L27" s="171">
        <f t="shared" si="7"/>
        <v>0</v>
      </c>
      <c r="M27" s="172"/>
      <c r="N27" s="173"/>
      <c r="O27" s="174"/>
      <c r="P27" s="174"/>
      <c r="Q27" s="175"/>
    </row>
    <row r="28" spans="1:17" x14ac:dyDescent="0.25">
      <c r="A28" s="155" t="s">
        <v>27</v>
      </c>
      <c r="B28" s="156" t="s">
        <v>136</v>
      </c>
      <c r="C28" s="248">
        <v>0</v>
      </c>
      <c r="D28" s="157">
        <f>F28+H28+J28+L28</f>
        <v>0</v>
      </c>
      <c r="E28" s="248">
        <v>0</v>
      </c>
      <c r="F28" s="248">
        <v>0</v>
      </c>
      <c r="G28" s="248">
        <v>0</v>
      </c>
      <c r="H28" s="248">
        <v>0</v>
      </c>
      <c r="I28" s="248">
        <v>0</v>
      </c>
      <c r="J28" s="248">
        <v>0</v>
      </c>
      <c r="K28" s="248">
        <v>0</v>
      </c>
      <c r="L28" s="248">
        <v>0</v>
      </c>
      <c r="M28" s="177"/>
      <c r="N28" s="158"/>
      <c r="O28" s="158"/>
      <c r="P28" s="158"/>
      <c r="Q28" s="138"/>
    </row>
    <row r="29" spans="1:17" x14ac:dyDescent="0.25">
      <c r="A29" s="155" t="s">
        <v>24</v>
      </c>
      <c r="B29" s="156" t="s">
        <v>137</v>
      </c>
      <c r="C29" s="248">
        <v>0</v>
      </c>
      <c r="D29" s="157">
        <v>0</v>
      </c>
      <c r="E29" s="248">
        <v>0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177"/>
      <c r="N29" s="158"/>
      <c r="O29" s="158"/>
      <c r="P29" s="158"/>
      <c r="Q29" s="138"/>
    </row>
    <row r="30" spans="1:17" x14ac:dyDescent="0.25">
      <c r="A30" s="155" t="s">
        <v>31</v>
      </c>
      <c r="B30" s="156" t="s">
        <v>138</v>
      </c>
      <c r="C30" s="248">
        <v>0</v>
      </c>
      <c r="D30" s="157">
        <f>F30+H30+J30+L30</f>
        <v>0</v>
      </c>
      <c r="E30" s="248">
        <v>0</v>
      </c>
      <c r="F30" s="248">
        <v>0</v>
      </c>
      <c r="G30" s="248">
        <v>0</v>
      </c>
      <c r="H30" s="248">
        <v>0</v>
      </c>
      <c r="I30" s="248">
        <v>0</v>
      </c>
      <c r="J30" s="248">
        <v>0</v>
      </c>
      <c r="K30" s="248">
        <v>0</v>
      </c>
      <c r="L30" s="248">
        <v>0</v>
      </c>
      <c r="M30" s="177"/>
      <c r="N30" s="158"/>
      <c r="O30" s="158"/>
      <c r="P30" s="158"/>
      <c r="Q30" s="138"/>
    </row>
    <row r="31" spans="1:17" x14ac:dyDescent="0.25">
      <c r="A31" s="155" t="s">
        <v>139</v>
      </c>
      <c r="B31" s="156" t="s">
        <v>140</v>
      </c>
      <c r="C31" s="178">
        <v>2234.2800000000002</v>
      </c>
      <c r="D31" s="157">
        <f>F31+H31+J31+L31</f>
        <v>0</v>
      </c>
      <c r="E31" s="248">
        <v>0</v>
      </c>
      <c r="F31" s="558">
        <v>0</v>
      </c>
      <c r="G31" s="248">
        <v>0</v>
      </c>
      <c r="H31" s="248">
        <v>0</v>
      </c>
      <c r="I31" s="248">
        <v>0</v>
      </c>
      <c r="J31" s="248">
        <v>0</v>
      </c>
      <c r="K31" s="248">
        <v>0</v>
      </c>
      <c r="L31" s="248">
        <v>0</v>
      </c>
      <c r="M31" s="177"/>
      <c r="N31" s="158"/>
      <c r="O31" s="158"/>
      <c r="P31" s="158"/>
      <c r="Q31" s="138"/>
    </row>
    <row r="32" spans="1:17" x14ac:dyDescent="0.25">
      <c r="A32" s="155" t="s">
        <v>141</v>
      </c>
      <c r="B32" s="156" t="s">
        <v>142</v>
      </c>
      <c r="C32" s="248">
        <v>0</v>
      </c>
      <c r="D32" s="157">
        <f>F32+H32+J32+L32</f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177"/>
      <c r="N32" s="158"/>
      <c r="O32" s="158"/>
      <c r="P32" s="158"/>
      <c r="Q32" s="138"/>
    </row>
    <row r="33" spans="1:22" x14ac:dyDescent="0.25">
      <c r="A33" s="155" t="s">
        <v>143</v>
      </c>
      <c r="B33" s="156" t="s">
        <v>144</v>
      </c>
      <c r="C33" s="248">
        <v>0</v>
      </c>
      <c r="D33" s="157">
        <f>F33+H33+J33+L33</f>
        <v>0</v>
      </c>
      <c r="E33" s="248">
        <v>0</v>
      </c>
      <c r="F33" s="248">
        <v>0</v>
      </c>
      <c r="G33" s="248">
        <v>0</v>
      </c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177"/>
      <c r="N33" s="158"/>
      <c r="O33" s="158"/>
      <c r="P33" s="158"/>
      <c r="Q33" s="138"/>
    </row>
    <row r="34" spans="1:22" ht="15.75" thickBot="1" x14ac:dyDescent="0.3">
      <c r="A34" s="155" t="s">
        <v>145</v>
      </c>
      <c r="B34" s="156" t="s">
        <v>146</v>
      </c>
      <c r="C34" s="178">
        <v>0</v>
      </c>
      <c r="D34" s="179">
        <f>F34+H34+J34+L34</f>
        <v>0</v>
      </c>
      <c r="E34" s="248">
        <v>0</v>
      </c>
      <c r="F34" s="248">
        <v>0</v>
      </c>
      <c r="G34" s="248">
        <v>0</v>
      </c>
      <c r="H34" s="248">
        <v>0</v>
      </c>
      <c r="I34" s="248">
        <v>0</v>
      </c>
      <c r="J34" s="248">
        <v>0</v>
      </c>
      <c r="K34" s="248">
        <v>0</v>
      </c>
      <c r="L34" s="248">
        <v>0</v>
      </c>
      <c r="M34" s="177"/>
      <c r="N34" s="389">
        <f>C34-E34</f>
        <v>0</v>
      </c>
      <c r="O34" s="158"/>
      <c r="P34" s="158"/>
      <c r="Q34" s="138"/>
    </row>
    <row r="35" spans="1:22" s="187" customFormat="1" ht="15.75" thickBot="1" x14ac:dyDescent="0.3">
      <c r="A35" s="180"/>
      <c r="B35" s="181" t="s">
        <v>147</v>
      </c>
      <c r="C35" s="182">
        <f t="shared" ref="C35:L35" si="8">C27+C11</f>
        <v>226744.66999999998</v>
      </c>
      <c r="D35" s="182">
        <f t="shared" si="8"/>
        <v>168596.85259830003</v>
      </c>
      <c r="E35" s="182">
        <f t="shared" si="8"/>
        <v>77942.720000000001</v>
      </c>
      <c r="F35" s="182">
        <f t="shared" si="8"/>
        <v>77942.720000000001</v>
      </c>
      <c r="G35" s="182">
        <f t="shared" si="8"/>
        <v>47051.063390000003</v>
      </c>
      <c r="H35" s="182">
        <f t="shared" si="8"/>
        <v>47051.063390000003</v>
      </c>
      <c r="I35" s="182">
        <f t="shared" si="8"/>
        <v>13073.62</v>
      </c>
      <c r="J35" s="182">
        <f t="shared" si="8"/>
        <v>43603.069208300003</v>
      </c>
      <c r="K35" s="182">
        <f t="shared" si="8"/>
        <v>0</v>
      </c>
      <c r="L35" s="182">
        <f t="shared" si="8"/>
        <v>0</v>
      </c>
      <c r="M35" s="183"/>
      <c r="N35" s="184"/>
      <c r="O35" s="185"/>
      <c r="P35" s="185"/>
      <c r="Q35" s="186"/>
    </row>
    <row r="36" spans="1:22" x14ac:dyDescent="0.25">
      <c r="A36" s="188"/>
      <c r="B36" s="189"/>
      <c r="C36" s="390"/>
      <c r="D36" s="189"/>
      <c r="E36" s="189"/>
      <c r="F36" s="189"/>
      <c r="G36" s="189"/>
      <c r="H36" s="189"/>
      <c r="I36" s="190"/>
      <c r="J36" s="191"/>
      <c r="K36" s="191"/>
      <c r="L36" s="191"/>
      <c r="M36" s="191"/>
      <c r="N36" s="192"/>
      <c r="O36" s="193"/>
      <c r="P36" s="193"/>
      <c r="Q36" s="138"/>
    </row>
    <row r="37" spans="1:22" s="568" customFormat="1" ht="12" x14ac:dyDescent="0.2">
      <c r="A37" s="564"/>
      <c r="B37" s="194" t="s">
        <v>148</v>
      </c>
      <c r="C37" s="194"/>
      <c r="D37" s="194"/>
      <c r="E37" s="565"/>
      <c r="F37" s="565"/>
      <c r="G37" s="565"/>
      <c r="H37" s="565"/>
      <c r="I37" s="565"/>
      <c r="J37" s="566"/>
      <c r="K37" s="567"/>
      <c r="M37" s="566"/>
      <c r="N37" s="567"/>
      <c r="O37" s="566"/>
      <c r="Q37" s="566"/>
      <c r="R37" s="566"/>
      <c r="S37" s="566"/>
      <c r="V37" s="567"/>
    </row>
    <row r="38" spans="1:22" s="568" customFormat="1" ht="12" x14ac:dyDescent="0.2">
      <c r="A38" s="564"/>
      <c r="B38" s="194" t="s">
        <v>149</v>
      </c>
      <c r="C38" s="194"/>
      <c r="D38" s="194"/>
      <c r="M38" s="569"/>
      <c r="N38" s="570"/>
      <c r="O38" s="571"/>
      <c r="P38" s="571"/>
    </row>
    <row r="39" spans="1:22" x14ac:dyDescent="0.25">
      <c r="A39" s="188"/>
      <c r="B39" s="189"/>
      <c r="C39" s="189"/>
      <c r="D39" s="189"/>
      <c r="M39" s="191"/>
      <c r="N39" s="192"/>
      <c r="O39" s="193"/>
      <c r="P39" s="193"/>
    </row>
    <row r="40" spans="1:22" ht="30" x14ac:dyDescent="0.25">
      <c r="A40" s="188"/>
      <c r="B40" s="559" t="s">
        <v>109</v>
      </c>
      <c r="C40" s="206"/>
      <c r="D40" s="206"/>
      <c r="F40" s="560"/>
      <c r="H40" s="111"/>
      <c r="I40" s="196"/>
      <c r="J40" s="196"/>
      <c r="K40" s="196"/>
      <c r="L40" s="196"/>
      <c r="M40" s="111" t="s">
        <v>97</v>
      </c>
      <c r="N40" s="196"/>
      <c r="O40" s="196"/>
      <c r="P40" s="196"/>
      <c r="Q40" s="196"/>
      <c r="R40" s="196"/>
      <c r="S40" s="196"/>
      <c r="T40" s="196"/>
      <c r="V40" s="196"/>
    </row>
    <row r="41" spans="1:22" x14ac:dyDescent="0.25">
      <c r="A41" s="188"/>
      <c r="B41" s="559"/>
      <c r="C41" s="206"/>
      <c r="D41" s="206"/>
      <c r="F41" s="196"/>
      <c r="H41" s="111"/>
      <c r="I41" s="196"/>
      <c r="J41" s="196"/>
      <c r="K41" s="196"/>
      <c r="L41" s="196"/>
      <c r="M41" s="560"/>
      <c r="N41" s="196"/>
      <c r="O41" s="196"/>
      <c r="P41" s="196"/>
      <c r="Q41" s="196"/>
      <c r="R41" s="196"/>
      <c r="S41" s="196"/>
      <c r="T41" s="196"/>
      <c r="V41" s="196"/>
    </row>
    <row r="42" spans="1:22" x14ac:dyDescent="0.25">
      <c r="A42" s="188"/>
      <c r="B42" s="196" t="s">
        <v>94</v>
      </c>
      <c r="C42" s="216"/>
      <c r="D42" s="216"/>
      <c r="F42" s="196"/>
      <c r="H42" s="111"/>
      <c r="I42" s="201"/>
      <c r="J42" s="217"/>
      <c r="K42" s="217"/>
      <c r="L42" s="217"/>
      <c r="M42" s="111" t="s">
        <v>95</v>
      </c>
      <c r="N42" s="201"/>
      <c r="O42" s="193"/>
      <c r="P42" s="193"/>
    </row>
    <row r="43" spans="1:22" x14ac:dyDescent="0.25">
      <c r="A43" s="188"/>
      <c r="D43" s="196"/>
      <c r="F43" s="196"/>
      <c r="H43" s="111"/>
      <c r="I43" s="196"/>
      <c r="J43" s="196"/>
      <c r="K43" s="196"/>
      <c r="L43" s="196"/>
      <c r="M43" s="111"/>
      <c r="N43" s="196"/>
      <c r="O43" s="196"/>
      <c r="P43" s="196"/>
      <c r="Q43" s="196"/>
      <c r="R43" s="196"/>
      <c r="S43" s="196"/>
      <c r="T43" s="196"/>
      <c r="V43" s="196"/>
    </row>
    <row r="44" spans="1:22" x14ac:dyDescent="0.25">
      <c r="A44" s="188"/>
      <c r="B44" s="196" t="s">
        <v>98</v>
      </c>
      <c r="D44" s="206"/>
      <c r="F44" s="196"/>
      <c r="H44" s="111"/>
      <c r="M44" s="111" t="s">
        <v>99</v>
      </c>
      <c r="N44" s="197"/>
      <c r="O44" s="198"/>
      <c r="P44" s="198"/>
      <c r="Q44" s="197"/>
      <c r="R44" s="197"/>
      <c r="S44" s="197"/>
      <c r="T44" s="197"/>
    </row>
    <row r="45" spans="1:22" x14ac:dyDescent="0.25">
      <c r="A45" s="188"/>
      <c r="D45" s="136"/>
      <c r="F45" s="205"/>
      <c r="H45" s="111"/>
      <c r="I45" s="206"/>
      <c r="J45" s="207"/>
      <c r="K45" s="207"/>
      <c r="L45" s="207"/>
      <c r="M45" s="197"/>
      <c r="N45" s="208"/>
      <c r="O45" s="193"/>
      <c r="P45" s="193"/>
    </row>
    <row r="46" spans="1:22" x14ac:dyDescent="0.25">
      <c r="A46" s="188"/>
      <c r="B46" s="196" t="s">
        <v>150</v>
      </c>
      <c r="F46" s="195"/>
      <c r="H46" s="111"/>
      <c r="I46" s="206"/>
      <c r="J46" s="191"/>
      <c r="K46" s="218"/>
      <c r="L46" s="218"/>
      <c r="M46" s="111" t="s">
        <v>318</v>
      </c>
      <c r="N46" s="195"/>
      <c r="O46" s="193"/>
      <c r="P46" s="193"/>
    </row>
    <row r="47" spans="1:22" x14ac:dyDescent="0.25">
      <c r="A47" s="188"/>
      <c r="B47" s="245"/>
      <c r="C47" s="135"/>
      <c r="F47" s="206"/>
      <c r="H47" s="206"/>
      <c r="I47" s="206"/>
      <c r="J47" s="191"/>
      <c r="K47" s="218"/>
      <c r="L47" s="218"/>
      <c r="M47" s="135"/>
      <c r="N47" s="195"/>
      <c r="O47" s="193"/>
      <c r="P47" s="193"/>
    </row>
    <row r="48" spans="1:22" ht="30" x14ac:dyDescent="0.25">
      <c r="A48" s="212"/>
      <c r="B48" s="206" t="s">
        <v>325</v>
      </c>
      <c r="C48" s="135"/>
      <c r="D48" s="135"/>
      <c r="E48" s="136"/>
      <c r="F48" s="136"/>
      <c r="G48" s="213"/>
      <c r="H48" s="213"/>
      <c r="I48" s="206"/>
      <c r="J48" s="191"/>
      <c r="K48" s="191"/>
      <c r="L48" s="191"/>
      <c r="M48" s="191" t="s">
        <v>324</v>
      </c>
      <c r="N48" s="195"/>
      <c r="O48" s="193"/>
      <c r="P48" s="193"/>
    </row>
    <row r="49" spans="1:16" x14ac:dyDescent="0.25">
      <c r="A49" s="212"/>
      <c r="B49" s="206"/>
      <c r="C49" s="135"/>
      <c r="D49" s="135"/>
      <c r="E49" s="136"/>
      <c r="F49" s="136"/>
      <c r="G49" s="213"/>
      <c r="H49" s="213"/>
      <c r="I49" s="206"/>
      <c r="J49" s="191"/>
      <c r="K49" s="191"/>
      <c r="L49" s="191"/>
      <c r="M49" s="191"/>
      <c r="N49" s="195"/>
      <c r="O49" s="193"/>
      <c r="P49" s="193"/>
    </row>
    <row r="50" spans="1:16" x14ac:dyDescent="0.25">
      <c r="A50" s="212"/>
      <c r="B50" s="214"/>
      <c r="C50" s="135"/>
      <c r="D50" s="135"/>
      <c r="E50" s="136"/>
      <c r="F50" s="136"/>
      <c r="G50" s="205"/>
      <c r="H50" s="205"/>
      <c r="I50" s="206"/>
      <c r="J50" s="207"/>
      <c r="K50" s="207"/>
      <c r="L50" s="207"/>
      <c r="M50" s="207"/>
      <c r="N50" s="195"/>
      <c r="O50" s="193"/>
      <c r="P50" s="193"/>
    </row>
    <row r="51" spans="1:16" x14ac:dyDescent="0.25">
      <c r="A51" s="212"/>
      <c r="B51" s="206"/>
      <c r="C51" s="135"/>
      <c r="D51" s="135"/>
      <c r="E51" s="136"/>
      <c r="F51" s="136"/>
      <c r="G51" s="213"/>
      <c r="H51" s="213"/>
      <c r="I51" s="206"/>
      <c r="J51" s="191"/>
      <c r="K51" s="191"/>
      <c r="L51" s="191"/>
      <c r="M51" s="191"/>
      <c r="N51" s="195"/>
      <c r="O51" s="193"/>
      <c r="P51" s="193"/>
    </row>
    <row r="52" spans="1:16" x14ac:dyDescent="0.25">
      <c r="A52" s="212"/>
      <c r="B52" s="136"/>
      <c r="C52" s="135"/>
      <c r="D52" s="135"/>
      <c r="E52" s="136"/>
      <c r="F52" s="135"/>
      <c r="G52" s="205"/>
      <c r="H52" s="205"/>
      <c r="I52" s="206"/>
      <c r="J52" s="207"/>
      <c r="K52" s="207"/>
      <c r="L52" s="207"/>
      <c r="M52" s="207"/>
      <c r="N52" s="215"/>
      <c r="O52" s="193"/>
      <c r="P52" s="193"/>
    </row>
    <row r="53" spans="1:16" x14ac:dyDescent="0.25">
      <c r="A53" s="212"/>
      <c r="B53" s="206"/>
      <c r="C53" s="135"/>
      <c r="D53" s="135"/>
      <c r="E53" s="136"/>
      <c r="F53" s="195"/>
      <c r="G53" s="213"/>
      <c r="H53" s="213"/>
      <c r="I53" s="206"/>
      <c r="J53" s="191"/>
      <c r="K53" s="191"/>
      <c r="L53" s="191"/>
      <c r="M53" s="191"/>
      <c r="N53" s="195"/>
      <c r="O53" s="193"/>
      <c r="P53" s="193"/>
    </row>
    <row r="54" spans="1:16" x14ac:dyDescent="0.25">
      <c r="A54" s="212"/>
      <c r="B54" s="206"/>
      <c r="C54" s="135"/>
      <c r="D54" s="135"/>
      <c r="E54" s="136"/>
      <c r="F54" s="195"/>
      <c r="G54" s="213"/>
      <c r="H54" s="213"/>
      <c r="I54" s="206"/>
      <c r="J54" s="191"/>
      <c r="K54" s="191"/>
      <c r="L54" s="191"/>
      <c r="M54" s="191"/>
      <c r="N54" s="191"/>
      <c r="O54" s="193"/>
      <c r="P54" s="193"/>
    </row>
    <row r="55" spans="1:16" x14ac:dyDescent="0.25">
      <c r="A55" s="189"/>
      <c r="B55" s="192"/>
      <c r="C55" s="216"/>
      <c r="D55" s="216"/>
      <c r="E55" s="216"/>
      <c r="F55" s="216"/>
      <c r="G55" s="216"/>
      <c r="H55" s="216"/>
      <c r="I55" s="201"/>
      <c r="J55" s="217"/>
      <c r="K55" s="217"/>
      <c r="L55" s="217"/>
      <c r="M55" s="217"/>
      <c r="N55" s="201"/>
      <c r="O55" s="193"/>
      <c r="P55" s="193"/>
    </row>
    <row r="56" spans="1:16" x14ac:dyDescent="0.25">
      <c r="A56" s="189"/>
      <c r="B56" s="206"/>
      <c r="C56" s="206"/>
      <c r="D56" s="206"/>
      <c r="E56" s="206"/>
      <c r="F56" s="206"/>
      <c r="G56" s="206"/>
      <c r="H56" s="206"/>
      <c r="I56" s="190"/>
      <c r="J56" s="218"/>
      <c r="K56" s="218"/>
      <c r="L56" s="218"/>
      <c r="M56" s="218"/>
      <c r="N56" s="201"/>
      <c r="O56" s="193"/>
      <c r="P56" s="193"/>
    </row>
    <row r="57" spans="1:16" x14ac:dyDescent="0.25">
      <c r="A57" s="189"/>
      <c r="B57" s="206"/>
      <c r="C57" s="206"/>
      <c r="D57" s="206"/>
      <c r="E57" s="206"/>
      <c r="F57" s="206"/>
      <c r="G57" s="206"/>
      <c r="H57" s="206"/>
      <c r="I57" s="190"/>
      <c r="J57" s="191"/>
      <c r="K57" s="191"/>
      <c r="L57" s="191"/>
      <c r="M57" s="191"/>
      <c r="N57" s="201"/>
      <c r="O57" s="193"/>
      <c r="P57" s="193"/>
    </row>
    <row r="58" spans="1:16" x14ac:dyDescent="0.25">
      <c r="A58" s="189"/>
      <c r="B58" s="206"/>
      <c r="C58" s="206"/>
      <c r="D58" s="206"/>
      <c r="E58" s="206"/>
      <c r="F58" s="206"/>
      <c r="G58" s="206"/>
      <c r="H58" s="206"/>
      <c r="I58" s="190"/>
      <c r="J58" s="218"/>
      <c r="K58" s="218"/>
      <c r="L58" s="218"/>
      <c r="M58" s="218"/>
      <c r="N58" s="201"/>
      <c r="O58" s="193"/>
      <c r="P58" s="193"/>
    </row>
    <row r="59" spans="1:16" x14ac:dyDescent="0.25">
      <c r="A59" s="189"/>
      <c r="B59" s="206"/>
      <c r="C59" s="206"/>
      <c r="D59" s="206"/>
      <c r="E59" s="206"/>
      <c r="F59" s="206"/>
      <c r="G59" s="206"/>
      <c r="H59" s="206"/>
      <c r="I59" s="190"/>
      <c r="J59" s="218"/>
      <c r="K59" s="218"/>
      <c r="L59" s="218"/>
      <c r="M59" s="218"/>
      <c r="N59" s="201"/>
      <c r="O59" s="193"/>
      <c r="P59" s="193"/>
    </row>
    <row r="60" spans="1:16" x14ac:dyDescent="0.25">
      <c r="A60" s="206"/>
      <c r="B60" s="219"/>
      <c r="C60" s="136"/>
      <c r="D60" s="136"/>
      <c r="E60" s="136"/>
      <c r="F60" s="136"/>
      <c r="G60" s="136"/>
      <c r="H60" s="136"/>
      <c r="I60" s="206"/>
      <c r="J60" s="207"/>
      <c r="K60" s="207"/>
      <c r="L60" s="207"/>
      <c r="M60" s="207"/>
      <c r="N60" s="208"/>
      <c r="O60" s="193"/>
      <c r="P60" s="193"/>
    </row>
    <row r="61" spans="1:16" x14ac:dyDescent="0.25">
      <c r="A61" s="206"/>
      <c r="B61" s="220"/>
      <c r="C61" s="206"/>
      <c r="D61" s="206"/>
      <c r="E61" s="136"/>
      <c r="F61" s="206"/>
      <c r="G61" s="136"/>
      <c r="H61" s="136"/>
      <c r="I61" s="206"/>
      <c r="J61" s="191"/>
      <c r="K61" s="191"/>
      <c r="L61" s="191"/>
      <c r="M61" s="191"/>
      <c r="N61" s="195"/>
      <c r="O61" s="193"/>
      <c r="P61" s="193"/>
    </row>
    <row r="62" spans="1:16" x14ac:dyDescent="0.25">
      <c r="A62" s="189"/>
      <c r="B62" s="192"/>
      <c r="C62" s="216"/>
      <c r="D62" s="216"/>
      <c r="E62" s="216"/>
      <c r="F62" s="216"/>
      <c r="G62" s="216"/>
      <c r="H62" s="216"/>
      <c r="I62" s="190"/>
      <c r="J62" s="191"/>
      <c r="K62" s="191"/>
      <c r="L62" s="191"/>
      <c r="M62" s="191"/>
      <c r="N62" s="192"/>
      <c r="O62" s="193"/>
      <c r="P62" s="193"/>
    </row>
    <row r="63" spans="1:16" x14ac:dyDescent="0.25">
      <c r="A63" s="189"/>
      <c r="B63" s="189"/>
      <c r="C63" s="189"/>
      <c r="D63" s="189"/>
      <c r="E63" s="189"/>
      <c r="F63" s="189"/>
      <c r="G63" s="189"/>
      <c r="H63" s="189"/>
      <c r="I63" s="190"/>
      <c r="J63" s="191"/>
      <c r="K63" s="191"/>
      <c r="L63" s="191"/>
      <c r="M63" s="191"/>
      <c r="N63" s="192"/>
      <c r="O63" s="193"/>
      <c r="P63" s="193"/>
    </row>
    <row r="64" spans="1:16" x14ac:dyDescent="0.25">
      <c r="A64" s="189"/>
      <c r="B64" s="189"/>
      <c r="C64" s="189"/>
      <c r="D64" s="189"/>
      <c r="E64" s="189"/>
      <c r="F64" s="189"/>
      <c r="G64" s="189"/>
      <c r="H64" s="189"/>
      <c r="I64" s="190"/>
      <c r="J64" s="191"/>
      <c r="K64" s="191"/>
      <c r="L64" s="191"/>
      <c r="M64" s="191"/>
      <c r="N64" s="192"/>
      <c r="O64" s="193"/>
      <c r="P64" s="193"/>
    </row>
    <row r="65" spans="1:16" x14ac:dyDescent="0.25">
      <c r="A65" s="189"/>
      <c r="B65" s="189"/>
      <c r="C65" s="189"/>
      <c r="D65" s="189"/>
      <c r="E65" s="189"/>
      <c r="F65" s="189"/>
      <c r="G65" s="189"/>
      <c r="H65" s="189"/>
      <c r="I65" s="190"/>
      <c r="J65" s="191"/>
      <c r="K65" s="191"/>
      <c r="L65" s="191"/>
      <c r="M65" s="191"/>
      <c r="N65" s="192"/>
      <c r="O65" s="193"/>
      <c r="P65" s="193"/>
    </row>
    <row r="66" spans="1:16" x14ac:dyDescent="0.25">
      <c r="A66" s="189"/>
      <c r="B66" s="189"/>
      <c r="C66" s="189"/>
      <c r="D66" s="189"/>
      <c r="E66" s="189"/>
      <c r="F66" s="189"/>
      <c r="G66" s="189"/>
      <c r="H66" s="189"/>
      <c r="I66" s="190"/>
      <c r="J66" s="191"/>
      <c r="K66" s="191"/>
      <c r="L66" s="191"/>
      <c r="M66" s="191"/>
      <c r="N66" s="192"/>
      <c r="O66" s="193"/>
      <c r="P66" s="193"/>
    </row>
    <row r="67" spans="1:16" x14ac:dyDescent="0.25">
      <c r="A67" s="189"/>
      <c r="B67" s="192"/>
      <c r="C67" s="216"/>
      <c r="D67" s="216"/>
      <c r="E67" s="216"/>
      <c r="F67" s="216"/>
      <c r="G67" s="216"/>
      <c r="H67" s="216"/>
      <c r="I67" s="201"/>
      <c r="J67" s="217"/>
      <c r="K67" s="217"/>
      <c r="L67" s="217"/>
      <c r="M67" s="217"/>
      <c r="N67" s="201"/>
      <c r="O67" s="193"/>
      <c r="P67" s="193"/>
    </row>
    <row r="68" spans="1:16" x14ac:dyDescent="0.25">
      <c r="A68" s="189"/>
      <c r="B68" s="189"/>
      <c r="C68" s="189"/>
      <c r="D68" s="189"/>
      <c r="E68" s="189"/>
      <c r="F68" s="189"/>
      <c r="G68" s="189"/>
      <c r="H68" s="189"/>
      <c r="I68" s="190"/>
      <c r="J68" s="191"/>
      <c r="K68" s="191"/>
      <c r="L68" s="191"/>
      <c r="M68" s="191"/>
      <c r="N68" s="192"/>
      <c r="O68" s="193"/>
      <c r="P68" s="193"/>
    </row>
    <row r="69" spans="1:16" x14ac:dyDescent="0.25">
      <c r="A69" s="189"/>
      <c r="B69" s="189"/>
      <c r="C69" s="189"/>
      <c r="D69" s="189"/>
      <c r="E69" s="189"/>
      <c r="F69" s="189"/>
      <c r="G69" s="189"/>
      <c r="H69" s="189"/>
      <c r="I69" s="190"/>
      <c r="J69" s="191"/>
      <c r="K69" s="191"/>
      <c r="L69" s="191"/>
      <c r="M69" s="191"/>
      <c r="N69" s="192"/>
      <c r="O69" s="193"/>
      <c r="P69" s="193"/>
    </row>
    <row r="70" spans="1:16" x14ac:dyDescent="0.25">
      <c r="A70" s="189"/>
      <c r="B70" s="189"/>
      <c r="C70" s="189"/>
      <c r="D70" s="189"/>
      <c r="E70" s="189"/>
      <c r="F70" s="189"/>
      <c r="G70" s="189"/>
      <c r="H70" s="189"/>
      <c r="I70" s="190"/>
      <c r="J70" s="191"/>
      <c r="K70" s="191"/>
      <c r="L70" s="191"/>
      <c r="M70" s="191"/>
      <c r="N70" s="192"/>
      <c r="O70" s="193"/>
      <c r="P70" s="193"/>
    </row>
    <row r="71" spans="1:16" x14ac:dyDescent="0.25">
      <c r="A71" s="189"/>
      <c r="B71" s="189"/>
      <c r="C71" s="189"/>
      <c r="D71" s="189"/>
      <c r="E71" s="189"/>
      <c r="F71" s="189"/>
      <c r="G71" s="189"/>
      <c r="H71" s="189"/>
      <c r="I71" s="190"/>
      <c r="J71" s="191"/>
      <c r="K71" s="191"/>
      <c r="L71" s="191"/>
      <c r="M71" s="191"/>
      <c r="N71" s="192"/>
      <c r="O71" s="193"/>
      <c r="P71" s="193"/>
    </row>
    <row r="72" spans="1:16" x14ac:dyDescent="0.25">
      <c r="A72" s="206"/>
      <c r="B72" s="136"/>
      <c r="C72" s="136"/>
      <c r="D72" s="136"/>
      <c r="E72" s="136"/>
      <c r="F72" s="136"/>
      <c r="G72" s="206"/>
      <c r="H72" s="206"/>
      <c r="I72" s="206"/>
      <c r="J72" s="207"/>
      <c r="K72" s="207"/>
      <c r="L72" s="207"/>
      <c r="M72" s="207"/>
      <c r="N72" s="208"/>
      <c r="O72" s="193"/>
      <c r="P72" s="193"/>
    </row>
    <row r="73" spans="1:16" x14ac:dyDescent="0.25">
      <c r="A73" s="206"/>
      <c r="B73" s="206"/>
      <c r="C73" s="136"/>
      <c r="D73" s="136"/>
      <c r="E73" s="136"/>
      <c r="F73" s="206"/>
      <c r="G73" s="206"/>
      <c r="H73" s="206"/>
      <c r="I73" s="206"/>
      <c r="J73" s="191"/>
      <c r="K73" s="191"/>
      <c r="L73" s="191"/>
      <c r="M73" s="191"/>
      <c r="N73" s="195"/>
      <c r="O73" s="193"/>
      <c r="P73" s="193"/>
    </row>
    <row r="74" spans="1:16" x14ac:dyDescent="0.25">
      <c r="A74" s="206"/>
      <c r="B74" s="136"/>
      <c r="C74" s="136"/>
      <c r="D74" s="136"/>
      <c r="E74" s="136"/>
      <c r="F74" s="206"/>
      <c r="G74" s="206"/>
      <c r="H74" s="206"/>
      <c r="I74" s="206"/>
      <c r="J74" s="207"/>
      <c r="K74" s="207"/>
      <c r="L74" s="207"/>
      <c r="M74" s="207"/>
      <c r="N74" s="192"/>
      <c r="O74" s="193"/>
      <c r="P74" s="193"/>
    </row>
    <row r="75" spans="1:16" x14ac:dyDescent="0.25">
      <c r="A75" s="206"/>
      <c r="B75" s="220"/>
      <c r="C75" s="206"/>
      <c r="D75" s="206"/>
      <c r="E75" s="136"/>
      <c r="F75" s="206"/>
      <c r="G75" s="206"/>
      <c r="H75" s="206"/>
      <c r="I75" s="206"/>
      <c r="J75" s="191"/>
      <c r="K75" s="191"/>
      <c r="L75" s="191"/>
      <c r="M75" s="191"/>
      <c r="N75" s="192"/>
      <c r="O75" s="193"/>
      <c r="P75" s="193"/>
    </row>
    <row r="76" spans="1:16" x14ac:dyDescent="0.25">
      <c r="A76" s="206"/>
      <c r="B76" s="136"/>
      <c r="C76" s="136"/>
      <c r="D76" s="136"/>
      <c r="E76" s="205"/>
      <c r="F76" s="206"/>
      <c r="G76" s="213"/>
      <c r="H76" s="213"/>
      <c r="I76" s="206"/>
      <c r="J76" s="207"/>
      <c r="K76" s="207"/>
      <c r="L76" s="207"/>
      <c r="M76" s="207"/>
      <c r="N76" s="192"/>
      <c r="O76" s="193"/>
      <c r="P76" s="193"/>
    </row>
    <row r="77" spans="1:16" x14ac:dyDescent="0.25">
      <c r="A77" s="206"/>
      <c r="B77" s="206"/>
      <c r="C77" s="136"/>
      <c r="D77" s="136"/>
      <c r="E77" s="205"/>
      <c r="F77" s="206"/>
      <c r="G77" s="213"/>
      <c r="H77" s="213"/>
      <c r="I77" s="206"/>
      <c r="J77" s="191"/>
      <c r="K77" s="191"/>
      <c r="L77" s="191"/>
      <c r="M77" s="191"/>
      <c r="N77" s="192"/>
      <c r="O77" s="193"/>
      <c r="P77" s="193"/>
    </row>
    <row r="78" spans="1:16" x14ac:dyDescent="0.25">
      <c r="A78" s="206"/>
      <c r="B78" s="206"/>
      <c r="C78" s="136"/>
      <c r="D78" s="136"/>
      <c r="E78" s="205"/>
      <c r="F78" s="206"/>
      <c r="G78" s="213"/>
      <c r="H78" s="213"/>
      <c r="I78" s="206"/>
      <c r="J78" s="191"/>
      <c r="K78" s="191"/>
      <c r="L78" s="191"/>
      <c r="M78" s="191"/>
      <c r="N78" s="192"/>
      <c r="O78" s="193"/>
      <c r="P78" s="193"/>
    </row>
    <row r="79" spans="1:16" x14ac:dyDescent="0.25">
      <c r="A79" s="189"/>
      <c r="B79" s="192"/>
      <c r="C79" s="216"/>
      <c r="D79" s="216"/>
      <c r="E79" s="216"/>
      <c r="F79" s="216"/>
      <c r="G79" s="216"/>
      <c r="H79" s="216"/>
      <c r="I79" s="201"/>
      <c r="J79" s="217"/>
      <c r="K79" s="217"/>
      <c r="L79" s="217"/>
      <c r="M79" s="217"/>
      <c r="N79" s="201"/>
      <c r="O79" s="193"/>
      <c r="P79" s="193"/>
    </row>
    <row r="80" spans="1:16" x14ac:dyDescent="0.25">
      <c r="A80" s="189"/>
      <c r="B80" s="206"/>
      <c r="C80" s="206"/>
      <c r="D80" s="206"/>
      <c r="E80" s="206"/>
      <c r="F80" s="206"/>
      <c r="G80" s="206"/>
      <c r="H80" s="206"/>
      <c r="I80" s="190"/>
      <c r="J80" s="191"/>
      <c r="K80" s="191"/>
      <c r="L80" s="191"/>
      <c r="M80" s="191"/>
      <c r="N80" s="201"/>
      <c r="O80" s="193"/>
      <c r="P80" s="193"/>
    </row>
    <row r="81" spans="1:16" x14ac:dyDescent="0.25">
      <c r="A81" s="189"/>
      <c r="B81" s="206"/>
      <c r="C81" s="206"/>
      <c r="D81" s="206"/>
      <c r="E81" s="206"/>
      <c r="F81" s="206"/>
      <c r="G81" s="206"/>
      <c r="H81" s="206"/>
      <c r="I81" s="190"/>
      <c r="J81" s="191"/>
      <c r="K81" s="191"/>
      <c r="L81" s="191"/>
      <c r="M81" s="191"/>
      <c r="N81" s="201"/>
      <c r="O81" s="193"/>
      <c r="P81" s="193"/>
    </row>
    <row r="82" spans="1:16" x14ac:dyDescent="0.25">
      <c r="A82" s="189"/>
      <c r="B82" s="206"/>
      <c r="C82" s="206"/>
      <c r="D82" s="206"/>
      <c r="E82" s="206"/>
      <c r="F82" s="206"/>
      <c r="G82" s="206"/>
      <c r="H82" s="206"/>
      <c r="I82" s="190"/>
      <c r="J82" s="191"/>
      <c r="K82" s="191"/>
      <c r="L82" s="191"/>
      <c r="M82" s="191"/>
      <c r="N82" s="201"/>
      <c r="O82" s="193"/>
      <c r="P82" s="193"/>
    </row>
    <row r="83" spans="1:16" x14ac:dyDescent="0.25">
      <c r="A83" s="189"/>
      <c r="B83" s="206"/>
      <c r="C83" s="206"/>
      <c r="D83" s="206"/>
      <c r="E83" s="206"/>
      <c r="F83" s="206"/>
      <c r="G83" s="206"/>
      <c r="H83" s="206"/>
      <c r="I83" s="190"/>
      <c r="J83" s="191"/>
      <c r="K83" s="191"/>
      <c r="L83" s="191"/>
      <c r="M83" s="191"/>
      <c r="N83" s="201"/>
      <c r="O83" s="193"/>
      <c r="P83" s="193"/>
    </row>
    <row r="84" spans="1:16" x14ac:dyDescent="0.25">
      <c r="A84" s="206"/>
      <c r="B84" s="136"/>
      <c r="C84" s="136"/>
      <c r="D84" s="136"/>
      <c r="E84" s="136"/>
      <c r="F84" s="136"/>
      <c r="G84" s="206"/>
      <c r="H84" s="206"/>
      <c r="I84" s="206"/>
      <c r="J84" s="207"/>
      <c r="K84" s="207"/>
      <c r="L84" s="207"/>
      <c r="M84" s="207"/>
      <c r="N84" s="208"/>
      <c r="O84" s="193"/>
      <c r="P84" s="193"/>
    </row>
    <row r="85" spans="1:16" x14ac:dyDescent="0.25">
      <c r="A85" s="206"/>
      <c r="B85" s="220"/>
      <c r="C85" s="206"/>
      <c r="D85" s="206"/>
      <c r="E85" s="136"/>
      <c r="F85" s="206"/>
      <c r="G85" s="206"/>
      <c r="H85" s="206"/>
      <c r="I85" s="206"/>
      <c r="J85" s="191"/>
      <c r="K85" s="191"/>
      <c r="L85" s="191"/>
      <c r="M85" s="191"/>
      <c r="N85" s="195"/>
      <c r="O85" s="193"/>
      <c r="P85" s="193"/>
    </row>
    <row r="86" spans="1:16" x14ac:dyDescent="0.25">
      <c r="A86" s="221"/>
      <c r="B86" s="214"/>
      <c r="C86" s="222"/>
      <c r="D86" s="222"/>
      <c r="E86" s="222"/>
      <c r="F86" s="223"/>
      <c r="G86" s="224"/>
      <c r="H86" s="224"/>
      <c r="I86" s="206"/>
      <c r="J86" s="207"/>
      <c r="K86" s="207"/>
      <c r="L86" s="207"/>
      <c r="M86" s="207"/>
      <c r="N86" s="195"/>
      <c r="O86" s="193"/>
      <c r="P86" s="193"/>
    </row>
    <row r="87" spans="1:16" x14ac:dyDescent="0.25">
      <c r="A87" s="221"/>
      <c r="B87" s="214"/>
      <c r="C87" s="222"/>
      <c r="D87" s="222"/>
      <c r="E87" s="222"/>
      <c r="F87" s="223"/>
      <c r="G87" s="224"/>
      <c r="H87" s="224"/>
      <c r="I87" s="206"/>
      <c r="J87" s="191"/>
      <c r="K87" s="191"/>
      <c r="L87" s="191"/>
      <c r="M87" s="191"/>
      <c r="N87" s="195"/>
      <c r="O87" s="193"/>
      <c r="P87" s="193"/>
    </row>
    <row r="88" spans="1:16" x14ac:dyDescent="0.25">
      <c r="A88" s="225"/>
      <c r="B88" s="226"/>
      <c r="C88" s="226"/>
      <c r="D88" s="226"/>
      <c r="E88" s="226"/>
      <c r="F88" s="226"/>
      <c r="G88" s="226"/>
      <c r="H88" s="226"/>
      <c r="I88" s="226"/>
      <c r="J88" s="226"/>
      <c r="K88" s="226"/>
      <c r="L88" s="226"/>
      <c r="M88" s="217"/>
      <c r="N88" s="226"/>
      <c r="O88" s="193"/>
      <c r="P88" s="193"/>
    </row>
    <row r="89" spans="1:16" x14ac:dyDescent="0.25">
      <c r="A89" s="189"/>
      <c r="B89" s="189"/>
      <c r="C89" s="189"/>
      <c r="D89" s="189"/>
      <c r="E89" s="189"/>
      <c r="F89" s="189"/>
      <c r="G89" s="189"/>
      <c r="H89" s="189"/>
      <c r="I89" s="226"/>
      <c r="J89" s="217"/>
      <c r="K89" s="217"/>
      <c r="L89" s="217"/>
      <c r="M89" s="217"/>
      <c r="N89" s="226"/>
      <c r="O89" s="193"/>
      <c r="P89" s="193"/>
    </row>
    <row r="90" spans="1:16" x14ac:dyDescent="0.25">
      <c r="A90" s="189"/>
      <c r="B90" s="189"/>
      <c r="C90" s="189"/>
      <c r="D90" s="189"/>
      <c r="E90" s="189"/>
      <c r="F90" s="189"/>
      <c r="G90" s="189"/>
      <c r="H90" s="189"/>
      <c r="I90" s="190"/>
      <c r="J90" s="207"/>
      <c r="K90" s="207"/>
      <c r="L90" s="207"/>
      <c r="M90" s="207"/>
      <c r="N90" s="192"/>
      <c r="O90" s="193"/>
      <c r="P90" s="193"/>
    </row>
    <row r="91" spans="1:16" x14ac:dyDescent="0.25">
      <c r="A91" s="189"/>
      <c r="B91" s="189"/>
      <c r="C91" s="189"/>
      <c r="D91" s="189"/>
      <c r="E91" s="189"/>
      <c r="F91" s="189"/>
      <c r="G91" s="189"/>
      <c r="H91" s="189"/>
      <c r="I91" s="190"/>
      <c r="J91" s="207"/>
      <c r="K91" s="207"/>
      <c r="L91" s="207"/>
      <c r="M91" s="207"/>
      <c r="N91" s="192"/>
      <c r="O91" s="193"/>
      <c r="P91" s="193"/>
    </row>
    <row r="92" spans="1:16" x14ac:dyDescent="0.25">
      <c r="A92" s="189"/>
      <c r="B92" s="189"/>
      <c r="C92" s="189"/>
      <c r="D92" s="189"/>
      <c r="E92" s="189"/>
      <c r="F92" s="189"/>
      <c r="G92" s="189"/>
      <c r="H92" s="189"/>
      <c r="I92" s="190"/>
      <c r="J92" s="207"/>
      <c r="K92" s="207"/>
      <c r="L92" s="207"/>
      <c r="M92" s="207"/>
      <c r="N92" s="192"/>
      <c r="O92" s="193"/>
      <c r="P92" s="193"/>
    </row>
    <row r="93" spans="1:16" x14ac:dyDescent="0.25">
      <c r="A93" s="189"/>
      <c r="B93" s="189"/>
      <c r="C93" s="189"/>
      <c r="D93" s="189"/>
      <c r="E93" s="189"/>
      <c r="F93" s="189"/>
      <c r="G93" s="189"/>
      <c r="H93" s="189"/>
      <c r="I93" s="190"/>
      <c r="J93" s="207"/>
      <c r="K93" s="207"/>
      <c r="L93" s="207"/>
      <c r="M93" s="207"/>
      <c r="N93" s="192"/>
      <c r="O93" s="193"/>
      <c r="P93" s="193"/>
    </row>
    <row r="94" spans="1:16" x14ac:dyDescent="0.25">
      <c r="A94" s="192"/>
      <c r="B94" s="192"/>
      <c r="C94" s="192"/>
      <c r="D94" s="192"/>
      <c r="E94" s="192"/>
      <c r="F94" s="192"/>
      <c r="G94" s="192"/>
      <c r="H94" s="192"/>
      <c r="I94" s="201"/>
      <c r="J94" s="217"/>
      <c r="K94" s="217"/>
      <c r="L94" s="217"/>
      <c r="M94" s="217"/>
      <c r="N94" s="201"/>
      <c r="O94" s="193"/>
      <c r="P94" s="193"/>
    </row>
    <row r="95" spans="1:16" x14ac:dyDescent="0.25">
      <c r="A95" s="189"/>
      <c r="B95" s="189"/>
      <c r="C95" s="189"/>
      <c r="D95" s="189"/>
      <c r="E95" s="189"/>
      <c r="F95" s="189"/>
      <c r="G95" s="189"/>
      <c r="H95" s="189"/>
      <c r="I95" s="190"/>
      <c r="J95" s="191"/>
      <c r="K95" s="191"/>
      <c r="L95" s="191"/>
      <c r="M95" s="191"/>
      <c r="N95" s="192"/>
      <c r="O95" s="193"/>
      <c r="P95" s="193"/>
    </row>
    <row r="96" spans="1:16" x14ac:dyDescent="0.25">
      <c r="A96" s="189"/>
      <c r="B96" s="189"/>
      <c r="C96" s="189"/>
      <c r="D96" s="189"/>
      <c r="E96" s="189"/>
      <c r="F96" s="189"/>
      <c r="G96" s="189"/>
      <c r="H96" s="189"/>
      <c r="I96" s="190"/>
      <c r="J96" s="191"/>
      <c r="K96" s="191"/>
      <c r="L96" s="191"/>
      <c r="M96" s="191"/>
      <c r="N96" s="192"/>
      <c r="O96" s="193"/>
      <c r="P96" s="193"/>
    </row>
    <row r="97" spans="1:16" x14ac:dyDescent="0.25">
      <c r="A97" s="189"/>
      <c r="B97" s="189"/>
      <c r="C97" s="189"/>
      <c r="D97" s="189"/>
      <c r="E97" s="189"/>
      <c r="F97" s="189"/>
      <c r="G97" s="189"/>
      <c r="H97" s="189"/>
      <c r="I97" s="190"/>
      <c r="J97" s="191"/>
      <c r="K97" s="191"/>
      <c r="L97" s="191"/>
      <c r="M97" s="191"/>
      <c r="N97" s="192"/>
      <c r="O97" s="193"/>
      <c r="P97" s="193"/>
    </row>
    <row r="98" spans="1:16" x14ac:dyDescent="0.25">
      <c r="A98" s="189"/>
      <c r="B98" s="189"/>
      <c r="C98" s="189"/>
      <c r="D98" s="189"/>
      <c r="E98" s="189"/>
      <c r="F98" s="189"/>
      <c r="G98" s="189"/>
      <c r="H98" s="189"/>
      <c r="I98" s="190"/>
      <c r="J98" s="191"/>
      <c r="K98" s="191"/>
      <c r="L98" s="191"/>
      <c r="M98" s="191"/>
      <c r="N98" s="192"/>
      <c r="O98" s="193"/>
      <c r="P98" s="193"/>
    </row>
    <row r="99" spans="1:16" x14ac:dyDescent="0.25">
      <c r="A99" s="189"/>
      <c r="B99" s="192"/>
      <c r="C99" s="216"/>
      <c r="D99" s="216"/>
      <c r="E99" s="216"/>
      <c r="F99" s="216"/>
      <c r="G99" s="216"/>
      <c r="H99" s="216"/>
      <c r="I99" s="201"/>
      <c r="J99" s="217"/>
      <c r="K99" s="217"/>
      <c r="L99" s="217"/>
      <c r="M99" s="217"/>
      <c r="N99" s="201"/>
      <c r="O99" s="193"/>
      <c r="P99" s="193"/>
    </row>
    <row r="100" spans="1:16" x14ac:dyDescent="0.25">
      <c r="A100" s="189"/>
      <c r="B100" s="206"/>
      <c r="C100" s="206"/>
      <c r="D100" s="206"/>
      <c r="E100" s="206"/>
      <c r="F100" s="206"/>
      <c r="G100" s="206"/>
      <c r="H100" s="206"/>
      <c r="I100" s="190"/>
      <c r="J100" s="191"/>
      <c r="K100" s="191"/>
      <c r="L100" s="191"/>
      <c r="M100" s="191"/>
      <c r="N100" s="201"/>
      <c r="O100" s="193"/>
      <c r="P100" s="193"/>
    </row>
    <row r="101" spans="1:16" x14ac:dyDescent="0.25">
      <c r="A101" s="189"/>
      <c r="B101" s="206"/>
      <c r="C101" s="206"/>
      <c r="D101" s="206"/>
      <c r="E101" s="206"/>
      <c r="F101" s="206"/>
      <c r="G101" s="206"/>
      <c r="H101" s="206"/>
      <c r="I101" s="190"/>
      <c r="J101" s="191"/>
      <c r="K101" s="191"/>
      <c r="L101" s="191"/>
      <c r="M101" s="191"/>
      <c r="N101" s="201"/>
      <c r="O101" s="193"/>
      <c r="P101" s="193"/>
    </row>
    <row r="102" spans="1:16" x14ac:dyDescent="0.25">
      <c r="A102" s="189"/>
      <c r="B102" s="206"/>
      <c r="C102" s="206"/>
      <c r="D102" s="206"/>
      <c r="E102" s="206"/>
      <c r="F102" s="206"/>
      <c r="G102" s="206"/>
      <c r="H102" s="206"/>
      <c r="I102" s="190"/>
      <c r="J102" s="191"/>
      <c r="K102" s="191"/>
      <c r="L102" s="191"/>
      <c r="M102" s="191"/>
      <c r="N102" s="201"/>
      <c r="O102" s="193"/>
      <c r="P102" s="193"/>
    </row>
    <row r="103" spans="1:16" x14ac:dyDescent="0.25">
      <c r="A103" s="189"/>
      <c r="B103" s="206"/>
      <c r="C103" s="206"/>
      <c r="D103" s="206"/>
      <c r="E103" s="206"/>
      <c r="F103" s="206"/>
      <c r="G103" s="206"/>
      <c r="H103" s="206"/>
      <c r="I103" s="190"/>
      <c r="J103" s="191"/>
      <c r="K103" s="191"/>
      <c r="L103" s="191"/>
      <c r="M103" s="191"/>
      <c r="N103" s="201"/>
      <c r="O103" s="193"/>
      <c r="P103" s="193"/>
    </row>
    <row r="104" spans="1:16" x14ac:dyDescent="0.25">
      <c r="A104" s="227"/>
      <c r="B104" s="136"/>
      <c r="C104" s="136"/>
      <c r="D104" s="136"/>
      <c r="E104" s="136"/>
      <c r="F104" s="136"/>
      <c r="G104" s="136"/>
      <c r="H104" s="136"/>
      <c r="I104" s="206"/>
      <c r="J104" s="207"/>
      <c r="K104" s="207"/>
      <c r="L104" s="207"/>
      <c r="M104" s="207"/>
      <c r="N104" s="215"/>
      <c r="O104" s="193"/>
      <c r="P104" s="193"/>
    </row>
    <row r="105" spans="1:16" x14ac:dyDescent="0.25">
      <c r="A105" s="227"/>
      <c r="B105" s="220"/>
      <c r="C105" s="206"/>
      <c r="D105" s="206"/>
      <c r="E105" s="136"/>
      <c r="F105" s="206"/>
      <c r="G105" s="136"/>
      <c r="H105" s="136"/>
      <c r="I105" s="206"/>
      <c r="J105" s="191"/>
      <c r="K105" s="191"/>
      <c r="L105" s="228"/>
      <c r="M105" s="228"/>
      <c r="N105" s="195"/>
      <c r="O105" s="193"/>
      <c r="P105" s="193"/>
    </row>
    <row r="106" spans="1:16" x14ac:dyDescent="0.25">
      <c r="A106" s="229"/>
      <c r="B106" s="214"/>
      <c r="C106" s="136"/>
      <c r="D106" s="214"/>
      <c r="E106" s="136"/>
      <c r="F106" s="135"/>
      <c r="G106" s="135"/>
      <c r="H106" s="135"/>
      <c r="I106" s="190"/>
      <c r="J106" s="207"/>
      <c r="K106" s="207"/>
      <c r="L106" s="207"/>
      <c r="M106" s="207"/>
      <c r="N106" s="215"/>
      <c r="O106" s="193"/>
      <c r="P106" s="193"/>
    </row>
    <row r="107" spans="1:16" x14ac:dyDescent="0.25">
      <c r="A107" s="229"/>
      <c r="B107" s="214"/>
      <c r="C107" s="136"/>
      <c r="D107" s="214"/>
      <c r="E107" s="136"/>
      <c r="F107" s="195"/>
      <c r="G107" s="135"/>
      <c r="H107" s="135"/>
      <c r="I107" s="190"/>
      <c r="J107" s="207"/>
      <c r="K107" s="191"/>
      <c r="L107" s="191"/>
      <c r="M107" s="191"/>
      <c r="N107" s="195"/>
      <c r="O107" s="193"/>
      <c r="P107" s="193"/>
    </row>
    <row r="108" spans="1:16" x14ac:dyDescent="0.25">
      <c r="A108" s="229"/>
      <c r="B108" s="214"/>
      <c r="C108" s="136"/>
      <c r="D108" s="214"/>
      <c r="E108" s="136"/>
      <c r="F108" s="195"/>
      <c r="G108" s="135"/>
      <c r="H108" s="135"/>
      <c r="I108" s="190"/>
      <c r="J108" s="207"/>
      <c r="K108" s="191"/>
      <c r="L108" s="191"/>
      <c r="M108" s="191"/>
      <c r="N108" s="195"/>
      <c r="O108" s="193"/>
      <c r="P108" s="193"/>
    </row>
    <row r="109" spans="1:16" x14ac:dyDescent="0.25">
      <c r="A109" s="229"/>
      <c r="B109" s="214"/>
      <c r="C109" s="136"/>
      <c r="D109" s="214"/>
      <c r="E109" s="136"/>
      <c r="F109" s="195"/>
      <c r="G109" s="135"/>
      <c r="H109" s="135"/>
      <c r="I109" s="190"/>
      <c r="J109" s="207"/>
      <c r="K109" s="191"/>
      <c r="L109" s="191"/>
      <c r="M109" s="191"/>
      <c r="N109" s="191"/>
      <c r="O109" s="193"/>
      <c r="P109" s="193"/>
    </row>
    <row r="110" spans="1:16" x14ac:dyDescent="0.25">
      <c r="A110" s="206"/>
      <c r="B110" s="136"/>
      <c r="C110" s="136"/>
      <c r="D110" s="136"/>
      <c r="E110" s="136"/>
      <c r="F110" s="136"/>
      <c r="G110" s="136"/>
      <c r="H110" s="136"/>
      <c r="I110" s="190"/>
      <c r="J110" s="207"/>
      <c r="K110" s="207"/>
      <c r="L110" s="207"/>
      <c r="M110" s="207"/>
      <c r="N110" s="215"/>
      <c r="O110" s="193"/>
      <c r="P110" s="193"/>
    </row>
    <row r="111" spans="1:16" x14ac:dyDescent="0.25">
      <c r="A111" s="206"/>
      <c r="B111" s="220"/>
      <c r="C111" s="136"/>
      <c r="D111" s="136"/>
      <c r="E111" s="136"/>
      <c r="F111" s="206"/>
      <c r="G111" s="136"/>
      <c r="H111" s="136"/>
      <c r="I111" s="190"/>
      <c r="J111" s="191"/>
      <c r="K111" s="191"/>
      <c r="L111" s="191"/>
      <c r="M111" s="191"/>
      <c r="N111" s="195"/>
      <c r="O111" s="193"/>
      <c r="P111" s="193"/>
    </row>
    <row r="112" spans="1:16" x14ac:dyDescent="0.25">
      <c r="A112" s="206"/>
      <c r="B112" s="220"/>
      <c r="C112" s="136"/>
      <c r="D112" s="136"/>
      <c r="E112" s="136"/>
      <c r="F112" s="206"/>
      <c r="G112" s="136"/>
      <c r="H112" s="136"/>
      <c r="I112" s="190"/>
      <c r="J112" s="191"/>
      <c r="K112" s="191"/>
      <c r="L112" s="191"/>
      <c r="M112" s="191"/>
      <c r="N112" s="195"/>
      <c r="O112" s="193"/>
      <c r="P112" s="193"/>
    </row>
    <row r="113" spans="1:16" x14ac:dyDescent="0.25">
      <c r="A113" s="206"/>
      <c r="B113" s="220"/>
      <c r="C113" s="136"/>
      <c r="D113" s="136"/>
      <c r="E113" s="136"/>
      <c r="F113" s="206"/>
      <c r="G113" s="136"/>
      <c r="H113" s="136"/>
      <c r="I113" s="190"/>
      <c r="J113" s="191"/>
      <c r="K113" s="191"/>
      <c r="L113" s="191"/>
      <c r="M113" s="191"/>
      <c r="N113" s="192"/>
      <c r="O113" s="193"/>
      <c r="P113" s="193"/>
    </row>
    <row r="114" spans="1:16" x14ac:dyDescent="0.25">
      <c r="A114" s="189"/>
      <c r="B114" s="192"/>
      <c r="C114" s="216"/>
      <c r="D114" s="216"/>
      <c r="E114" s="216"/>
      <c r="F114" s="216"/>
      <c r="G114" s="216"/>
      <c r="H114" s="216"/>
      <c r="I114" s="190"/>
      <c r="J114" s="191"/>
      <c r="K114" s="191"/>
      <c r="L114" s="191"/>
      <c r="M114" s="191"/>
      <c r="N114" s="192"/>
      <c r="O114" s="193"/>
      <c r="P114" s="193"/>
    </row>
    <row r="115" spans="1:16" x14ac:dyDescent="0.25">
      <c r="A115" s="189"/>
      <c r="B115" s="189"/>
      <c r="C115" s="189"/>
      <c r="D115" s="189"/>
      <c r="E115" s="189"/>
      <c r="F115" s="189"/>
      <c r="G115" s="189"/>
      <c r="H115" s="189"/>
      <c r="I115" s="190"/>
      <c r="J115" s="191"/>
      <c r="K115" s="191"/>
      <c r="L115" s="191"/>
      <c r="M115" s="191"/>
      <c r="N115" s="192"/>
      <c r="O115" s="193"/>
      <c r="P115" s="193"/>
    </row>
    <row r="116" spans="1:16" x14ac:dyDescent="0.25">
      <c r="A116" s="189"/>
      <c r="B116" s="189"/>
      <c r="C116" s="189"/>
      <c r="D116" s="189"/>
      <c r="E116" s="189"/>
      <c r="F116" s="189"/>
      <c r="G116" s="189"/>
      <c r="H116" s="189"/>
      <c r="I116" s="190"/>
      <c r="J116" s="191"/>
      <c r="K116" s="191"/>
      <c r="L116" s="191"/>
      <c r="M116" s="191"/>
      <c r="N116" s="192"/>
      <c r="O116" s="193"/>
      <c r="P116" s="193"/>
    </row>
    <row r="117" spans="1:16" x14ac:dyDescent="0.25">
      <c r="A117" s="189"/>
      <c r="B117" s="189"/>
      <c r="C117" s="189"/>
      <c r="D117" s="189"/>
      <c r="E117" s="189"/>
      <c r="F117" s="189"/>
      <c r="G117" s="189"/>
      <c r="H117" s="189"/>
      <c r="I117" s="190"/>
      <c r="J117" s="191"/>
      <c r="K117" s="191"/>
      <c r="L117" s="191"/>
      <c r="M117" s="191"/>
      <c r="N117" s="192"/>
      <c r="O117" s="193"/>
      <c r="P117" s="193"/>
    </row>
    <row r="118" spans="1:16" x14ac:dyDescent="0.25">
      <c r="A118" s="189"/>
      <c r="B118" s="189"/>
      <c r="C118" s="189"/>
      <c r="D118" s="189"/>
      <c r="E118" s="189"/>
      <c r="F118" s="189"/>
      <c r="G118" s="189"/>
      <c r="H118" s="189"/>
      <c r="I118" s="190"/>
      <c r="J118" s="191"/>
      <c r="K118" s="191"/>
      <c r="L118" s="191"/>
      <c r="M118" s="191"/>
      <c r="N118" s="192"/>
      <c r="O118" s="193"/>
      <c r="P118" s="193"/>
    </row>
    <row r="119" spans="1:16" x14ac:dyDescent="0.25">
      <c r="A119" s="189"/>
      <c r="B119" s="192"/>
      <c r="C119" s="216"/>
      <c r="D119" s="216"/>
      <c r="E119" s="216"/>
      <c r="F119" s="216"/>
      <c r="G119" s="216"/>
      <c r="H119" s="216"/>
      <c r="I119" s="201"/>
      <c r="J119" s="217"/>
      <c r="K119" s="217"/>
      <c r="L119" s="217"/>
      <c r="M119" s="217"/>
      <c r="N119" s="201"/>
      <c r="O119" s="193"/>
      <c r="P119" s="193"/>
    </row>
    <row r="120" spans="1:16" x14ac:dyDescent="0.25">
      <c r="A120" s="189"/>
      <c r="B120" s="206"/>
      <c r="C120" s="206"/>
      <c r="D120" s="206"/>
      <c r="E120" s="206"/>
      <c r="F120" s="206"/>
      <c r="G120" s="206"/>
      <c r="H120" s="206"/>
      <c r="I120" s="190"/>
      <c r="J120" s="191"/>
      <c r="K120" s="191"/>
      <c r="L120" s="191"/>
      <c r="M120" s="191"/>
      <c r="N120" s="201"/>
      <c r="O120" s="193"/>
      <c r="P120" s="193"/>
    </row>
    <row r="121" spans="1:16" x14ac:dyDescent="0.25">
      <c r="A121" s="189"/>
      <c r="B121" s="206"/>
      <c r="C121" s="206"/>
      <c r="D121" s="206"/>
      <c r="E121" s="206"/>
      <c r="F121" s="206"/>
      <c r="G121" s="206"/>
      <c r="H121" s="206"/>
      <c r="I121" s="190"/>
      <c r="J121" s="191"/>
      <c r="K121" s="191"/>
      <c r="L121" s="191"/>
      <c r="M121" s="191"/>
      <c r="N121" s="201"/>
      <c r="O121" s="193"/>
      <c r="P121" s="193"/>
    </row>
    <row r="122" spans="1:16" x14ac:dyDescent="0.25">
      <c r="A122" s="189"/>
      <c r="B122" s="206"/>
      <c r="C122" s="206"/>
      <c r="D122" s="206"/>
      <c r="E122" s="206"/>
      <c r="F122" s="206"/>
      <c r="G122" s="206"/>
      <c r="H122" s="206"/>
      <c r="I122" s="190"/>
      <c r="J122" s="191"/>
      <c r="K122" s="191"/>
      <c r="L122" s="191"/>
      <c r="M122" s="191"/>
      <c r="N122" s="201"/>
      <c r="O122" s="193"/>
      <c r="P122" s="193"/>
    </row>
    <row r="123" spans="1:16" x14ac:dyDescent="0.25">
      <c r="A123" s="189"/>
      <c r="B123" s="206"/>
      <c r="C123" s="206"/>
      <c r="D123" s="206"/>
      <c r="E123" s="206"/>
      <c r="F123" s="206"/>
      <c r="G123" s="206"/>
      <c r="H123" s="206"/>
      <c r="I123" s="190"/>
      <c r="J123" s="191"/>
      <c r="K123" s="191"/>
      <c r="L123" s="191"/>
      <c r="M123" s="191"/>
      <c r="N123" s="201"/>
      <c r="O123" s="193"/>
      <c r="P123" s="193"/>
    </row>
    <row r="124" spans="1:16" x14ac:dyDescent="0.25">
      <c r="A124" s="206"/>
      <c r="B124" s="136"/>
      <c r="C124" s="136"/>
      <c r="D124" s="136"/>
      <c r="E124" s="136"/>
      <c r="F124" s="136"/>
      <c r="G124" s="205"/>
      <c r="H124" s="205"/>
      <c r="I124" s="206"/>
      <c r="J124" s="207"/>
      <c r="K124" s="207"/>
      <c r="L124" s="207"/>
      <c r="M124" s="207"/>
      <c r="N124" s="208"/>
      <c r="O124" s="193"/>
      <c r="P124" s="193"/>
    </row>
    <row r="125" spans="1:16" x14ac:dyDescent="0.25">
      <c r="A125" s="230"/>
      <c r="B125" s="231"/>
      <c r="C125" s="232"/>
      <c r="D125" s="232"/>
      <c r="E125" s="233"/>
      <c r="F125" s="234"/>
      <c r="G125" s="213"/>
      <c r="H125" s="213"/>
      <c r="I125" s="232"/>
      <c r="J125" s="235"/>
      <c r="K125" s="235"/>
      <c r="L125" s="235"/>
      <c r="M125" s="235"/>
      <c r="N125" s="236"/>
      <c r="O125" s="138"/>
      <c r="P125" s="138"/>
    </row>
    <row r="126" spans="1:16" x14ac:dyDescent="0.25">
      <c r="A126" s="230"/>
      <c r="B126" s="136"/>
      <c r="C126" s="233"/>
      <c r="D126" s="233"/>
      <c r="E126" s="233"/>
      <c r="F126" s="115"/>
      <c r="G126" s="232"/>
      <c r="H126" s="232"/>
      <c r="I126" s="237"/>
      <c r="J126" s="238"/>
      <c r="K126" s="238"/>
      <c r="L126" s="238"/>
      <c r="M126" s="238"/>
      <c r="N126" s="239"/>
      <c r="O126" s="138"/>
      <c r="P126" s="138"/>
    </row>
    <row r="127" spans="1:16" x14ac:dyDescent="0.25">
      <c r="A127" s="230"/>
      <c r="B127" s="136"/>
      <c r="C127" s="233"/>
      <c r="D127" s="233"/>
      <c r="E127" s="233"/>
      <c r="F127" s="115"/>
      <c r="G127" s="232"/>
      <c r="H127" s="232"/>
      <c r="I127" s="237"/>
      <c r="J127" s="235"/>
      <c r="K127" s="235"/>
      <c r="L127" s="235"/>
      <c r="M127" s="235"/>
      <c r="N127" s="240"/>
      <c r="O127" s="138"/>
      <c r="P127" s="138"/>
    </row>
    <row r="128" spans="1:16" x14ac:dyDescent="0.25">
      <c r="A128" s="230"/>
      <c r="B128" s="136"/>
      <c r="C128" s="233"/>
      <c r="D128" s="233"/>
      <c r="E128" s="233"/>
      <c r="F128" s="115"/>
      <c r="G128" s="232"/>
      <c r="H128" s="232"/>
      <c r="I128" s="237"/>
      <c r="J128" s="235"/>
      <c r="K128" s="235"/>
      <c r="L128" s="235"/>
      <c r="M128" s="235"/>
      <c r="N128" s="240"/>
      <c r="O128" s="138"/>
      <c r="P128" s="138"/>
    </row>
    <row r="129" spans="1:16" x14ac:dyDescent="0.25">
      <c r="A129" s="230"/>
      <c r="B129" s="136"/>
      <c r="C129" s="233"/>
      <c r="D129" s="233"/>
      <c r="E129" s="233"/>
      <c r="F129" s="115"/>
      <c r="G129" s="232"/>
      <c r="H129" s="232"/>
      <c r="I129" s="237"/>
      <c r="J129" s="235"/>
      <c r="K129" s="235"/>
      <c r="L129" s="235"/>
      <c r="M129" s="235"/>
      <c r="N129" s="240"/>
      <c r="O129" s="138"/>
      <c r="P129" s="138"/>
    </row>
  </sheetData>
  <mergeCells count="15">
    <mergeCell ref="A1:M1"/>
    <mergeCell ref="A2:M2"/>
    <mergeCell ref="D3:M3"/>
    <mergeCell ref="M8:M10"/>
    <mergeCell ref="C9:D9"/>
    <mergeCell ref="E9:F9"/>
    <mergeCell ref="G9:H9"/>
    <mergeCell ref="I9:J9"/>
    <mergeCell ref="K9:L9"/>
    <mergeCell ref="A8:A10"/>
    <mergeCell ref="B8:B10"/>
    <mergeCell ref="C8:L8"/>
    <mergeCell ref="D4:M4"/>
    <mergeCell ref="F5:M5"/>
    <mergeCell ref="A7:B7"/>
  </mergeCells>
  <pageMargins left="0.51181102362204722" right="0.31496062992125984" top="0.74803149606299213" bottom="0.39370078740157483" header="0.31496062992125984" footer="0.31496062992125984"/>
  <pageSetup paperSize="9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topLeftCell="A8" zoomScale="140" zoomScaleNormal="140" workbookViewId="0">
      <pane xSplit="2" ySplit="3" topLeftCell="C11" activePane="bottomRight" state="frozen"/>
      <selection activeCell="A8" sqref="A8"/>
      <selection pane="topRight" activeCell="C8" sqref="C8"/>
      <selection pane="bottomLeft" activeCell="A11" sqref="A11"/>
      <selection pane="bottomRight" activeCell="G10" sqref="G1:H1048576"/>
    </sheetView>
  </sheetViews>
  <sheetFormatPr defaultRowHeight="15" x14ac:dyDescent="0.25"/>
  <cols>
    <col min="1" max="1" width="8.28515625" style="124" customWidth="1"/>
    <col min="2" max="2" width="44.42578125" style="124" customWidth="1"/>
    <col min="3" max="3" width="15.85546875" style="124" customWidth="1"/>
    <col min="4" max="4" width="11.42578125" style="124" customWidth="1"/>
    <col min="5" max="7" width="10.7109375" style="124" hidden="1" customWidth="1"/>
    <col min="8" max="8" width="10.5703125" style="124" hidden="1" customWidth="1"/>
    <col min="9" max="9" width="10.7109375" style="124" customWidth="1"/>
    <col min="10" max="10" width="12.140625" style="124" customWidth="1"/>
    <col min="11" max="11" width="12.5703125" style="124" hidden="1" customWidth="1"/>
    <col min="12" max="12" width="10.7109375" style="124" hidden="1" customWidth="1"/>
    <col min="13" max="13" width="28" style="124" customWidth="1"/>
    <col min="14" max="14" width="13.28515625" style="124" customWidth="1"/>
    <col min="15" max="15" width="11.28515625" style="124" customWidth="1"/>
    <col min="16" max="16" width="11" style="124" customWidth="1"/>
    <col min="17" max="16384" width="9.140625" style="124"/>
  </cols>
  <sheetData>
    <row r="1" spans="1:18" ht="39.75" customHeight="1" x14ac:dyDescent="0.25">
      <c r="A1" s="1586" t="s">
        <v>436</v>
      </c>
      <c r="B1" s="1586"/>
      <c r="C1" s="1586"/>
      <c r="D1" s="1586"/>
      <c r="E1" s="1586"/>
      <c r="F1" s="1586"/>
      <c r="G1" s="1586"/>
      <c r="H1" s="1586"/>
      <c r="I1" s="1586"/>
      <c r="J1" s="1586"/>
      <c r="K1" s="1586"/>
      <c r="L1" s="1586"/>
      <c r="M1" s="1586"/>
      <c r="N1" s="134"/>
    </row>
    <row r="2" spans="1:18" ht="18.75" customHeight="1" x14ac:dyDescent="0.25">
      <c r="A2" s="1561" t="s">
        <v>462</v>
      </c>
      <c r="B2" s="1561"/>
      <c r="C2" s="1561"/>
      <c r="D2" s="1561"/>
      <c r="E2" s="1561"/>
      <c r="F2" s="1561"/>
      <c r="G2" s="1561"/>
      <c r="H2" s="1561"/>
      <c r="I2" s="1561"/>
      <c r="J2" s="1561"/>
      <c r="K2" s="1561"/>
      <c r="L2" s="1561"/>
      <c r="M2" s="1561"/>
      <c r="N2" s="134"/>
    </row>
    <row r="3" spans="1:18" ht="19.5" customHeight="1" x14ac:dyDescent="0.3">
      <c r="A3" s="134"/>
      <c r="B3" s="134"/>
      <c r="C3" s="134"/>
      <c r="D3" s="1584" t="s">
        <v>241</v>
      </c>
      <c r="E3" s="1585"/>
      <c r="F3" s="1585"/>
      <c r="G3" s="1585"/>
      <c r="H3" s="1585"/>
      <c r="I3" s="1585"/>
      <c r="J3" s="1585"/>
      <c r="K3" s="1585"/>
      <c r="L3" s="1585"/>
      <c r="M3" s="1585"/>
      <c r="N3" s="134"/>
    </row>
    <row r="4" spans="1:18" ht="18.75" x14ac:dyDescent="0.3">
      <c r="A4" s="134"/>
      <c r="B4" s="134"/>
      <c r="C4" s="134"/>
      <c r="D4" s="1582" t="s">
        <v>296</v>
      </c>
      <c r="E4" s="1583"/>
      <c r="F4" s="1583"/>
      <c r="G4" s="1583"/>
      <c r="H4" s="1583"/>
      <c r="I4" s="1583"/>
      <c r="J4" s="1583"/>
      <c r="K4" s="1583"/>
      <c r="L4" s="1583"/>
      <c r="M4" s="1583"/>
      <c r="N4" s="134"/>
    </row>
    <row r="5" spans="1:18" ht="18.75" x14ac:dyDescent="0.3">
      <c r="A5" s="134"/>
      <c r="B5" s="134"/>
      <c r="C5" s="134"/>
      <c r="D5" s="493"/>
      <c r="E5" s="493"/>
      <c r="F5" s="1584" t="s">
        <v>422</v>
      </c>
      <c r="G5" s="1585"/>
      <c r="H5" s="1585"/>
      <c r="I5" s="1585"/>
      <c r="J5" s="1585"/>
      <c r="K5" s="1585"/>
      <c r="L5" s="1585"/>
      <c r="M5" s="1585"/>
      <c r="N5" s="134"/>
    </row>
    <row r="6" spans="1:18" ht="18.75" x14ac:dyDescent="0.3">
      <c r="A6" s="134"/>
      <c r="B6" s="134"/>
      <c r="C6" s="134"/>
      <c r="D6" s="548"/>
      <c r="E6" s="548"/>
      <c r="F6" s="549"/>
      <c r="G6" s="550"/>
      <c r="H6" s="550"/>
      <c r="I6" s="550"/>
      <c r="J6" s="550"/>
      <c r="K6" s="550"/>
      <c r="L6" s="550"/>
      <c r="M6" s="427" t="s">
        <v>92</v>
      </c>
      <c r="N6" s="134"/>
    </row>
    <row r="7" spans="1:18" s="115" customFormat="1" ht="19.5" thickBot="1" x14ac:dyDescent="0.3">
      <c r="A7" s="1581" t="s">
        <v>258</v>
      </c>
      <c r="B7" s="1581"/>
      <c r="D7" s="392"/>
      <c r="E7" s="392"/>
      <c r="F7" s="392"/>
      <c r="G7" s="392"/>
      <c r="H7" s="392"/>
      <c r="I7" s="392"/>
      <c r="J7" s="392"/>
      <c r="K7" s="392"/>
      <c r="L7" s="392"/>
      <c r="M7" s="427"/>
    </row>
    <row r="8" spans="1:18" s="138" customFormat="1" x14ac:dyDescent="0.25">
      <c r="A8" s="1570" t="s">
        <v>110</v>
      </c>
      <c r="B8" s="1573" t="s">
        <v>0</v>
      </c>
      <c r="C8" s="1576" t="s">
        <v>435</v>
      </c>
      <c r="D8" s="1576"/>
      <c r="E8" s="1576"/>
      <c r="F8" s="1576"/>
      <c r="G8" s="1576"/>
      <c r="H8" s="1576"/>
      <c r="I8" s="1576"/>
      <c r="J8" s="1576"/>
      <c r="K8" s="1576"/>
      <c r="L8" s="1577"/>
      <c r="M8" s="1563" t="s">
        <v>75</v>
      </c>
      <c r="N8" s="135"/>
      <c r="O8" s="136"/>
      <c r="P8" s="137"/>
    </row>
    <row r="9" spans="1:18" x14ac:dyDescent="0.25">
      <c r="A9" s="1571"/>
      <c r="B9" s="1574"/>
      <c r="C9" s="1566" t="s">
        <v>21</v>
      </c>
      <c r="D9" s="1567"/>
      <c r="E9" s="1566" t="s">
        <v>310</v>
      </c>
      <c r="F9" s="1567"/>
      <c r="G9" s="1566" t="s">
        <v>111</v>
      </c>
      <c r="H9" s="1567"/>
      <c r="I9" s="1566" t="s">
        <v>112</v>
      </c>
      <c r="J9" s="1567"/>
      <c r="K9" s="1568" t="s">
        <v>113</v>
      </c>
      <c r="L9" s="1569"/>
      <c r="M9" s="1564"/>
      <c r="N9" s="135"/>
      <c r="O9" s="136"/>
      <c r="P9" s="137"/>
      <c r="Q9" s="138"/>
    </row>
    <row r="10" spans="1:18" ht="15.75" thickBot="1" x14ac:dyDescent="0.3">
      <c r="A10" s="1572"/>
      <c r="B10" s="1575"/>
      <c r="C10" s="139" t="s">
        <v>104</v>
      </c>
      <c r="D10" s="139" t="s">
        <v>80</v>
      </c>
      <c r="E10" s="139" t="s">
        <v>81</v>
      </c>
      <c r="F10" s="139" t="s">
        <v>82</v>
      </c>
      <c r="G10" s="139" t="s">
        <v>81</v>
      </c>
      <c r="H10" s="139" t="s">
        <v>82</v>
      </c>
      <c r="I10" s="139" t="s">
        <v>81</v>
      </c>
      <c r="J10" s="139" t="s">
        <v>82</v>
      </c>
      <c r="K10" s="140" t="s">
        <v>81</v>
      </c>
      <c r="L10" s="719" t="s">
        <v>82</v>
      </c>
      <c r="M10" s="1565"/>
      <c r="N10" s="135"/>
      <c r="O10" s="136"/>
      <c r="P10" s="137"/>
      <c r="Q10" s="138"/>
    </row>
    <row r="11" spans="1:18" s="149" customFormat="1" x14ac:dyDescent="0.25">
      <c r="A11" s="141" t="s">
        <v>114</v>
      </c>
      <c r="B11" s="142" t="s">
        <v>115</v>
      </c>
      <c r="C11" s="143">
        <f>C12+C19+C23+C24+C26</f>
        <v>287783.2</v>
      </c>
      <c r="D11" s="143">
        <f>D12+D19+D23+D24+D26</f>
        <v>169925.51618159999</v>
      </c>
      <c r="E11" s="143">
        <f t="shared" ref="E11:L11" si="0">E12+E19+E23+E24+E26</f>
        <v>61903.13</v>
      </c>
      <c r="F11" s="143">
        <f t="shared" si="0"/>
        <v>61903.13</v>
      </c>
      <c r="G11" s="143">
        <f t="shared" si="0"/>
        <v>52920.270389999998</v>
      </c>
      <c r="H11" s="143">
        <f t="shared" si="0"/>
        <v>52920.270389999998</v>
      </c>
      <c r="I11" s="143">
        <f t="shared" si="0"/>
        <v>65137.24</v>
      </c>
      <c r="J11" s="143">
        <f>J12+J19+J23+J24+J26</f>
        <v>55102.115791599994</v>
      </c>
      <c r="K11" s="143">
        <f t="shared" si="0"/>
        <v>0</v>
      </c>
      <c r="L11" s="143">
        <f t="shared" si="0"/>
        <v>0</v>
      </c>
      <c r="M11" s="144"/>
      <c r="N11" s="145"/>
      <c r="O11" s="146"/>
      <c r="P11" s="147"/>
      <c r="Q11" s="148"/>
    </row>
    <row r="12" spans="1:18" s="97" customFormat="1" x14ac:dyDescent="0.25">
      <c r="A12" s="150" t="s">
        <v>25</v>
      </c>
      <c r="B12" s="151" t="s">
        <v>116</v>
      </c>
      <c r="C12" s="246">
        <f>SUM(C13:C18)</f>
        <v>147309.26</v>
      </c>
      <c r="D12" s="246">
        <f>SUM(D13:D18)</f>
        <v>64513.796181600002</v>
      </c>
      <c r="E12" s="246">
        <f t="shared" ref="E12:L12" si="1">SUM(E13:E18)</f>
        <v>26765.89</v>
      </c>
      <c r="F12" s="246">
        <f t="shared" si="1"/>
        <v>26765.89</v>
      </c>
      <c r="G12" s="246">
        <f t="shared" si="1"/>
        <v>17783.03039</v>
      </c>
      <c r="H12" s="246">
        <f t="shared" si="1"/>
        <v>17783.03039</v>
      </c>
      <c r="I12" s="246">
        <f t="shared" si="1"/>
        <v>30000</v>
      </c>
      <c r="J12" s="246">
        <f t="shared" si="1"/>
        <v>19964.8757916</v>
      </c>
      <c r="K12" s="246">
        <f t="shared" si="1"/>
        <v>0</v>
      </c>
      <c r="L12" s="246">
        <f t="shared" si="1"/>
        <v>0</v>
      </c>
      <c r="M12" s="168"/>
      <c r="N12" s="153"/>
      <c r="O12" s="153"/>
      <c r="P12" s="153"/>
      <c r="Q12" s="154"/>
      <c r="R12" s="97" t="s">
        <v>117</v>
      </c>
    </row>
    <row r="13" spans="1:18" x14ac:dyDescent="0.25">
      <c r="A13" s="155" t="s">
        <v>26</v>
      </c>
      <c r="B13" s="156" t="s">
        <v>118</v>
      </c>
      <c r="C13" s="157">
        <f>E13+G13+I13+K13</f>
        <v>0</v>
      </c>
      <c r="D13" s="157">
        <f>F13+H13+J13+L13</f>
        <v>0</v>
      </c>
      <c r="E13" s="157">
        <f t="shared" ref="E13:F16" si="2">G13+I13+K13+M13</f>
        <v>0</v>
      </c>
      <c r="F13" s="157">
        <f t="shared" si="2"/>
        <v>0</v>
      </c>
      <c r="G13" s="157">
        <f t="shared" ref="G13:L16" si="3">I13+K13+M13+O13</f>
        <v>0</v>
      </c>
      <c r="H13" s="157">
        <f t="shared" si="3"/>
        <v>0</v>
      </c>
      <c r="I13" s="157">
        <f t="shared" si="3"/>
        <v>0</v>
      </c>
      <c r="J13" s="157">
        <f t="shared" si="3"/>
        <v>0</v>
      </c>
      <c r="K13" s="157">
        <f t="shared" si="3"/>
        <v>0</v>
      </c>
      <c r="L13" s="157">
        <f t="shared" si="3"/>
        <v>0</v>
      </c>
      <c r="M13" s="177"/>
      <c r="N13" s="158"/>
      <c r="O13" s="158"/>
      <c r="P13" s="158"/>
      <c r="Q13" s="138"/>
    </row>
    <row r="14" spans="1:18" x14ac:dyDescent="0.25">
      <c r="A14" s="155" t="s">
        <v>33</v>
      </c>
      <c r="B14" s="156" t="s">
        <v>119</v>
      </c>
      <c r="C14" s="157">
        <f t="shared" ref="C14:D18" si="4">E14+G14+I14+K14</f>
        <v>0</v>
      </c>
      <c r="D14" s="157">
        <f t="shared" si="4"/>
        <v>0</v>
      </c>
      <c r="E14" s="157">
        <f t="shared" si="2"/>
        <v>0</v>
      </c>
      <c r="F14" s="157">
        <f t="shared" si="2"/>
        <v>0</v>
      </c>
      <c r="G14" s="157">
        <f t="shared" si="3"/>
        <v>0</v>
      </c>
      <c r="H14" s="157">
        <f t="shared" si="3"/>
        <v>0</v>
      </c>
      <c r="I14" s="157">
        <f t="shared" si="3"/>
        <v>0</v>
      </c>
      <c r="J14" s="157">
        <f t="shared" si="3"/>
        <v>0</v>
      </c>
      <c r="K14" s="157">
        <f t="shared" si="3"/>
        <v>0</v>
      </c>
      <c r="L14" s="157">
        <f t="shared" si="3"/>
        <v>0</v>
      </c>
      <c r="M14" s="177"/>
      <c r="N14" s="158"/>
      <c r="O14" s="158"/>
      <c r="P14" s="158"/>
      <c r="Q14" s="138"/>
    </row>
    <row r="15" spans="1:18" ht="30" x14ac:dyDescent="0.25">
      <c r="A15" s="155" t="s">
        <v>37</v>
      </c>
      <c r="B15" s="156" t="s">
        <v>120</v>
      </c>
      <c r="C15" s="157">
        <f t="shared" si="4"/>
        <v>0</v>
      </c>
      <c r="D15" s="157">
        <f t="shared" si="4"/>
        <v>0</v>
      </c>
      <c r="E15" s="157">
        <f t="shared" si="2"/>
        <v>0</v>
      </c>
      <c r="F15" s="157">
        <f t="shared" si="2"/>
        <v>0</v>
      </c>
      <c r="G15" s="157">
        <f t="shared" si="3"/>
        <v>0</v>
      </c>
      <c r="H15" s="157">
        <f t="shared" si="3"/>
        <v>0</v>
      </c>
      <c r="I15" s="157">
        <f t="shared" si="3"/>
        <v>0</v>
      </c>
      <c r="J15" s="157">
        <f t="shared" si="3"/>
        <v>0</v>
      </c>
      <c r="K15" s="157">
        <f t="shared" si="3"/>
        <v>0</v>
      </c>
      <c r="L15" s="157">
        <f t="shared" si="3"/>
        <v>0</v>
      </c>
      <c r="M15" s="177"/>
      <c r="N15" s="158"/>
      <c r="O15" s="158"/>
      <c r="P15" s="158"/>
      <c r="Q15" s="138"/>
    </row>
    <row r="16" spans="1:18" ht="30" x14ac:dyDescent="0.25">
      <c r="A16" s="155" t="s">
        <v>121</v>
      </c>
      <c r="B16" s="156" t="s">
        <v>122</v>
      </c>
      <c r="C16" s="157">
        <f t="shared" si="4"/>
        <v>0</v>
      </c>
      <c r="D16" s="157">
        <f t="shared" si="4"/>
        <v>0</v>
      </c>
      <c r="E16" s="157">
        <f t="shared" si="2"/>
        <v>0</v>
      </c>
      <c r="F16" s="157">
        <f t="shared" si="2"/>
        <v>0</v>
      </c>
      <c r="G16" s="157">
        <f t="shared" si="3"/>
        <v>0</v>
      </c>
      <c r="H16" s="157">
        <f t="shared" si="3"/>
        <v>0</v>
      </c>
      <c r="I16" s="157">
        <f t="shared" si="3"/>
        <v>0</v>
      </c>
      <c r="J16" s="157">
        <f t="shared" si="3"/>
        <v>0</v>
      </c>
      <c r="K16" s="157">
        <f t="shared" si="3"/>
        <v>0</v>
      </c>
      <c r="L16" s="157">
        <f t="shared" si="3"/>
        <v>0</v>
      </c>
      <c r="M16" s="177"/>
      <c r="N16" s="158"/>
      <c r="O16" s="158"/>
      <c r="P16" s="158"/>
      <c r="Q16" s="138"/>
    </row>
    <row r="17" spans="1:17" ht="30" x14ac:dyDescent="0.25">
      <c r="A17" s="155" t="s">
        <v>123</v>
      </c>
      <c r="B17" s="161" t="s">
        <v>124</v>
      </c>
      <c r="C17" s="247">
        <v>147309.26</v>
      </c>
      <c r="D17" s="163">
        <f>F17+H17+J17+L17</f>
        <v>64513.796181600002</v>
      </c>
      <c r="E17" s="247">
        <f>F17</f>
        <v>26765.89</v>
      </c>
      <c r="F17" s="247">
        <v>26765.89</v>
      </c>
      <c r="G17" s="247">
        <f>H17</f>
        <v>17783.03039</v>
      </c>
      <c r="H17" s="247">
        <v>17783.03039</v>
      </c>
      <c r="I17" s="247">
        <v>30000</v>
      </c>
      <c r="J17" s="247">
        <v>19964.8757916</v>
      </c>
      <c r="K17" s="247">
        <v>0</v>
      </c>
      <c r="L17" s="247">
        <v>0</v>
      </c>
      <c r="M17" s="241"/>
      <c r="N17" s="471">
        <f>E17+G17+I17+K17</f>
        <v>74548.920389999999</v>
      </c>
      <c r="O17" s="389">
        <f>C17-N17-G17-I17</f>
        <v>24977.30922000001</v>
      </c>
      <c r="P17" s="158"/>
      <c r="Q17" s="138"/>
    </row>
    <row r="18" spans="1:17" x14ac:dyDescent="0.25">
      <c r="A18" s="155" t="s">
        <v>125</v>
      </c>
      <c r="B18" s="156" t="s">
        <v>126</v>
      </c>
      <c r="C18" s="248">
        <v>0</v>
      </c>
      <c r="D18" s="157">
        <f t="shared" si="4"/>
        <v>0</v>
      </c>
      <c r="E18" s="248">
        <v>0</v>
      </c>
      <c r="F18" s="248">
        <v>0</v>
      </c>
      <c r="G18" s="248">
        <v>0</v>
      </c>
      <c r="H18" s="248">
        <v>0</v>
      </c>
      <c r="I18" s="248">
        <v>0</v>
      </c>
      <c r="J18" s="248">
        <v>0</v>
      </c>
      <c r="K18" s="248">
        <v>0</v>
      </c>
      <c r="L18" s="248">
        <v>0</v>
      </c>
      <c r="M18" s="177"/>
      <c r="N18" s="158"/>
      <c r="O18" s="158"/>
      <c r="P18" s="158"/>
      <c r="Q18" s="138"/>
    </row>
    <row r="19" spans="1:17" s="97" customFormat="1" x14ac:dyDescent="0.25">
      <c r="A19" s="150" t="s">
        <v>22</v>
      </c>
      <c r="B19" s="164" t="s">
        <v>127</v>
      </c>
      <c r="C19" s="246">
        <f>SUM(C20:C22)</f>
        <v>140473.94</v>
      </c>
      <c r="D19" s="246">
        <f t="shared" ref="D19:L19" si="5">SUM(D20:D22)</f>
        <v>105411.72</v>
      </c>
      <c r="E19" s="246">
        <f t="shared" si="5"/>
        <v>35137.24</v>
      </c>
      <c r="F19" s="246">
        <f t="shared" si="5"/>
        <v>35137.24</v>
      </c>
      <c r="G19" s="246">
        <f t="shared" si="5"/>
        <v>35137.24</v>
      </c>
      <c r="H19" s="246">
        <f>SUM(H20:H22)</f>
        <v>35137.24</v>
      </c>
      <c r="I19" s="246">
        <f t="shared" si="5"/>
        <v>35137.24</v>
      </c>
      <c r="J19" s="246">
        <f t="shared" si="5"/>
        <v>35137.24</v>
      </c>
      <c r="K19" s="246">
        <f t="shared" si="5"/>
        <v>0</v>
      </c>
      <c r="L19" s="246">
        <f t="shared" si="5"/>
        <v>0</v>
      </c>
      <c r="M19" s="168"/>
      <c r="N19" s="153"/>
      <c r="O19" s="153"/>
      <c r="P19" s="153"/>
      <c r="Q19" s="154"/>
    </row>
    <row r="20" spans="1:17" x14ac:dyDescent="0.25">
      <c r="A20" s="155" t="s">
        <v>23</v>
      </c>
      <c r="B20" s="161" t="s">
        <v>128</v>
      </c>
      <c r="C20" s="247">
        <v>140473.94</v>
      </c>
      <c r="D20" s="163">
        <f>F20+H20+J20+L20</f>
        <v>105411.72</v>
      </c>
      <c r="E20" s="247">
        <f>F20</f>
        <v>35137.24</v>
      </c>
      <c r="F20" s="247">
        <v>35137.24</v>
      </c>
      <c r="G20" s="247">
        <f>H20</f>
        <v>35137.24</v>
      </c>
      <c r="H20" s="247">
        <v>35137.24</v>
      </c>
      <c r="I20" s="247">
        <f>J20</f>
        <v>35137.24</v>
      </c>
      <c r="J20" s="247">
        <v>35137.24</v>
      </c>
      <c r="K20" s="247">
        <v>0</v>
      </c>
      <c r="L20" s="247">
        <v>0</v>
      </c>
      <c r="M20" s="241"/>
      <c r="N20" s="271">
        <f>E20+G20+I20+K20</f>
        <v>105411.72</v>
      </c>
      <c r="O20" s="389">
        <f>C20-N20</f>
        <v>35062.22</v>
      </c>
      <c r="P20" s="158"/>
      <c r="Q20" s="138"/>
    </row>
    <row r="21" spans="1:17" x14ac:dyDescent="0.25">
      <c r="A21" s="155" t="s">
        <v>107</v>
      </c>
      <c r="B21" s="156" t="s">
        <v>129</v>
      </c>
      <c r="C21" s="248">
        <v>0</v>
      </c>
      <c r="D21" s="157">
        <f t="shared" ref="D21:D26" si="6">F21+H21+J21+L21</f>
        <v>0</v>
      </c>
      <c r="E21" s="248">
        <v>0</v>
      </c>
      <c r="F21" s="248">
        <v>0</v>
      </c>
      <c r="G21" s="248">
        <v>0</v>
      </c>
      <c r="H21" s="248">
        <v>0</v>
      </c>
      <c r="I21" s="248">
        <v>0</v>
      </c>
      <c r="J21" s="248">
        <v>0</v>
      </c>
      <c r="K21" s="248">
        <v>0</v>
      </c>
      <c r="L21" s="248">
        <v>0</v>
      </c>
      <c r="M21" s="177"/>
      <c r="N21" s="158"/>
      <c r="O21" s="158"/>
      <c r="P21" s="158"/>
      <c r="Q21" s="138"/>
    </row>
    <row r="22" spans="1:17" ht="30" x14ac:dyDescent="0.25">
      <c r="A22" s="155" t="s">
        <v>108</v>
      </c>
      <c r="B22" s="156" t="s">
        <v>130</v>
      </c>
      <c r="C22" s="248">
        <v>0</v>
      </c>
      <c r="D22" s="157">
        <f t="shared" si="6"/>
        <v>0</v>
      </c>
      <c r="E22" s="248">
        <v>0</v>
      </c>
      <c r="F22" s="248">
        <v>0</v>
      </c>
      <c r="G22" s="248">
        <v>0</v>
      </c>
      <c r="H22" s="248">
        <v>0</v>
      </c>
      <c r="I22" s="248">
        <v>0</v>
      </c>
      <c r="J22" s="248">
        <v>0</v>
      </c>
      <c r="K22" s="248">
        <v>0</v>
      </c>
      <c r="L22" s="248">
        <v>0</v>
      </c>
      <c r="M22" s="177"/>
      <c r="N22" s="158"/>
      <c r="O22" s="158"/>
      <c r="P22" s="158"/>
      <c r="Q22" s="138"/>
    </row>
    <row r="23" spans="1:17" s="97" customFormat="1" x14ac:dyDescent="0.25">
      <c r="A23" s="150" t="s">
        <v>29</v>
      </c>
      <c r="B23" s="164" t="s">
        <v>131</v>
      </c>
      <c r="C23" s="249">
        <v>0</v>
      </c>
      <c r="D23" s="166">
        <f t="shared" si="6"/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9">
        <v>0</v>
      </c>
      <c r="K23" s="249">
        <v>0</v>
      </c>
      <c r="L23" s="249">
        <v>0</v>
      </c>
      <c r="M23" s="168"/>
      <c r="N23" s="153"/>
      <c r="O23" s="153"/>
      <c r="P23" s="153"/>
      <c r="Q23" s="154"/>
    </row>
    <row r="24" spans="1:17" s="97" customFormat="1" x14ac:dyDescent="0.25">
      <c r="A24" s="150" t="s">
        <v>47</v>
      </c>
      <c r="B24" s="164" t="s">
        <v>132</v>
      </c>
      <c r="C24" s="249">
        <v>0</v>
      </c>
      <c r="D24" s="166">
        <f t="shared" si="6"/>
        <v>0</v>
      </c>
      <c r="E24" s="249">
        <v>0</v>
      </c>
      <c r="F24" s="249">
        <v>0</v>
      </c>
      <c r="G24" s="249">
        <v>0</v>
      </c>
      <c r="H24" s="249">
        <v>0</v>
      </c>
      <c r="I24" s="249">
        <v>0</v>
      </c>
      <c r="J24" s="249">
        <v>0</v>
      </c>
      <c r="K24" s="249">
        <v>0</v>
      </c>
      <c r="L24" s="249">
        <v>0</v>
      </c>
      <c r="M24" s="168"/>
      <c r="N24" s="153"/>
      <c r="O24" s="153"/>
      <c r="P24" s="153"/>
      <c r="Q24" s="154"/>
    </row>
    <row r="25" spans="1:17" x14ac:dyDescent="0.25">
      <c r="A25" s="155" t="s">
        <v>48</v>
      </c>
      <c r="B25" s="156" t="s">
        <v>133</v>
      </c>
      <c r="C25" s="248">
        <v>0</v>
      </c>
      <c r="D25" s="157">
        <f t="shared" si="6"/>
        <v>0</v>
      </c>
      <c r="E25" s="248">
        <v>0</v>
      </c>
      <c r="F25" s="248">
        <v>0</v>
      </c>
      <c r="G25" s="248">
        <v>0</v>
      </c>
      <c r="H25" s="248">
        <v>0</v>
      </c>
      <c r="I25" s="248">
        <v>0</v>
      </c>
      <c r="J25" s="248">
        <v>0</v>
      </c>
      <c r="K25" s="248">
        <v>0</v>
      </c>
      <c r="L25" s="248">
        <v>0</v>
      </c>
      <c r="M25" s="177"/>
      <c r="N25" s="158"/>
      <c r="O25" s="158"/>
      <c r="P25" s="158"/>
      <c r="Q25" s="138"/>
    </row>
    <row r="26" spans="1:17" s="97" customFormat="1" ht="15.75" thickBot="1" x14ac:dyDescent="0.3">
      <c r="A26" s="150" t="s">
        <v>56</v>
      </c>
      <c r="B26" s="164" t="s">
        <v>134</v>
      </c>
      <c r="C26" s="167"/>
      <c r="D26" s="166">
        <f t="shared" si="6"/>
        <v>0</v>
      </c>
      <c r="E26" s="167"/>
      <c r="F26" s="167"/>
      <c r="G26" s="167"/>
      <c r="H26" s="167"/>
      <c r="I26" s="167"/>
      <c r="J26" s="167"/>
      <c r="K26" s="167"/>
      <c r="L26" s="167"/>
      <c r="M26" s="168"/>
      <c r="N26" s="153"/>
      <c r="O26" s="153"/>
      <c r="P26" s="153"/>
      <c r="Q26" s="154"/>
    </row>
    <row r="27" spans="1:17" s="176" customFormat="1" x14ac:dyDescent="0.25">
      <c r="A27" s="169" t="s">
        <v>13</v>
      </c>
      <c r="B27" s="170" t="s">
        <v>135</v>
      </c>
      <c r="C27" s="171">
        <f>SUM(C28:C34)</f>
        <v>4959</v>
      </c>
      <c r="D27" s="171">
        <f>SUM(D28:D34)</f>
        <v>99408.51</v>
      </c>
      <c r="E27" s="171">
        <f t="shared" ref="E27:L27" si="7">SUM(E28:E34)</f>
        <v>0</v>
      </c>
      <c r="F27" s="171">
        <f t="shared" si="7"/>
        <v>21707.919999999998</v>
      </c>
      <c r="G27" s="171">
        <f t="shared" si="7"/>
        <v>0</v>
      </c>
      <c r="H27" s="171">
        <f t="shared" si="7"/>
        <v>24965.14</v>
      </c>
      <c r="I27" s="171">
        <f t="shared" si="7"/>
        <v>0</v>
      </c>
      <c r="J27" s="171">
        <f t="shared" si="7"/>
        <v>52735.45</v>
      </c>
      <c r="K27" s="171">
        <f t="shared" si="7"/>
        <v>0</v>
      </c>
      <c r="L27" s="171">
        <f t="shared" si="7"/>
        <v>0</v>
      </c>
      <c r="M27" s="172"/>
      <c r="N27" s="173"/>
      <c r="O27" s="174"/>
      <c r="P27" s="174"/>
      <c r="Q27" s="175"/>
    </row>
    <row r="28" spans="1:17" x14ac:dyDescent="0.25">
      <c r="A28" s="155" t="s">
        <v>27</v>
      </c>
      <c r="B28" s="156" t="s">
        <v>136</v>
      </c>
      <c r="C28" s="248">
        <v>0</v>
      </c>
      <c r="D28" s="157">
        <f>F28+H28+J28+L28</f>
        <v>0</v>
      </c>
      <c r="E28" s="248">
        <v>0</v>
      </c>
      <c r="F28" s="248">
        <v>0</v>
      </c>
      <c r="G28" s="248">
        <v>0</v>
      </c>
      <c r="H28" s="248">
        <v>0</v>
      </c>
      <c r="I28" s="248">
        <v>0</v>
      </c>
      <c r="J28" s="248">
        <v>0</v>
      </c>
      <c r="K28" s="248">
        <v>0</v>
      </c>
      <c r="L28" s="248">
        <v>0</v>
      </c>
      <c r="M28" s="177"/>
      <c r="N28" s="158"/>
      <c r="O28" s="158"/>
      <c r="P28" s="158"/>
      <c r="Q28" s="138"/>
    </row>
    <row r="29" spans="1:17" x14ac:dyDescent="0.25">
      <c r="A29" s="155" t="s">
        <v>24</v>
      </c>
      <c r="B29" s="156" t="s">
        <v>137</v>
      </c>
      <c r="C29" s="248">
        <v>0</v>
      </c>
      <c r="D29" s="157">
        <f t="shared" ref="D29:D34" si="8">F29+H29+J29+L29</f>
        <v>0</v>
      </c>
      <c r="E29" s="248">
        <v>0</v>
      </c>
      <c r="F29" s="248">
        <v>0</v>
      </c>
      <c r="G29" s="248">
        <v>0</v>
      </c>
      <c r="H29" s="248">
        <v>0</v>
      </c>
      <c r="I29" s="248">
        <v>0</v>
      </c>
      <c r="J29" s="248">
        <v>0</v>
      </c>
      <c r="K29" s="248">
        <v>0</v>
      </c>
      <c r="L29" s="248">
        <v>0</v>
      </c>
      <c r="M29" s="177"/>
      <c r="N29" s="158"/>
      <c r="O29" s="158"/>
      <c r="P29" s="158"/>
      <c r="Q29" s="138"/>
    </row>
    <row r="30" spans="1:17" x14ac:dyDescent="0.25">
      <c r="A30" s="155" t="s">
        <v>31</v>
      </c>
      <c r="B30" s="156" t="s">
        <v>138</v>
      </c>
      <c r="C30" s="248">
        <v>0</v>
      </c>
      <c r="D30" s="157">
        <f t="shared" si="8"/>
        <v>0</v>
      </c>
      <c r="E30" s="248">
        <v>0</v>
      </c>
      <c r="F30" s="248">
        <v>0</v>
      </c>
      <c r="G30" s="248">
        <v>0</v>
      </c>
      <c r="H30" s="248">
        <v>0</v>
      </c>
      <c r="I30" s="248">
        <v>0</v>
      </c>
      <c r="J30" s="248">
        <v>0</v>
      </c>
      <c r="K30" s="248">
        <v>0</v>
      </c>
      <c r="L30" s="248">
        <v>0</v>
      </c>
      <c r="M30" s="177"/>
      <c r="N30" s="158"/>
      <c r="O30" s="158"/>
      <c r="P30" s="158"/>
      <c r="Q30" s="138"/>
    </row>
    <row r="31" spans="1:17" x14ac:dyDescent="0.25">
      <c r="A31" s="155" t="s">
        <v>139</v>
      </c>
      <c r="B31" s="156" t="s">
        <v>140</v>
      </c>
      <c r="C31" s="178">
        <v>4959</v>
      </c>
      <c r="D31" s="157">
        <f>F31+H31+J31</f>
        <v>99408.51</v>
      </c>
      <c r="E31" s="248">
        <v>0</v>
      </c>
      <c r="F31" s="248">
        <v>21707.919999999998</v>
      </c>
      <c r="G31" s="248">
        <v>0</v>
      </c>
      <c r="H31" s="248">
        <v>24965.14</v>
      </c>
      <c r="I31" s="248">
        <v>0</v>
      </c>
      <c r="J31" s="248">
        <v>52735.45</v>
      </c>
      <c r="K31" s="248">
        <v>0</v>
      </c>
      <c r="L31" s="248">
        <v>0</v>
      </c>
      <c r="M31" s="177"/>
      <c r="N31" s="271">
        <f>'отчет по мероприятиям'!Q181</f>
        <v>99408.514839999989</v>
      </c>
      <c r="O31" s="389">
        <f>N31-D31</f>
        <v>4.8399999941466376E-3</v>
      </c>
      <c r="P31" s="158"/>
      <c r="Q31" s="138"/>
    </row>
    <row r="32" spans="1:17" x14ac:dyDescent="0.25">
      <c r="A32" s="155" t="s">
        <v>141</v>
      </c>
      <c r="B32" s="156" t="s">
        <v>142</v>
      </c>
      <c r="C32" s="248">
        <v>0</v>
      </c>
      <c r="D32" s="157">
        <f t="shared" si="8"/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177"/>
      <c r="N32" s="158"/>
      <c r="O32" s="158"/>
      <c r="P32" s="158"/>
      <c r="Q32" s="138"/>
    </row>
    <row r="33" spans="1:23" x14ac:dyDescent="0.25">
      <c r="A33" s="155" t="s">
        <v>143</v>
      </c>
      <c r="B33" s="156" t="s">
        <v>144</v>
      </c>
      <c r="C33" s="248">
        <v>0</v>
      </c>
      <c r="D33" s="157">
        <f t="shared" si="8"/>
        <v>0</v>
      </c>
      <c r="E33" s="248">
        <v>0</v>
      </c>
      <c r="F33" s="248">
        <v>0</v>
      </c>
      <c r="G33" s="248">
        <v>0</v>
      </c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177"/>
      <c r="N33" s="158"/>
      <c r="O33" s="158"/>
      <c r="P33" s="158"/>
      <c r="Q33" s="138"/>
    </row>
    <row r="34" spans="1:23" ht="15.75" thickBot="1" x14ac:dyDescent="0.3">
      <c r="A34" s="155" t="s">
        <v>145</v>
      </c>
      <c r="B34" s="156" t="s">
        <v>146</v>
      </c>
      <c r="C34" s="178">
        <v>0</v>
      </c>
      <c r="D34" s="179">
        <f t="shared" si="8"/>
        <v>0</v>
      </c>
      <c r="E34" s="248">
        <v>0</v>
      </c>
      <c r="F34" s="248">
        <v>0</v>
      </c>
      <c r="G34" s="248">
        <v>0</v>
      </c>
      <c r="H34" s="248">
        <v>0</v>
      </c>
      <c r="I34" s="248">
        <v>0</v>
      </c>
      <c r="J34" s="248">
        <v>0</v>
      </c>
      <c r="K34" s="248">
        <v>0</v>
      </c>
      <c r="L34" s="248">
        <v>0</v>
      </c>
      <c r="M34" s="177"/>
      <c r="N34" s="158"/>
      <c r="O34" s="158"/>
      <c r="P34" s="158"/>
      <c r="Q34" s="138"/>
    </row>
    <row r="35" spans="1:23" s="187" customFormat="1" ht="15.75" thickBot="1" x14ac:dyDescent="0.3">
      <c r="A35" s="180"/>
      <c r="B35" s="181" t="s">
        <v>147</v>
      </c>
      <c r="C35" s="182">
        <f>C27+C11</f>
        <v>292742.2</v>
      </c>
      <c r="D35" s="182">
        <f>D27+D11</f>
        <v>269334.0261816</v>
      </c>
      <c r="E35" s="182">
        <f t="shared" ref="E35:L35" si="9">E27+E11</f>
        <v>61903.13</v>
      </c>
      <c r="F35" s="182">
        <f t="shared" si="9"/>
        <v>83611.049999999988</v>
      </c>
      <c r="G35" s="182">
        <f t="shared" si="9"/>
        <v>52920.270389999998</v>
      </c>
      <c r="H35" s="182">
        <f t="shared" si="9"/>
        <v>77885.410390000005</v>
      </c>
      <c r="I35" s="182">
        <f t="shared" si="9"/>
        <v>65137.24</v>
      </c>
      <c r="J35" s="182">
        <f t="shared" si="9"/>
        <v>107837.56579159999</v>
      </c>
      <c r="K35" s="182">
        <f t="shared" si="9"/>
        <v>0</v>
      </c>
      <c r="L35" s="182">
        <f t="shared" si="9"/>
        <v>0</v>
      </c>
      <c r="M35" s="183"/>
      <c r="N35" s="184"/>
      <c r="O35" s="185"/>
      <c r="P35" s="185"/>
      <c r="Q35" s="186"/>
    </row>
    <row r="36" spans="1:23" x14ac:dyDescent="0.25">
      <c r="A36" s="188"/>
      <c r="B36" s="189"/>
      <c r="C36" s="390"/>
      <c r="D36" s="189"/>
      <c r="E36" s="189"/>
      <c r="F36" s="189"/>
      <c r="G36" s="189"/>
      <c r="H36" s="189"/>
      <c r="I36" s="190"/>
      <c r="J36" s="191"/>
      <c r="K36" s="191"/>
      <c r="L36" s="191"/>
      <c r="M36" s="191"/>
      <c r="N36" s="192"/>
      <c r="O36" s="193"/>
      <c r="P36" s="193"/>
      <c r="Q36" s="138"/>
    </row>
    <row r="37" spans="1:23" ht="32.25" x14ac:dyDescent="0.3">
      <c r="A37" s="188"/>
      <c r="B37" s="202" t="s">
        <v>109</v>
      </c>
      <c r="C37" s="130"/>
      <c r="D37" s="130"/>
      <c r="E37" s="129"/>
      <c r="F37" s="203"/>
      <c r="G37" s="129"/>
      <c r="H37" s="129"/>
      <c r="I37" s="203"/>
      <c r="J37" s="129"/>
      <c r="K37" s="129"/>
      <c r="L37" s="129"/>
      <c r="M37" s="111" t="s">
        <v>97</v>
      </c>
      <c r="N37" s="125"/>
      <c r="O37" s="125"/>
      <c r="P37" s="125"/>
      <c r="Q37" s="125"/>
      <c r="R37" s="125"/>
      <c r="S37" s="125"/>
      <c r="T37" s="125"/>
      <c r="U37" s="126"/>
      <c r="V37" s="125"/>
      <c r="W37" s="126"/>
    </row>
    <row r="38" spans="1:23" ht="18.75" x14ac:dyDescent="0.3">
      <c r="A38" s="188"/>
      <c r="B38" s="202"/>
      <c r="C38" s="130"/>
      <c r="D38" s="130"/>
      <c r="E38" s="129"/>
      <c r="F38" s="129"/>
      <c r="G38" s="129"/>
      <c r="H38" s="129"/>
      <c r="I38" s="203"/>
      <c r="J38" s="129"/>
      <c r="K38" s="129"/>
      <c r="L38" s="129"/>
      <c r="M38" s="111"/>
      <c r="N38" s="125"/>
      <c r="O38" s="125"/>
      <c r="P38" s="125"/>
      <c r="Q38" s="125"/>
      <c r="R38" s="125"/>
      <c r="S38" s="125"/>
      <c r="T38" s="125"/>
      <c r="U38" s="126"/>
      <c r="V38" s="125"/>
      <c r="W38" s="126"/>
    </row>
    <row r="39" spans="1:23" ht="15.75" x14ac:dyDescent="0.25">
      <c r="A39" s="188"/>
      <c r="B39" s="129" t="s">
        <v>94</v>
      </c>
      <c r="C39" s="199"/>
      <c r="D39" s="199"/>
      <c r="E39" s="199"/>
      <c r="F39" s="129"/>
      <c r="G39" s="199"/>
      <c r="H39" s="199"/>
      <c r="I39" s="129"/>
      <c r="J39" s="200"/>
      <c r="K39" s="200"/>
      <c r="L39" s="200"/>
      <c r="M39" s="111" t="s">
        <v>95</v>
      </c>
      <c r="N39" s="201"/>
      <c r="O39" s="193"/>
      <c r="P39" s="193"/>
    </row>
    <row r="40" spans="1:23" ht="18.75" x14ac:dyDescent="0.3">
      <c r="A40" s="188"/>
      <c r="B40" s="204"/>
      <c r="C40" s="204"/>
      <c r="D40" s="129"/>
      <c r="E40" s="129"/>
      <c r="F40" s="129"/>
      <c r="G40" s="129"/>
      <c r="H40" s="129"/>
      <c r="J40" s="129"/>
      <c r="K40" s="129"/>
      <c r="L40" s="129"/>
      <c r="M40" s="111"/>
      <c r="N40" s="125"/>
      <c r="O40" s="125"/>
      <c r="P40" s="125"/>
      <c r="Q40" s="125"/>
      <c r="R40" s="125"/>
      <c r="S40" s="125"/>
      <c r="T40" s="125"/>
      <c r="U40" s="126"/>
      <c r="V40" s="125"/>
      <c r="W40" s="126"/>
    </row>
    <row r="41" spans="1:23" ht="18.75" x14ac:dyDescent="0.3">
      <c r="A41" s="188"/>
      <c r="B41" s="129" t="s">
        <v>98</v>
      </c>
      <c r="C41" s="204"/>
      <c r="D41" s="130"/>
      <c r="E41" s="204"/>
      <c r="F41" s="129"/>
      <c r="G41" s="204"/>
      <c r="H41" s="204"/>
      <c r="I41" s="108"/>
      <c r="J41" s="204"/>
      <c r="K41" s="204"/>
      <c r="L41" s="204"/>
      <c r="M41" s="111" t="s">
        <v>99</v>
      </c>
      <c r="N41" s="128"/>
      <c r="O41" s="127"/>
      <c r="P41" s="128"/>
      <c r="Q41" s="127"/>
      <c r="R41" s="127"/>
      <c r="S41" s="127"/>
      <c r="T41" s="126"/>
      <c r="U41" s="126"/>
      <c r="W41" s="126"/>
    </row>
    <row r="42" spans="1:23" ht="18.75" x14ac:dyDescent="0.3">
      <c r="A42" s="188"/>
      <c r="B42"/>
      <c r="D42" s="136"/>
      <c r="E42" s="136"/>
      <c r="F42" s="205"/>
      <c r="G42" s="205"/>
      <c r="H42" s="196"/>
      <c r="I42" s="127"/>
      <c r="J42" s="207"/>
      <c r="K42" s="207"/>
      <c r="L42" s="207"/>
      <c r="M42" s="111"/>
      <c r="N42" s="125"/>
      <c r="O42" s="125"/>
      <c r="P42" s="125"/>
      <c r="Q42" s="125"/>
      <c r="R42" s="125"/>
      <c r="S42" s="125"/>
      <c r="T42" s="125"/>
      <c r="U42" s="126"/>
      <c r="V42" s="125"/>
      <c r="W42" s="126"/>
    </row>
    <row r="43" spans="1:23" ht="18.75" x14ac:dyDescent="0.3">
      <c r="A43" s="188"/>
      <c r="B43" s="129" t="s">
        <v>150</v>
      </c>
      <c r="C43" s="204"/>
      <c r="D43" s="204"/>
      <c r="E43" s="204"/>
      <c r="F43" s="131"/>
      <c r="G43" s="130"/>
      <c r="H43" s="130"/>
      <c r="I43" s="131"/>
      <c r="J43" s="209"/>
      <c r="K43" s="210"/>
      <c r="L43" s="210"/>
      <c r="M43" s="111" t="s">
        <v>318</v>
      </c>
      <c r="N43" s="125"/>
      <c r="O43" s="125"/>
      <c r="P43" s="125"/>
      <c r="Q43" s="125"/>
      <c r="R43" s="125"/>
      <c r="S43" s="125"/>
      <c r="T43" s="125"/>
      <c r="U43" s="126"/>
      <c r="V43" s="125"/>
      <c r="W43" s="126"/>
    </row>
    <row r="44" spans="1:23" ht="18.75" x14ac:dyDescent="0.3">
      <c r="A44" s="188"/>
      <c r="B44" s="211"/>
      <c r="C44" s="132"/>
      <c r="D44" s="204"/>
      <c r="E44" s="204"/>
      <c r="F44" s="130"/>
      <c r="G44" s="130"/>
      <c r="H44" s="130"/>
      <c r="I44" s="132"/>
      <c r="J44" s="209"/>
      <c r="K44" s="210"/>
      <c r="L44" s="210"/>
      <c r="N44" s="127"/>
      <c r="O44" s="128"/>
      <c r="P44" s="128"/>
      <c r="Q44" s="127"/>
      <c r="R44" s="127"/>
      <c r="S44" s="127"/>
      <c r="T44" s="127"/>
      <c r="U44" s="126"/>
      <c r="W44" s="126"/>
    </row>
    <row r="45" spans="1:23" ht="30" x14ac:dyDescent="0.25">
      <c r="A45" s="188"/>
      <c r="B45" s="206" t="s">
        <v>325</v>
      </c>
      <c r="C45" s="135"/>
      <c r="D45" s="135"/>
      <c r="E45" s="136"/>
      <c r="F45" s="136"/>
      <c r="G45" s="213"/>
      <c r="H45" s="213"/>
      <c r="I45" s="206"/>
      <c r="J45" s="191"/>
      <c r="K45" s="191"/>
      <c r="L45" s="191"/>
      <c r="M45" s="191" t="s">
        <v>324</v>
      </c>
      <c r="N45" s="195"/>
      <c r="O45" s="193"/>
      <c r="P45" s="193"/>
    </row>
    <row r="46" spans="1:23" x14ac:dyDescent="0.25">
      <c r="A46" s="243"/>
      <c r="B46" s="136"/>
      <c r="E46" s="135"/>
      <c r="F46" s="136"/>
      <c r="G46" s="206"/>
      <c r="H46" s="206"/>
      <c r="I46" s="206"/>
      <c r="J46" s="191"/>
      <c r="K46" s="218"/>
      <c r="L46" s="218"/>
      <c r="M46" s="218"/>
      <c r="N46" s="208"/>
      <c r="O46" s="193"/>
      <c r="P46" s="193"/>
    </row>
    <row r="47" spans="1:23" x14ac:dyDescent="0.25">
      <c r="A47" s="243"/>
      <c r="B47" s="244"/>
      <c r="C47" s="135"/>
      <c r="E47" s="195"/>
      <c r="F47" s="136"/>
      <c r="G47" s="206"/>
      <c r="H47" s="206"/>
      <c r="I47" s="206"/>
      <c r="J47" s="191"/>
      <c r="K47" s="218"/>
      <c r="L47" s="218"/>
      <c r="M47" s="218"/>
      <c r="N47" s="195"/>
      <c r="O47" s="193"/>
      <c r="P47" s="193"/>
    </row>
    <row r="48" spans="1:23" x14ac:dyDescent="0.25">
      <c r="A48" s="188"/>
      <c r="B48" s="136"/>
      <c r="C48" s="135"/>
      <c r="D48" s="135"/>
      <c r="E48" s="136"/>
      <c r="F48" s="136"/>
      <c r="G48" s="206"/>
      <c r="H48" s="206"/>
      <c r="I48" s="206"/>
      <c r="J48" s="242"/>
      <c r="K48" s="242"/>
      <c r="L48" s="242"/>
      <c r="M48" s="242"/>
      <c r="N48" s="215"/>
      <c r="O48" s="193"/>
      <c r="P48" s="193"/>
    </row>
    <row r="49" spans="1:16" x14ac:dyDescent="0.25">
      <c r="A49" s="188"/>
      <c r="B49" s="245"/>
      <c r="C49" s="135"/>
      <c r="D49" s="135"/>
      <c r="E49" s="136"/>
      <c r="F49" s="136"/>
      <c r="G49" s="206"/>
      <c r="H49" s="206"/>
      <c r="I49" s="206"/>
      <c r="J49" s="191"/>
      <c r="K49" s="218"/>
      <c r="L49" s="218"/>
      <c r="M49" s="218"/>
      <c r="N49" s="195"/>
      <c r="O49" s="193"/>
      <c r="P49" s="193"/>
    </row>
    <row r="50" spans="1:16" x14ac:dyDescent="0.25">
      <c r="A50" s="188"/>
      <c r="B50" s="245"/>
      <c r="C50" s="135"/>
      <c r="D50" s="135"/>
      <c r="E50" s="136"/>
      <c r="F50" s="136"/>
      <c r="G50" s="206"/>
      <c r="H50" s="206"/>
      <c r="I50" s="206"/>
      <c r="J50" s="191"/>
      <c r="K50" s="218"/>
      <c r="L50" s="218"/>
      <c r="M50" s="218"/>
      <c r="N50" s="195"/>
      <c r="O50" s="193"/>
      <c r="P50" s="193"/>
    </row>
    <row r="51" spans="1:16" x14ac:dyDescent="0.25">
      <c r="A51" s="188"/>
      <c r="B51" s="245"/>
      <c r="C51" s="135"/>
      <c r="D51" s="135"/>
      <c r="E51" s="136"/>
      <c r="F51" s="136"/>
      <c r="G51" s="206"/>
      <c r="H51" s="206"/>
      <c r="I51" s="206"/>
      <c r="J51" s="191"/>
      <c r="K51" s="218"/>
      <c r="L51" s="218"/>
      <c r="M51" s="218"/>
      <c r="N51" s="195"/>
      <c r="O51" s="193"/>
      <c r="P51" s="193"/>
    </row>
    <row r="52" spans="1:16" x14ac:dyDescent="0.25">
      <c r="A52" s="212"/>
      <c r="B52" s="136"/>
      <c r="C52" s="135"/>
      <c r="D52" s="135"/>
      <c r="E52" s="136"/>
      <c r="F52" s="136"/>
      <c r="G52" s="213"/>
      <c r="H52" s="213"/>
      <c r="I52" s="206"/>
      <c r="J52" s="207"/>
      <c r="K52" s="207"/>
      <c r="L52" s="207"/>
      <c r="M52" s="207"/>
      <c r="N52" s="195"/>
      <c r="O52" s="193"/>
      <c r="P52" s="193"/>
    </row>
    <row r="53" spans="1:16" x14ac:dyDescent="0.25">
      <c r="A53" s="212"/>
      <c r="B53" s="206"/>
      <c r="C53" s="135"/>
      <c r="D53" s="135"/>
      <c r="E53" s="136"/>
      <c r="F53" s="136"/>
      <c r="G53" s="213"/>
      <c r="H53" s="213"/>
      <c r="I53" s="206"/>
      <c r="J53" s="191"/>
      <c r="K53" s="191"/>
      <c r="L53" s="191"/>
      <c r="M53" s="191"/>
      <c r="N53" s="195"/>
      <c r="O53" s="193"/>
      <c r="P53" s="193"/>
    </row>
    <row r="54" spans="1:16" x14ac:dyDescent="0.25">
      <c r="A54" s="212"/>
      <c r="B54" s="206"/>
      <c r="C54" s="135"/>
      <c r="D54" s="135"/>
      <c r="E54" s="136"/>
      <c r="F54" s="136"/>
      <c r="G54" s="213"/>
      <c r="H54" s="213"/>
      <c r="I54" s="206"/>
      <c r="J54" s="191"/>
      <c r="K54" s="191"/>
      <c r="L54" s="191"/>
      <c r="M54" s="191"/>
      <c r="N54" s="195"/>
      <c r="O54" s="193"/>
      <c r="P54" s="193"/>
    </row>
    <row r="55" spans="1:16" x14ac:dyDescent="0.25">
      <c r="A55" s="212"/>
      <c r="B55" s="214"/>
      <c r="C55" s="135"/>
      <c r="D55" s="135"/>
      <c r="E55" s="136"/>
      <c r="F55" s="136"/>
      <c r="G55" s="205"/>
      <c r="H55" s="205"/>
      <c r="I55" s="206"/>
      <c r="J55" s="207"/>
      <c r="K55" s="207"/>
      <c r="L55" s="207"/>
      <c r="M55" s="207"/>
      <c r="N55" s="195"/>
      <c r="O55" s="193"/>
      <c r="P55" s="193"/>
    </row>
    <row r="56" spans="1:16" x14ac:dyDescent="0.25">
      <c r="A56" s="212"/>
      <c r="B56" s="206"/>
      <c r="C56" s="135"/>
      <c r="D56" s="135"/>
      <c r="E56" s="136"/>
      <c r="F56" s="136"/>
      <c r="G56" s="213"/>
      <c r="H56" s="213"/>
      <c r="I56" s="206"/>
      <c r="J56" s="191"/>
      <c r="K56" s="191"/>
      <c r="L56" s="191"/>
      <c r="M56" s="191"/>
      <c r="N56" s="195"/>
      <c r="O56" s="193"/>
      <c r="P56" s="193"/>
    </row>
    <row r="57" spans="1:16" x14ac:dyDescent="0.25">
      <c r="A57" s="212"/>
      <c r="B57" s="136"/>
      <c r="C57" s="135"/>
      <c r="D57" s="135"/>
      <c r="E57" s="136"/>
      <c r="F57" s="135"/>
      <c r="G57" s="205"/>
      <c r="H57" s="205"/>
      <c r="I57" s="206"/>
      <c r="J57" s="207"/>
      <c r="K57" s="207"/>
      <c r="L57" s="207"/>
      <c r="M57" s="207"/>
      <c r="N57" s="215"/>
      <c r="O57" s="193"/>
      <c r="P57" s="193"/>
    </row>
    <row r="58" spans="1:16" x14ac:dyDescent="0.25">
      <c r="A58" s="212"/>
      <c r="B58" s="206"/>
      <c r="C58" s="135"/>
      <c r="D58" s="135"/>
      <c r="E58" s="136"/>
      <c r="F58" s="195"/>
      <c r="G58" s="213"/>
      <c r="H58" s="213"/>
      <c r="I58" s="206"/>
      <c r="J58" s="191"/>
      <c r="K58" s="191"/>
      <c r="L58" s="191"/>
      <c r="M58" s="191"/>
      <c r="N58" s="195"/>
      <c r="O58" s="193"/>
      <c r="P58" s="193"/>
    </row>
    <row r="59" spans="1:16" x14ac:dyDescent="0.25">
      <c r="A59" s="212"/>
      <c r="B59" s="206"/>
      <c r="C59" s="135"/>
      <c r="D59" s="135"/>
      <c r="E59" s="136"/>
      <c r="F59" s="195"/>
      <c r="G59" s="213"/>
      <c r="H59" s="213"/>
      <c r="I59" s="206"/>
      <c r="J59" s="191"/>
      <c r="K59" s="191"/>
      <c r="L59" s="191"/>
      <c r="M59" s="191"/>
      <c r="N59" s="191"/>
      <c r="O59" s="193"/>
      <c r="P59" s="193"/>
    </row>
    <row r="60" spans="1:16" x14ac:dyDescent="0.25">
      <c r="A60" s="189"/>
      <c r="B60" s="192"/>
      <c r="C60" s="216"/>
      <c r="D60" s="216"/>
      <c r="E60" s="216"/>
      <c r="F60" s="216"/>
      <c r="G60" s="216"/>
      <c r="H60" s="216"/>
      <c r="I60" s="201"/>
      <c r="J60" s="217"/>
      <c r="K60" s="217"/>
      <c r="L60" s="217"/>
      <c r="M60" s="217"/>
      <c r="N60" s="201"/>
      <c r="O60" s="193"/>
      <c r="P60" s="193"/>
    </row>
    <row r="61" spans="1:16" x14ac:dyDescent="0.25">
      <c r="A61" s="189"/>
      <c r="B61" s="206"/>
      <c r="C61" s="206"/>
      <c r="D61" s="206"/>
      <c r="E61" s="206"/>
      <c r="F61" s="206"/>
      <c r="G61" s="206"/>
      <c r="H61" s="206"/>
      <c r="I61" s="190"/>
      <c r="J61" s="218"/>
      <c r="K61" s="218"/>
      <c r="L61" s="218"/>
      <c r="M61" s="218"/>
      <c r="N61" s="201"/>
      <c r="O61" s="193"/>
      <c r="P61" s="193"/>
    </row>
    <row r="62" spans="1:16" x14ac:dyDescent="0.25">
      <c r="A62" s="189"/>
      <c r="B62" s="206"/>
      <c r="C62" s="206"/>
      <c r="D62" s="206"/>
      <c r="E62" s="206"/>
      <c r="F62" s="206"/>
      <c r="G62" s="206"/>
      <c r="H62" s="206"/>
      <c r="I62" s="190"/>
      <c r="J62" s="191"/>
      <c r="K62" s="191"/>
      <c r="L62" s="191"/>
      <c r="M62" s="191"/>
      <c r="N62" s="201"/>
      <c r="O62" s="193"/>
      <c r="P62" s="193"/>
    </row>
    <row r="63" spans="1:16" x14ac:dyDescent="0.25">
      <c r="A63" s="189"/>
      <c r="B63" s="206"/>
      <c r="C63" s="206"/>
      <c r="D63" s="206"/>
      <c r="E63" s="206"/>
      <c r="F63" s="206"/>
      <c r="G63" s="206"/>
      <c r="H63" s="206"/>
      <c r="I63" s="190"/>
      <c r="J63" s="218"/>
      <c r="K63" s="218"/>
      <c r="L63" s="218"/>
      <c r="M63" s="218"/>
      <c r="N63" s="201"/>
      <c r="O63" s="193"/>
      <c r="P63" s="193"/>
    </row>
    <row r="64" spans="1:16" x14ac:dyDescent="0.25">
      <c r="A64" s="189"/>
      <c r="B64" s="206"/>
      <c r="C64" s="206"/>
      <c r="D64" s="206"/>
      <c r="E64" s="206"/>
      <c r="F64" s="206"/>
      <c r="G64" s="206"/>
      <c r="H64" s="206"/>
      <c r="I64" s="190"/>
      <c r="J64" s="218"/>
      <c r="K64" s="218"/>
      <c r="L64" s="218"/>
      <c r="M64" s="218"/>
      <c r="N64" s="201"/>
      <c r="O64" s="193"/>
      <c r="P64" s="193"/>
    </row>
    <row r="65" spans="1:16" x14ac:dyDescent="0.25">
      <c r="A65" s="206"/>
      <c r="B65" s="219"/>
      <c r="C65" s="136"/>
      <c r="D65" s="136"/>
      <c r="E65" s="136"/>
      <c r="F65" s="136"/>
      <c r="G65" s="136"/>
      <c r="H65" s="136"/>
      <c r="I65" s="206"/>
      <c r="J65" s="207"/>
      <c r="K65" s="207"/>
      <c r="L65" s="207"/>
      <c r="M65" s="207"/>
      <c r="N65" s="208"/>
      <c r="O65" s="193"/>
      <c r="P65" s="193"/>
    </row>
    <row r="66" spans="1:16" x14ac:dyDescent="0.25">
      <c r="A66" s="206"/>
      <c r="B66" s="220"/>
      <c r="C66" s="206"/>
      <c r="D66" s="206"/>
      <c r="E66" s="136"/>
      <c r="F66" s="206"/>
      <c r="G66" s="136"/>
      <c r="H66" s="136"/>
      <c r="I66" s="206"/>
      <c r="J66" s="191"/>
      <c r="K66" s="191"/>
      <c r="L66" s="191"/>
      <c r="M66" s="191"/>
      <c r="N66" s="195"/>
      <c r="O66" s="193"/>
      <c r="P66" s="193"/>
    </row>
    <row r="67" spans="1:16" x14ac:dyDescent="0.25">
      <c r="A67" s="189"/>
      <c r="B67" s="192"/>
      <c r="C67" s="216"/>
      <c r="D67" s="216"/>
      <c r="E67" s="216"/>
      <c r="F67" s="216"/>
      <c r="G67" s="216"/>
      <c r="H67" s="216"/>
      <c r="I67" s="190"/>
      <c r="J67" s="191"/>
      <c r="K67" s="191"/>
      <c r="L67" s="191"/>
      <c r="M67" s="191"/>
      <c r="N67" s="192"/>
      <c r="O67" s="193"/>
      <c r="P67" s="193"/>
    </row>
    <row r="68" spans="1:16" x14ac:dyDescent="0.25">
      <c r="A68" s="189"/>
      <c r="B68" s="189"/>
      <c r="C68" s="189"/>
      <c r="D68" s="189"/>
      <c r="E68" s="189"/>
      <c r="F68" s="189"/>
      <c r="G68" s="189"/>
      <c r="H68" s="189"/>
      <c r="I68" s="190"/>
      <c r="J68" s="191"/>
      <c r="K68" s="191"/>
      <c r="L68" s="191"/>
      <c r="M68" s="191"/>
      <c r="N68" s="192"/>
      <c r="O68" s="193"/>
      <c r="P68" s="193"/>
    </row>
    <row r="69" spans="1:16" x14ac:dyDescent="0.25">
      <c r="A69" s="189"/>
      <c r="B69" s="189"/>
      <c r="C69" s="189"/>
      <c r="D69" s="189"/>
      <c r="E69" s="189"/>
      <c r="F69" s="189"/>
      <c r="G69" s="189"/>
      <c r="H69" s="189"/>
      <c r="I69" s="190"/>
      <c r="J69" s="191"/>
      <c r="K69" s="191"/>
      <c r="L69" s="191"/>
      <c r="M69" s="191"/>
      <c r="N69" s="192"/>
      <c r="O69" s="193"/>
      <c r="P69" s="193"/>
    </row>
    <row r="70" spans="1:16" x14ac:dyDescent="0.25">
      <c r="A70" s="189"/>
      <c r="B70" s="189"/>
      <c r="C70" s="189"/>
      <c r="D70" s="189"/>
      <c r="E70" s="189"/>
      <c r="F70" s="189"/>
      <c r="G70" s="189"/>
      <c r="H70" s="189"/>
      <c r="I70" s="190"/>
      <c r="J70" s="191"/>
      <c r="K70" s="191"/>
      <c r="L70" s="191"/>
      <c r="M70" s="191"/>
      <c r="N70" s="192"/>
      <c r="O70" s="193"/>
      <c r="P70" s="193"/>
    </row>
    <row r="71" spans="1:16" x14ac:dyDescent="0.25">
      <c r="A71" s="189"/>
      <c r="B71" s="189"/>
      <c r="C71" s="189"/>
      <c r="D71" s="189"/>
      <c r="E71" s="189"/>
      <c r="F71" s="189"/>
      <c r="G71" s="189"/>
      <c r="H71" s="189"/>
      <c r="I71" s="190"/>
      <c r="J71" s="191"/>
      <c r="K71" s="191"/>
      <c r="L71" s="191"/>
      <c r="M71" s="191"/>
      <c r="N71" s="192"/>
      <c r="O71" s="193"/>
      <c r="P71" s="193"/>
    </row>
    <row r="72" spans="1:16" x14ac:dyDescent="0.25">
      <c r="A72" s="189"/>
      <c r="B72" s="192"/>
      <c r="C72" s="216"/>
      <c r="D72" s="216"/>
      <c r="E72" s="216"/>
      <c r="F72" s="216"/>
      <c r="G72" s="216"/>
      <c r="H72" s="216"/>
      <c r="I72" s="201"/>
      <c r="J72" s="217"/>
      <c r="K72" s="217"/>
      <c r="L72" s="217"/>
      <c r="M72" s="217"/>
      <c r="N72" s="201"/>
      <c r="O72" s="193"/>
      <c r="P72" s="193"/>
    </row>
    <row r="73" spans="1:16" x14ac:dyDescent="0.25">
      <c r="A73" s="189"/>
      <c r="B73" s="189"/>
      <c r="C73" s="189"/>
      <c r="D73" s="189"/>
      <c r="E73" s="189"/>
      <c r="F73" s="189"/>
      <c r="G73" s="189"/>
      <c r="H73" s="189"/>
      <c r="I73" s="190"/>
      <c r="J73" s="191"/>
      <c r="K73" s="191"/>
      <c r="L73" s="191"/>
      <c r="M73" s="191"/>
      <c r="N73" s="192"/>
      <c r="O73" s="193"/>
      <c r="P73" s="193"/>
    </row>
    <row r="74" spans="1:16" x14ac:dyDescent="0.25">
      <c r="A74" s="189"/>
      <c r="B74" s="189"/>
      <c r="C74" s="189"/>
      <c r="D74" s="189"/>
      <c r="E74" s="189"/>
      <c r="F74" s="189"/>
      <c r="G74" s="189"/>
      <c r="H74" s="189"/>
      <c r="I74" s="190"/>
      <c r="J74" s="191"/>
      <c r="K74" s="191"/>
      <c r="L74" s="191"/>
      <c r="M74" s="191"/>
      <c r="N74" s="192"/>
      <c r="O74" s="193"/>
      <c r="P74" s="193"/>
    </row>
    <row r="75" spans="1:16" x14ac:dyDescent="0.25">
      <c r="A75" s="189"/>
      <c r="B75" s="189"/>
      <c r="C75" s="189"/>
      <c r="D75" s="189"/>
      <c r="E75" s="189"/>
      <c r="F75" s="189"/>
      <c r="G75" s="189"/>
      <c r="H75" s="189"/>
      <c r="I75" s="190"/>
      <c r="J75" s="191"/>
      <c r="K75" s="191"/>
      <c r="L75" s="191"/>
      <c r="M75" s="191"/>
      <c r="N75" s="192"/>
      <c r="O75" s="193"/>
      <c r="P75" s="193"/>
    </row>
    <row r="76" spans="1:16" x14ac:dyDescent="0.25">
      <c r="A76" s="189"/>
      <c r="B76" s="189"/>
      <c r="C76" s="189"/>
      <c r="D76" s="189"/>
      <c r="E76" s="189"/>
      <c r="F76" s="189"/>
      <c r="G76" s="189"/>
      <c r="H76" s="189"/>
      <c r="I76" s="190"/>
      <c r="J76" s="191"/>
      <c r="K76" s="191"/>
      <c r="L76" s="191"/>
      <c r="M76" s="191"/>
      <c r="N76" s="192"/>
      <c r="O76" s="193"/>
      <c r="P76" s="193"/>
    </row>
    <row r="77" spans="1:16" x14ac:dyDescent="0.25">
      <c r="A77" s="206"/>
      <c r="B77" s="136"/>
      <c r="C77" s="136"/>
      <c r="D77" s="136"/>
      <c r="E77" s="136"/>
      <c r="F77" s="136"/>
      <c r="G77" s="206"/>
      <c r="H77" s="206"/>
      <c r="I77" s="206"/>
      <c r="J77" s="207"/>
      <c r="K77" s="207"/>
      <c r="L77" s="207"/>
      <c r="M77" s="207"/>
      <c r="N77" s="208"/>
      <c r="O77" s="193"/>
      <c r="P77" s="193"/>
    </row>
    <row r="78" spans="1:16" x14ac:dyDescent="0.25">
      <c r="A78" s="206"/>
      <c r="B78" s="206"/>
      <c r="C78" s="136"/>
      <c r="D78" s="136"/>
      <c r="E78" s="136"/>
      <c r="F78" s="206"/>
      <c r="G78" s="206"/>
      <c r="H78" s="206"/>
      <c r="I78" s="206"/>
      <c r="J78" s="191"/>
      <c r="K78" s="191"/>
      <c r="L78" s="191"/>
      <c r="M78" s="191"/>
      <c r="N78" s="195"/>
      <c r="O78" s="193"/>
      <c r="P78" s="193"/>
    </row>
    <row r="79" spans="1:16" x14ac:dyDescent="0.25">
      <c r="A79" s="206"/>
      <c r="B79" s="136"/>
      <c r="C79" s="136"/>
      <c r="D79" s="136"/>
      <c r="E79" s="136"/>
      <c r="F79" s="206"/>
      <c r="G79" s="206"/>
      <c r="H79" s="206"/>
      <c r="I79" s="206"/>
      <c r="J79" s="207"/>
      <c r="K79" s="207"/>
      <c r="L79" s="207"/>
      <c r="M79" s="207"/>
      <c r="N79" s="192"/>
      <c r="O79" s="193"/>
      <c r="P79" s="193"/>
    </row>
    <row r="80" spans="1:16" x14ac:dyDescent="0.25">
      <c r="A80" s="206"/>
      <c r="B80" s="220"/>
      <c r="C80" s="206"/>
      <c r="D80" s="206"/>
      <c r="E80" s="136"/>
      <c r="F80" s="206"/>
      <c r="G80" s="206"/>
      <c r="H80" s="206"/>
      <c r="I80" s="206"/>
      <c r="J80" s="191"/>
      <c r="K80" s="191"/>
      <c r="L80" s="191"/>
      <c r="M80" s="191"/>
      <c r="N80" s="192"/>
      <c r="O80" s="193"/>
      <c r="P80" s="193"/>
    </row>
    <row r="81" spans="1:16" x14ac:dyDescent="0.25">
      <c r="A81" s="206"/>
      <c r="B81" s="136"/>
      <c r="C81" s="136"/>
      <c r="D81" s="136"/>
      <c r="E81" s="205"/>
      <c r="F81" s="206"/>
      <c r="G81" s="213"/>
      <c r="H81" s="213"/>
      <c r="I81" s="206"/>
      <c r="J81" s="207"/>
      <c r="K81" s="207"/>
      <c r="L81" s="207"/>
      <c r="M81" s="207"/>
      <c r="N81" s="192"/>
      <c r="O81" s="193"/>
      <c r="P81" s="193"/>
    </row>
    <row r="82" spans="1:16" x14ac:dyDescent="0.25">
      <c r="A82" s="206"/>
      <c r="B82" s="206"/>
      <c r="C82" s="136"/>
      <c r="D82" s="136"/>
      <c r="E82" s="205"/>
      <c r="F82" s="206"/>
      <c r="G82" s="213"/>
      <c r="H82" s="213"/>
      <c r="I82" s="206"/>
      <c r="J82" s="191"/>
      <c r="K82" s="191"/>
      <c r="L82" s="191"/>
      <c r="M82" s="191"/>
      <c r="N82" s="192"/>
      <c r="O82" s="193"/>
      <c r="P82" s="193"/>
    </row>
    <row r="83" spans="1:16" x14ac:dyDescent="0.25">
      <c r="A83" s="206"/>
      <c r="B83" s="206"/>
      <c r="C83" s="136"/>
      <c r="D83" s="136"/>
      <c r="E83" s="205"/>
      <c r="F83" s="206"/>
      <c r="G83" s="213"/>
      <c r="H83" s="213"/>
      <c r="I83" s="206"/>
      <c r="J83" s="191"/>
      <c r="K83" s="191"/>
      <c r="L83" s="191"/>
      <c r="M83" s="191"/>
      <c r="N83" s="192"/>
      <c r="O83" s="193"/>
      <c r="P83" s="193"/>
    </row>
    <row r="84" spans="1:16" x14ac:dyDescent="0.25">
      <c r="A84" s="189"/>
      <c r="B84" s="192"/>
      <c r="C84" s="216"/>
      <c r="D84" s="216"/>
      <c r="E84" s="216"/>
      <c r="F84" s="216"/>
      <c r="G84" s="216"/>
      <c r="H84" s="216"/>
      <c r="I84" s="201"/>
      <c r="J84" s="217"/>
      <c r="K84" s="217"/>
      <c r="L84" s="217"/>
      <c r="M84" s="217"/>
      <c r="N84" s="201"/>
      <c r="O84" s="193"/>
      <c r="P84" s="193"/>
    </row>
    <row r="85" spans="1:16" x14ac:dyDescent="0.25">
      <c r="A85" s="189"/>
      <c r="B85" s="206"/>
      <c r="C85" s="206"/>
      <c r="D85" s="206"/>
      <c r="E85" s="206"/>
      <c r="F85" s="206"/>
      <c r="G85" s="206"/>
      <c r="H85" s="206"/>
      <c r="I85" s="190"/>
      <c r="J85" s="191"/>
      <c r="K85" s="191"/>
      <c r="L85" s="191"/>
      <c r="M85" s="191"/>
      <c r="N85" s="201"/>
      <c r="O85" s="193"/>
      <c r="P85" s="193"/>
    </row>
    <row r="86" spans="1:16" x14ac:dyDescent="0.25">
      <c r="A86" s="189"/>
      <c r="B86" s="206"/>
      <c r="C86" s="206"/>
      <c r="D86" s="206"/>
      <c r="E86" s="206"/>
      <c r="F86" s="206"/>
      <c r="G86" s="206"/>
      <c r="H86" s="206"/>
      <c r="I86" s="190"/>
      <c r="J86" s="191"/>
      <c r="K86" s="191"/>
      <c r="L86" s="191"/>
      <c r="M86" s="191"/>
      <c r="N86" s="201"/>
      <c r="O86" s="193"/>
      <c r="P86" s="193"/>
    </row>
    <row r="87" spans="1:16" x14ac:dyDescent="0.25">
      <c r="A87" s="189"/>
      <c r="B87" s="206"/>
      <c r="C87" s="206"/>
      <c r="D87" s="206"/>
      <c r="E87" s="206"/>
      <c r="F87" s="206"/>
      <c r="G87" s="206"/>
      <c r="H87" s="206"/>
      <c r="I87" s="190"/>
      <c r="J87" s="191"/>
      <c r="K87" s="191"/>
      <c r="L87" s="191"/>
      <c r="M87" s="191"/>
      <c r="N87" s="201"/>
      <c r="O87" s="193"/>
      <c r="P87" s="193"/>
    </row>
    <row r="88" spans="1:16" x14ac:dyDescent="0.25">
      <c r="A88" s="189"/>
      <c r="B88" s="206"/>
      <c r="C88" s="206"/>
      <c r="D88" s="206"/>
      <c r="E88" s="206"/>
      <c r="F88" s="206"/>
      <c r="G88" s="206"/>
      <c r="H88" s="206"/>
      <c r="I88" s="190"/>
      <c r="J88" s="191"/>
      <c r="K88" s="191"/>
      <c r="L88" s="191"/>
      <c r="M88" s="191"/>
      <c r="N88" s="201"/>
      <c r="O88" s="193"/>
      <c r="P88" s="193"/>
    </row>
    <row r="89" spans="1:16" x14ac:dyDescent="0.25">
      <c r="A89" s="206"/>
      <c r="B89" s="136"/>
      <c r="C89" s="136"/>
      <c r="D89" s="136"/>
      <c r="E89" s="136"/>
      <c r="F89" s="136"/>
      <c r="G89" s="206"/>
      <c r="H89" s="206"/>
      <c r="I89" s="206"/>
      <c r="J89" s="207"/>
      <c r="K89" s="207"/>
      <c r="L89" s="207"/>
      <c r="M89" s="207"/>
      <c r="N89" s="208"/>
      <c r="O89" s="193"/>
      <c r="P89" s="193"/>
    </row>
    <row r="90" spans="1:16" x14ac:dyDescent="0.25">
      <c r="A90" s="206"/>
      <c r="B90" s="220"/>
      <c r="C90" s="206"/>
      <c r="D90" s="206"/>
      <c r="E90" s="136"/>
      <c r="F90" s="206"/>
      <c r="G90" s="206"/>
      <c r="H90" s="206"/>
      <c r="I90" s="206"/>
      <c r="J90" s="191"/>
      <c r="K90" s="191"/>
      <c r="L90" s="191"/>
      <c r="M90" s="191"/>
      <c r="N90" s="195"/>
      <c r="O90" s="193"/>
      <c r="P90" s="193"/>
    </row>
    <row r="91" spans="1:16" x14ac:dyDescent="0.25">
      <c r="A91" s="221"/>
      <c r="B91" s="214"/>
      <c r="C91" s="222"/>
      <c r="D91" s="222"/>
      <c r="E91" s="222"/>
      <c r="F91" s="223"/>
      <c r="G91" s="224"/>
      <c r="H91" s="224"/>
      <c r="I91" s="206"/>
      <c r="J91" s="207"/>
      <c r="K91" s="207"/>
      <c r="L91" s="207"/>
      <c r="M91" s="207"/>
      <c r="N91" s="195"/>
      <c r="O91" s="193"/>
      <c r="P91" s="193"/>
    </row>
    <row r="92" spans="1:16" x14ac:dyDescent="0.25">
      <c r="A92" s="221"/>
      <c r="B92" s="214"/>
      <c r="C92" s="222"/>
      <c r="D92" s="222"/>
      <c r="E92" s="222"/>
      <c r="F92" s="223"/>
      <c r="G92" s="224"/>
      <c r="H92" s="224"/>
      <c r="I92" s="206"/>
      <c r="J92" s="191"/>
      <c r="K92" s="191"/>
      <c r="L92" s="191"/>
      <c r="M92" s="191"/>
      <c r="N92" s="195"/>
      <c r="O92" s="193"/>
      <c r="P92" s="193"/>
    </row>
    <row r="93" spans="1:16" x14ac:dyDescent="0.25">
      <c r="A93" s="225"/>
      <c r="B93" s="226"/>
      <c r="C93" s="226"/>
      <c r="D93" s="226"/>
      <c r="E93" s="226"/>
      <c r="F93" s="226"/>
      <c r="G93" s="226"/>
      <c r="H93" s="226"/>
      <c r="I93" s="226"/>
      <c r="J93" s="226"/>
      <c r="K93" s="226"/>
      <c r="L93" s="226"/>
      <c r="M93" s="217"/>
      <c r="N93" s="226"/>
      <c r="O93" s="193"/>
      <c r="P93" s="193"/>
    </row>
    <row r="94" spans="1:16" x14ac:dyDescent="0.25">
      <c r="A94" s="189"/>
      <c r="B94" s="189"/>
      <c r="C94" s="189"/>
      <c r="D94" s="189"/>
      <c r="E94" s="189"/>
      <c r="F94" s="189"/>
      <c r="G94" s="189"/>
      <c r="H94" s="189"/>
      <c r="I94" s="226"/>
      <c r="J94" s="217"/>
      <c r="K94" s="217"/>
      <c r="L94" s="217"/>
      <c r="M94" s="217"/>
      <c r="N94" s="226"/>
      <c r="O94" s="193"/>
      <c r="P94" s="193"/>
    </row>
    <row r="95" spans="1:16" x14ac:dyDescent="0.25">
      <c r="A95" s="189"/>
      <c r="B95" s="189"/>
      <c r="C95" s="189"/>
      <c r="D95" s="189"/>
      <c r="E95" s="189"/>
      <c r="F95" s="189"/>
      <c r="G95" s="189"/>
      <c r="H95" s="189"/>
      <c r="I95" s="190"/>
      <c r="J95" s="207"/>
      <c r="K95" s="207"/>
      <c r="L95" s="207"/>
      <c r="M95" s="207"/>
      <c r="N95" s="192"/>
      <c r="O95" s="193"/>
      <c r="P95" s="193"/>
    </row>
    <row r="96" spans="1:16" x14ac:dyDescent="0.25">
      <c r="A96" s="189"/>
      <c r="B96" s="189"/>
      <c r="C96" s="189"/>
      <c r="D96" s="189"/>
      <c r="E96" s="189"/>
      <c r="F96" s="189"/>
      <c r="G96" s="189"/>
      <c r="H96" s="189"/>
      <c r="I96" s="190"/>
      <c r="J96" s="207"/>
      <c r="K96" s="207"/>
      <c r="L96" s="207"/>
      <c r="M96" s="207"/>
      <c r="N96" s="192"/>
      <c r="O96" s="193"/>
      <c r="P96" s="193"/>
    </row>
    <row r="97" spans="1:16" x14ac:dyDescent="0.25">
      <c r="A97" s="189"/>
      <c r="B97" s="189"/>
      <c r="C97" s="189"/>
      <c r="D97" s="189"/>
      <c r="E97" s="189"/>
      <c r="F97" s="189"/>
      <c r="G97" s="189"/>
      <c r="H97" s="189"/>
      <c r="I97" s="190"/>
      <c r="J97" s="207"/>
      <c r="K97" s="207"/>
      <c r="L97" s="207"/>
      <c r="M97" s="207"/>
      <c r="N97" s="192"/>
      <c r="O97" s="193"/>
      <c r="P97" s="193"/>
    </row>
    <row r="98" spans="1:16" x14ac:dyDescent="0.25">
      <c r="A98" s="189"/>
      <c r="B98" s="189"/>
      <c r="C98" s="189"/>
      <c r="D98" s="189"/>
      <c r="E98" s="189"/>
      <c r="F98" s="189"/>
      <c r="G98" s="189"/>
      <c r="H98" s="189"/>
      <c r="I98" s="190"/>
      <c r="J98" s="207"/>
      <c r="K98" s="207"/>
      <c r="L98" s="207"/>
      <c r="M98" s="207"/>
      <c r="N98" s="192"/>
      <c r="O98" s="193"/>
      <c r="P98" s="193"/>
    </row>
    <row r="99" spans="1:16" x14ac:dyDescent="0.25">
      <c r="A99" s="192"/>
      <c r="B99" s="192"/>
      <c r="C99" s="192"/>
      <c r="D99" s="192"/>
      <c r="E99" s="192"/>
      <c r="F99" s="192"/>
      <c r="G99" s="192"/>
      <c r="H99" s="192"/>
      <c r="I99" s="201"/>
      <c r="J99" s="217"/>
      <c r="K99" s="217"/>
      <c r="L99" s="217"/>
      <c r="M99" s="217"/>
      <c r="N99" s="201"/>
      <c r="O99" s="193"/>
      <c r="P99" s="193"/>
    </row>
    <row r="100" spans="1:16" x14ac:dyDescent="0.25">
      <c r="A100" s="189"/>
      <c r="B100" s="189"/>
      <c r="C100" s="189"/>
      <c r="D100" s="189"/>
      <c r="E100" s="189"/>
      <c r="F100" s="189"/>
      <c r="G100" s="189"/>
      <c r="H100" s="189"/>
      <c r="I100" s="190"/>
      <c r="J100" s="191"/>
      <c r="K100" s="191"/>
      <c r="L100" s="191"/>
      <c r="M100" s="191"/>
      <c r="N100" s="192"/>
      <c r="O100" s="193"/>
      <c r="P100" s="193"/>
    </row>
    <row r="101" spans="1:16" x14ac:dyDescent="0.25">
      <c r="A101" s="189"/>
      <c r="B101" s="189"/>
      <c r="C101" s="189"/>
      <c r="D101" s="189"/>
      <c r="E101" s="189"/>
      <c r="F101" s="189"/>
      <c r="G101" s="189"/>
      <c r="H101" s="189"/>
      <c r="I101" s="190"/>
      <c r="J101" s="191"/>
      <c r="K101" s="191"/>
      <c r="L101" s="191"/>
      <c r="M101" s="191"/>
      <c r="N101" s="192"/>
      <c r="O101" s="193"/>
      <c r="P101" s="193"/>
    </row>
    <row r="102" spans="1:16" x14ac:dyDescent="0.25">
      <c r="A102" s="189"/>
      <c r="B102" s="189"/>
      <c r="C102" s="189"/>
      <c r="D102" s="189"/>
      <c r="E102" s="189"/>
      <c r="F102" s="189"/>
      <c r="G102" s="189"/>
      <c r="H102" s="189"/>
      <c r="I102" s="190"/>
      <c r="J102" s="191"/>
      <c r="K102" s="191"/>
      <c r="L102" s="191"/>
      <c r="M102" s="191"/>
      <c r="N102" s="192"/>
      <c r="O102" s="193"/>
      <c r="P102" s="193"/>
    </row>
    <row r="103" spans="1:16" x14ac:dyDescent="0.25">
      <c r="A103" s="189"/>
      <c r="B103" s="189"/>
      <c r="C103" s="189"/>
      <c r="D103" s="189"/>
      <c r="E103" s="189"/>
      <c r="F103" s="189"/>
      <c r="G103" s="189"/>
      <c r="H103" s="189"/>
      <c r="I103" s="190"/>
      <c r="J103" s="191"/>
      <c r="K103" s="191"/>
      <c r="L103" s="191"/>
      <c r="M103" s="191"/>
      <c r="N103" s="192"/>
      <c r="O103" s="193"/>
      <c r="P103" s="193"/>
    </row>
    <row r="104" spans="1:16" x14ac:dyDescent="0.25">
      <c r="A104" s="189"/>
      <c r="B104" s="192"/>
      <c r="C104" s="216"/>
      <c r="D104" s="216"/>
      <c r="E104" s="216"/>
      <c r="F104" s="216"/>
      <c r="G104" s="216"/>
      <c r="H104" s="216"/>
      <c r="I104" s="201"/>
      <c r="J104" s="217"/>
      <c r="K104" s="217"/>
      <c r="L104" s="217"/>
      <c r="M104" s="217"/>
      <c r="N104" s="201"/>
      <c r="O104" s="193"/>
      <c r="P104" s="193"/>
    </row>
    <row r="105" spans="1:16" x14ac:dyDescent="0.25">
      <c r="A105" s="189"/>
      <c r="B105" s="206"/>
      <c r="C105" s="206"/>
      <c r="D105" s="206"/>
      <c r="E105" s="206"/>
      <c r="F105" s="206"/>
      <c r="G105" s="206"/>
      <c r="H105" s="206"/>
      <c r="I105" s="190"/>
      <c r="J105" s="191"/>
      <c r="K105" s="191"/>
      <c r="L105" s="191"/>
      <c r="M105" s="191"/>
      <c r="N105" s="201"/>
      <c r="O105" s="193"/>
      <c r="P105" s="193"/>
    </row>
    <row r="106" spans="1:16" x14ac:dyDescent="0.25">
      <c r="A106" s="189"/>
      <c r="B106" s="206"/>
      <c r="C106" s="206"/>
      <c r="D106" s="206"/>
      <c r="E106" s="206"/>
      <c r="F106" s="206"/>
      <c r="G106" s="206"/>
      <c r="H106" s="206"/>
      <c r="I106" s="190"/>
      <c r="J106" s="191"/>
      <c r="K106" s="191"/>
      <c r="L106" s="191"/>
      <c r="M106" s="191"/>
      <c r="N106" s="201"/>
      <c r="O106" s="193"/>
      <c r="P106" s="193"/>
    </row>
    <row r="107" spans="1:16" x14ac:dyDescent="0.25">
      <c r="A107" s="189"/>
      <c r="B107" s="206"/>
      <c r="C107" s="206"/>
      <c r="D107" s="206"/>
      <c r="E107" s="206"/>
      <c r="F107" s="206"/>
      <c r="G107" s="206"/>
      <c r="H107" s="206"/>
      <c r="I107" s="190"/>
      <c r="J107" s="191"/>
      <c r="K107" s="191"/>
      <c r="L107" s="191"/>
      <c r="M107" s="191"/>
      <c r="N107" s="201"/>
      <c r="O107" s="193"/>
      <c r="P107" s="193"/>
    </row>
    <row r="108" spans="1:16" x14ac:dyDescent="0.25">
      <c r="A108" s="189"/>
      <c r="B108" s="206"/>
      <c r="C108" s="206"/>
      <c r="D108" s="206"/>
      <c r="E108" s="206"/>
      <c r="F108" s="206"/>
      <c r="G108" s="206"/>
      <c r="H108" s="206"/>
      <c r="I108" s="190"/>
      <c r="J108" s="191"/>
      <c r="K108" s="191"/>
      <c r="L108" s="191"/>
      <c r="M108" s="191"/>
      <c r="N108" s="201"/>
      <c r="O108" s="193"/>
      <c r="P108" s="193"/>
    </row>
    <row r="109" spans="1:16" x14ac:dyDescent="0.25">
      <c r="A109" s="227"/>
      <c r="B109" s="136"/>
      <c r="C109" s="136"/>
      <c r="D109" s="136"/>
      <c r="E109" s="136"/>
      <c r="F109" s="136"/>
      <c r="G109" s="136"/>
      <c r="H109" s="136"/>
      <c r="I109" s="206"/>
      <c r="J109" s="207"/>
      <c r="K109" s="207"/>
      <c r="L109" s="207"/>
      <c r="M109" s="207"/>
      <c r="N109" s="215"/>
      <c r="O109" s="193"/>
      <c r="P109" s="193"/>
    </row>
    <row r="110" spans="1:16" x14ac:dyDescent="0.25">
      <c r="A110" s="227"/>
      <c r="B110" s="220"/>
      <c r="C110" s="206"/>
      <c r="D110" s="206"/>
      <c r="E110" s="136"/>
      <c r="F110" s="206"/>
      <c r="G110" s="136"/>
      <c r="H110" s="136"/>
      <c r="I110" s="206"/>
      <c r="J110" s="191"/>
      <c r="K110" s="191"/>
      <c r="L110" s="228"/>
      <c r="M110" s="228"/>
      <c r="N110" s="195"/>
      <c r="O110" s="193"/>
      <c r="P110" s="193"/>
    </row>
    <row r="111" spans="1:16" x14ac:dyDescent="0.25">
      <c r="A111" s="229"/>
      <c r="B111" s="214"/>
      <c r="C111" s="136"/>
      <c r="D111" s="214"/>
      <c r="E111" s="136"/>
      <c r="F111" s="135"/>
      <c r="G111" s="135"/>
      <c r="H111" s="135"/>
      <c r="I111" s="190"/>
      <c r="J111" s="207"/>
      <c r="K111" s="207"/>
      <c r="L111" s="207"/>
      <c r="M111" s="207"/>
      <c r="N111" s="215"/>
      <c r="O111" s="193"/>
      <c r="P111" s="193"/>
    </row>
    <row r="112" spans="1:16" x14ac:dyDescent="0.25">
      <c r="A112" s="229"/>
      <c r="B112" s="214"/>
      <c r="C112" s="136"/>
      <c r="D112" s="214"/>
      <c r="E112" s="136"/>
      <c r="F112" s="195"/>
      <c r="G112" s="135"/>
      <c r="H112" s="135"/>
      <c r="I112" s="190"/>
      <c r="J112" s="207"/>
      <c r="K112" s="191"/>
      <c r="L112" s="191"/>
      <c r="M112" s="191"/>
      <c r="N112" s="195"/>
      <c r="O112" s="193"/>
      <c r="P112" s="193"/>
    </row>
    <row r="113" spans="1:16" x14ac:dyDescent="0.25">
      <c r="A113" s="229"/>
      <c r="B113" s="214"/>
      <c r="C113" s="136"/>
      <c r="D113" s="214"/>
      <c r="E113" s="136"/>
      <c r="F113" s="195"/>
      <c r="G113" s="135"/>
      <c r="H113" s="135"/>
      <c r="I113" s="190"/>
      <c r="J113" s="207"/>
      <c r="K113" s="191"/>
      <c r="L113" s="191"/>
      <c r="M113" s="191"/>
      <c r="N113" s="195"/>
      <c r="O113" s="193"/>
      <c r="P113" s="193"/>
    </row>
    <row r="114" spans="1:16" x14ac:dyDescent="0.25">
      <c r="A114" s="229"/>
      <c r="B114" s="214"/>
      <c r="C114" s="136"/>
      <c r="D114" s="214"/>
      <c r="E114" s="136"/>
      <c r="F114" s="195"/>
      <c r="G114" s="135"/>
      <c r="H114" s="135"/>
      <c r="I114" s="190"/>
      <c r="J114" s="207"/>
      <c r="K114" s="191"/>
      <c r="L114" s="191"/>
      <c r="M114" s="191"/>
      <c r="N114" s="191"/>
      <c r="O114" s="193"/>
      <c r="P114" s="193"/>
    </row>
    <row r="115" spans="1:16" x14ac:dyDescent="0.25">
      <c r="A115" s="206"/>
      <c r="B115" s="136"/>
      <c r="C115" s="136"/>
      <c r="D115" s="136"/>
      <c r="E115" s="136"/>
      <c r="F115" s="136"/>
      <c r="G115" s="136"/>
      <c r="H115" s="136"/>
      <c r="I115" s="190"/>
      <c r="J115" s="207"/>
      <c r="K115" s="207"/>
      <c r="L115" s="207"/>
      <c r="M115" s="207"/>
      <c r="N115" s="215"/>
      <c r="O115" s="193"/>
      <c r="P115" s="193"/>
    </row>
    <row r="116" spans="1:16" x14ac:dyDescent="0.25">
      <c r="A116" s="206"/>
      <c r="B116" s="220"/>
      <c r="C116" s="136"/>
      <c r="D116" s="136"/>
      <c r="E116" s="136"/>
      <c r="F116" s="206"/>
      <c r="G116" s="136"/>
      <c r="H116" s="136"/>
      <c r="I116" s="190"/>
      <c r="J116" s="191"/>
      <c r="K116" s="191"/>
      <c r="L116" s="191"/>
      <c r="M116" s="191"/>
      <c r="N116" s="195"/>
      <c r="O116" s="193"/>
      <c r="P116" s="193"/>
    </row>
    <row r="117" spans="1:16" x14ac:dyDescent="0.25">
      <c r="A117" s="206"/>
      <c r="B117" s="220"/>
      <c r="C117" s="136"/>
      <c r="D117" s="136"/>
      <c r="E117" s="136"/>
      <c r="F117" s="206"/>
      <c r="G117" s="136"/>
      <c r="H117" s="136"/>
      <c r="I117" s="190"/>
      <c r="J117" s="191"/>
      <c r="K117" s="191"/>
      <c r="L117" s="191"/>
      <c r="M117" s="191"/>
      <c r="N117" s="195"/>
      <c r="O117" s="193"/>
      <c r="P117" s="193"/>
    </row>
    <row r="118" spans="1:16" x14ac:dyDescent="0.25">
      <c r="A118" s="206"/>
      <c r="B118" s="220"/>
      <c r="C118" s="136"/>
      <c r="D118" s="136"/>
      <c r="E118" s="136"/>
      <c r="F118" s="206"/>
      <c r="G118" s="136"/>
      <c r="H118" s="136"/>
      <c r="I118" s="190"/>
      <c r="J118" s="191"/>
      <c r="K118" s="191"/>
      <c r="L118" s="191"/>
      <c r="M118" s="191"/>
      <c r="N118" s="192"/>
      <c r="O118" s="193"/>
      <c r="P118" s="193"/>
    </row>
    <row r="119" spans="1:16" x14ac:dyDescent="0.25">
      <c r="A119" s="189"/>
      <c r="B119" s="192"/>
      <c r="C119" s="216"/>
      <c r="D119" s="216"/>
      <c r="E119" s="216"/>
      <c r="F119" s="216"/>
      <c r="G119" s="216"/>
      <c r="H119" s="216"/>
      <c r="I119" s="190"/>
      <c r="J119" s="191"/>
      <c r="K119" s="191"/>
      <c r="L119" s="191"/>
      <c r="M119" s="191"/>
      <c r="N119" s="192"/>
      <c r="O119" s="193"/>
      <c r="P119" s="193"/>
    </row>
    <row r="120" spans="1:16" x14ac:dyDescent="0.25">
      <c r="A120" s="189"/>
      <c r="B120" s="189"/>
      <c r="C120" s="189"/>
      <c r="D120" s="189"/>
      <c r="E120" s="189"/>
      <c r="F120" s="189"/>
      <c r="G120" s="189"/>
      <c r="H120" s="189"/>
      <c r="I120" s="190"/>
      <c r="J120" s="191"/>
      <c r="K120" s="191"/>
      <c r="L120" s="191"/>
      <c r="M120" s="191"/>
      <c r="N120" s="192"/>
      <c r="O120" s="193"/>
      <c r="P120" s="193"/>
    </row>
    <row r="121" spans="1:16" x14ac:dyDescent="0.25">
      <c r="A121" s="189"/>
      <c r="B121" s="189"/>
      <c r="C121" s="189"/>
      <c r="D121" s="189"/>
      <c r="E121" s="189"/>
      <c r="F121" s="189"/>
      <c r="G121" s="189"/>
      <c r="H121" s="189"/>
      <c r="I121" s="190"/>
      <c r="J121" s="191"/>
      <c r="K121" s="191"/>
      <c r="L121" s="191"/>
      <c r="M121" s="191"/>
      <c r="N121" s="192"/>
      <c r="O121" s="193"/>
      <c r="P121" s="193"/>
    </row>
    <row r="122" spans="1:16" x14ac:dyDescent="0.25">
      <c r="A122" s="189"/>
      <c r="B122" s="189"/>
      <c r="C122" s="189"/>
      <c r="D122" s="189"/>
      <c r="E122" s="189"/>
      <c r="F122" s="189"/>
      <c r="G122" s="189"/>
      <c r="H122" s="189"/>
      <c r="I122" s="190"/>
      <c r="J122" s="191"/>
      <c r="K122" s="191"/>
      <c r="L122" s="191"/>
      <c r="M122" s="191"/>
      <c r="N122" s="192"/>
      <c r="O122" s="193"/>
      <c r="P122" s="193"/>
    </row>
    <row r="123" spans="1:16" x14ac:dyDescent="0.25">
      <c r="A123" s="189"/>
      <c r="B123" s="189"/>
      <c r="C123" s="189"/>
      <c r="D123" s="189"/>
      <c r="E123" s="189"/>
      <c r="F123" s="189"/>
      <c r="G123" s="189"/>
      <c r="H123" s="189"/>
      <c r="I123" s="190"/>
      <c r="J123" s="191"/>
      <c r="K123" s="191"/>
      <c r="L123" s="191"/>
      <c r="M123" s="191"/>
      <c r="N123" s="192"/>
      <c r="O123" s="193"/>
      <c r="P123" s="193"/>
    </row>
    <row r="124" spans="1:16" x14ac:dyDescent="0.25">
      <c r="A124" s="189"/>
      <c r="B124" s="192"/>
      <c r="C124" s="216"/>
      <c r="D124" s="216"/>
      <c r="E124" s="216"/>
      <c r="F124" s="216"/>
      <c r="G124" s="216"/>
      <c r="H124" s="216"/>
      <c r="I124" s="201"/>
      <c r="J124" s="217"/>
      <c r="K124" s="217"/>
      <c r="L124" s="217"/>
      <c r="M124" s="217"/>
      <c r="N124" s="201"/>
      <c r="O124" s="193"/>
      <c r="P124" s="193"/>
    </row>
    <row r="125" spans="1:16" x14ac:dyDescent="0.25">
      <c r="A125" s="189"/>
      <c r="B125" s="206"/>
      <c r="C125" s="206"/>
      <c r="D125" s="206"/>
      <c r="E125" s="206"/>
      <c r="F125" s="206"/>
      <c r="G125" s="206"/>
      <c r="H125" s="206"/>
      <c r="I125" s="190"/>
      <c r="J125" s="191"/>
      <c r="K125" s="191"/>
      <c r="L125" s="191"/>
      <c r="M125" s="191"/>
      <c r="N125" s="201"/>
      <c r="O125" s="193"/>
      <c r="P125" s="193"/>
    </row>
    <row r="126" spans="1:16" x14ac:dyDescent="0.25">
      <c r="A126" s="189"/>
      <c r="B126" s="206"/>
      <c r="C126" s="206"/>
      <c r="D126" s="206"/>
      <c r="E126" s="206"/>
      <c r="F126" s="206"/>
      <c r="G126" s="206"/>
      <c r="H126" s="206"/>
      <c r="I126" s="190"/>
      <c r="J126" s="191"/>
      <c r="K126" s="191"/>
      <c r="L126" s="191"/>
      <c r="M126" s="191"/>
      <c r="N126" s="201"/>
      <c r="O126" s="193"/>
      <c r="P126" s="193"/>
    </row>
    <row r="127" spans="1:16" x14ac:dyDescent="0.25">
      <c r="A127" s="189"/>
      <c r="B127" s="206"/>
      <c r="C127" s="206"/>
      <c r="D127" s="206"/>
      <c r="E127" s="206"/>
      <c r="F127" s="206"/>
      <c r="G127" s="206"/>
      <c r="H127" s="206"/>
      <c r="I127" s="190"/>
      <c r="J127" s="191"/>
      <c r="K127" s="191"/>
      <c r="L127" s="191"/>
      <c r="M127" s="191"/>
      <c r="N127" s="201"/>
      <c r="O127" s="193"/>
      <c r="P127" s="193"/>
    </row>
    <row r="128" spans="1:16" x14ac:dyDescent="0.25">
      <c r="A128" s="189"/>
      <c r="B128" s="206"/>
      <c r="C128" s="206"/>
      <c r="D128" s="206"/>
      <c r="E128" s="206"/>
      <c r="F128" s="206"/>
      <c r="G128" s="206"/>
      <c r="H128" s="206"/>
      <c r="I128" s="190"/>
      <c r="J128" s="191"/>
      <c r="K128" s="191"/>
      <c r="L128" s="191"/>
      <c r="M128" s="191"/>
      <c r="N128" s="201"/>
      <c r="O128" s="193"/>
      <c r="P128" s="193"/>
    </row>
    <row r="129" spans="1:16" x14ac:dyDescent="0.25">
      <c r="A129" s="206"/>
      <c r="B129" s="136"/>
      <c r="C129" s="136"/>
      <c r="D129" s="136"/>
      <c r="E129" s="136"/>
      <c r="F129" s="136"/>
      <c r="G129" s="205"/>
      <c r="H129" s="205"/>
      <c r="I129" s="206"/>
      <c r="J129" s="207"/>
      <c r="K129" s="207"/>
      <c r="L129" s="207"/>
      <c r="M129" s="207"/>
      <c r="N129" s="208"/>
      <c r="O129" s="193"/>
      <c r="P129" s="193"/>
    </row>
    <row r="130" spans="1:16" x14ac:dyDescent="0.25">
      <c r="A130" s="230"/>
      <c r="B130" s="231"/>
      <c r="C130" s="232"/>
      <c r="D130" s="232"/>
      <c r="E130" s="233"/>
      <c r="F130" s="234"/>
      <c r="G130" s="213"/>
      <c r="H130" s="213"/>
      <c r="I130" s="232"/>
      <c r="J130" s="235"/>
      <c r="K130" s="235"/>
      <c r="L130" s="235"/>
      <c r="M130" s="235"/>
      <c r="N130" s="236"/>
      <c r="O130" s="138"/>
      <c r="P130" s="138"/>
    </row>
    <row r="131" spans="1:16" x14ac:dyDescent="0.25">
      <c r="A131" s="230"/>
      <c r="B131" s="136"/>
      <c r="C131" s="233"/>
      <c r="D131" s="233"/>
      <c r="E131" s="233"/>
      <c r="F131" s="115"/>
      <c r="G131" s="232"/>
      <c r="H131" s="232"/>
      <c r="I131" s="237"/>
      <c r="J131" s="238"/>
      <c r="K131" s="238"/>
      <c r="L131" s="238"/>
      <c r="M131" s="238"/>
      <c r="N131" s="239"/>
      <c r="O131" s="138"/>
      <c r="P131" s="138"/>
    </row>
    <row r="132" spans="1:16" x14ac:dyDescent="0.25">
      <c r="A132" s="230"/>
      <c r="B132" s="136"/>
      <c r="C132" s="233"/>
      <c r="D132" s="233"/>
      <c r="E132" s="233"/>
      <c r="F132" s="115"/>
      <c r="G132" s="232"/>
      <c r="H132" s="232"/>
      <c r="I132" s="237"/>
      <c r="J132" s="235"/>
      <c r="K132" s="235"/>
      <c r="L132" s="235"/>
      <c r="M132" s="235"/>
      <c r="N132" s="240"/>
      <c r="O132" s="138"/>
      <c r="P132" s="138"/>
    </row>
    <row r="133" spans="1:16" x14ac:dyDescent="0.25">
      <c r="A133" s="230"/>
      <c r="B133" s="136"/>
      <c r="C133" s="233"/>
      <c r="D133" s="233"/>
      <c r="E133" s="233"/>
      <c r="F133" s="115"/>
      <c r="G133" s="232"/>
      <c r="H133" s="232"/>
      <c r="I133" s="237"/>
      <c r="J133" s="235"/>
      <c r="K133" s="235"/>
      <c r="L133" s="235"/>
      <c r="M133" s="235"/>
      <c r="N133" s="240"/>
      <c r="O133" s="138"/>
      <c r="P133" s="138"/>
    </row>
    <row r="134" spans="1:16" x14ac:dyDescent="0.25">
      <c r="A134" s="230"/>
      <c r="B134" s="136"/>
      <c r="C134" s="233"/>
      <c r="D134" s="233"/>
      <c r="E134" s="233"/>
      <c r="F134" s="115"/>
      <c r="G134" s="232"/>
      <c r="H134" s="232"/>
      <c r="I134" s="237"/>
      <c r="J134" s="235"/>
      <c r="K134" s="235"/>
      <c r="L134" s="235"/>
      <c r="M134" s="235"/>
      <c r="N134" s="240"/>
      <c r="O134" s="138"/>
      <c r="P134" s="138"/>
    </row>
  </sheetData>
  <mergeCells count="15">
    <mergeCell ref="A8:A10"/>
    <mergeCell ref="B8:B10"/>
    <mergeCell ref="C8:L8"/>
    <mergeCell ref="M8:M10"/>
    <mergeCell ref="C9:D9"/>
    <mergeCell ref="E9:F9"/>
    <mergeCell ref="G9:H9"/>
    <mergeCell ref="I9:J9"/>
    <mergeCell ref="K9:L9"/>
    <mergeCell ref="A7:B7"/>
    <mergeCell ref="D4:M4"/>
    <mergeCell ref="F5:M5"/>
    <mergeCell ref="A1:M1"/>
    <mergeCell ref="A2:M2"/>
    <mergeCell ref="D3:M3"/>
  </mergeCells>
  <pageMargins left="0.70866141732283472" right="0.51181102362204722" top="0.74803149606299213" bottom="0.39370078740157483" header="0.31496062992125984" footer="0.31496062992125984"/>
  <pageSetup paperSize="9" fitToHeight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1"/>
  <sheetViews>
    <sheetView topLeftCell="B1" zoomScale="160" zoomScaleNormal="160" zoomScaleSheetLayoutView="140" workbookViewId="0">
      <pane xSplit="14" ySplit="9" topLeftCell="P276" activePane="bottomRight" state="frozen"/>
      <selection activeCell="B1" sqref="B1"/>
      <selection pane="topRight" activeCell="P1" sqref="P1"/>
      <selection pane="bottomLeft" activeCell="B10" sqref="B10"/>
      <selection pane="bottomRight" activeCell="B296" sqref="B296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444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36" t="s">
        <v>3</v>
      </c>
      <c r="B3" s="36" t="s">
        <v>4</v>
      </c>
      <c r="C3" s="595" t="s">
        <v>6</v>
      </c>
      <c r="D3" s="595" t="s">
        <v>14</v>
      </c>
      <c r="E3" s="1530" t="s">
        <v>5</v>
      </c>
      <c r="F3" s="1532"/>
      <c r="G3" s="595" t="s">
        <v>1</v>
      </c>
      <c r="H3" s="595" t="s">
        <v>2</v>
      </c>
      <c r="I3" s="595" t="s">
        <v>0</v>
      </c>
      <c r="J3" s="595" t="s">
        <v>51</v>
      </c>
      <c r="K3" s="595" t="s">
        <v>52</v>
      </c>
      <c r="L3" s="595" t="s">
        <v>275</v>
      </c>
      <c r="M3" s="1530" t="s">
        <v>8</v>
      </c>
      <c r="N3" s="1531"/>
      <c r="O3" s="1532"/>
      <c r="P3" s="861" t="s">
        <v>437</v>
      </c>
      <c r="Q3" s="893" t="s">
        <v>445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446</v>
      </c>
      <c r="AB3" s="670"/>
      <c r="AC3" s="670"/>
      <c r="AD3" s="670"/>
      <c r="AE3" s="670"/>
      <c r="AF3" s="1508" t="s">
        <v>307</v>
      </c>
      <c r="AG3" s="1515"/>
      <c r="AH3" s="1515"/>
      <c r="AI3" s="1515"/>
      <c r="AJ3" s="1516"/>
      <c r="AK3" s="671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596">
        <v>3</v>
      </c>
      <c r="Q4" s="606">
        <v>4</v>
      </c>
      <c r="R4" s="596">
        <v>7</v>
      </c>
      <c r="S4" s="596">
        <v>8</v>
      </c>
      <c r="T4" s="606">
        <v>9</v>
      </c>
      <c r="U4" s="606">
        <v>10</v>
      </c>
      <c r="V4" s="606">
        <v>11</v>
      </c>
      <c r="W4" s="606">
        <v>12</v>
      </c>
      <c r="X4" s="596">
        <v>13</v>
      </c>
      <c r="Y4" s="596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A5" si="1">P10+P153</f>
        <v>519486.85400000005</v>
      </c>
      <c r="Q5" s="679">
        <f t="shared" si="1"/>
        <v>23172.799999999999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23827.4</v>
      </c>
      <c r="AB5" s="679">
        <f t="shared" ref="AB5:AK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317720.54000000004</v>
      </c>
      <c r="AL5" s="679">
        <f t="shared" ref="AL5:AO5" si="3">AL6+AL7+AL8+AL9</f>
        <v>317720.54000000004</v>
      </c>
      <c r="AM5" s="679">
        <f>ROUND((Q5*100%/P5*100),2)</f>
        <v>4.46</v>
      </c>
      <c r="AN5" s="679">
        <f t="shared" si="3"/>
        <v>0</v>
      </c>
      <c r="AO5" s="679">
        <f t="shared" si="3"/>
        <v>0</v>
      </c>
      <c r="AP5" s="938"/>
      <c r="AQ5" s="679">
        <f>AQ10+AQ153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4">J11+J154</f>
        <v>1130844</v>
      </c>
      <c r="K6" s="3">
        <f t="shared" si="4"/>
        <v>277183.29999999993</v>
      </c>
      <c r="L6" s="3">
        <f t="shared" si="4"/>
        <v>943503.33999999985</v>
      </c>
      <c r="M6" s="3">
        <f t="shared" si="4"/>
        <v>139101.35</v>
      </c>
      <c r="N6" s="3">
        <f t="shared" si="4"/>
        <v>119048.09999999999</v>
      </c>
      <c r="O6" s="3">
        <f t="shared" si="4"/>
        <v>108418.62000000001</v>
      </c>
      <c r="P6" s="3">
        <f t="shared" ref="P6:AA6" si="5">P11+P154</f>
        <v>264162.01</v>
      </c>
      <c r="Q6" s="3">
        <f t="shared" si="5"/>
        <v>0</v>
      </c>
      <c r="R6" s="3">
        <f t="shared" si="5"/>
        <v>1128.182</v>
      </c>
      <c r="S6" s="3">
        <f t="shared" si="5"/>
        <v>4128.1819999999998</v>
      </c>
      <c r="T6" s="3">
        <f t="shared" si="5"/>
        <v>31.5</v>
      </c>
      <c r="U6" s="3">
        <f t="shared" si="5"/>
        <v>2236.8380000000002</v>
      </c>
      <c r="V6" s="3">
        <f t="shared" si="5"/>
        <v>0</v>
      </c>
      <c r="W6" s="3">
        <f t="shared" si="5"/>
        <v>0</v>
      </c>
      <c r="X6" s="3">
        <f t="shared" si="5"/>
        <v>0</v>
      </c>
      <c r="Y6" s="3">
        <f t="shared" si="5"/>
        <v>0</v>
      </c>
      <c r="Z6" s="95">
        <f t="shared" si="5"/>
        <v>0</v>
      </c>
      <c r="AA6" s="3">
        <f t="shared" si="5"/>
        <v>0</v>
      </c>
      <c r="AB6" s="3">
        <f t="shared" ref="AB6:AL6" si="6">AB11+AB154</f>
        <v>3015.1369999999997</v>
      </c>
      <c r="AC6" s="3">
        <f t="shared" si="6"/>
        <v>0</v>
      </c>
      <c r="AD6" s="3">
        <f t="shared" si="6"/>
        <v>31.5</v>
      </c>
      <c r="AE6" s="3">
        <f t="shared" si="6"/>
        <v>0</v>
      </c>
      <c r="AF6" s="3">
        <f t="shared" si="6"/>
        <v>0</v>
      </c>
      <c r="AG6" s="3">
        <f t="shared" si="6"/>
        <v>0</v>
      </c>
      <c r="AH6" s="3">
        <f t="shared" si="6"/>
        <v>0</v>
      </c>
      <c r="AI6" s="3">
        <f t="shared" si="6"/>
        <v>0</v>
      </c>
      <c r="AJ6" s="3">
        <f t="shared" si="6"/>
        <v>0</v>
      </c>
      <c r="AK6" s="3">
        <f t="shared" si="6"/>
        <v>192946.75</v>
      </c>
      <c r="AL6" s="3">
        <f t="shared" si="6"/>
        <v>192946.75</v>
      </c>
      <c r="AM6" s="385">
        <f>ROUND((Q6*100%/P6*100),2)</f>
        <v>0</v>
      </c>
      <c r="AN6" s="3">
        <f t="shared" ref="AN6:AO9" si="7">AN11+AN154</f>
        <v>0</v>
      </c>
      <c r="AO6" s="3">
        <f t="shared" si="7"/>
        <v>0</v>
      </c>
      <c r="AP6" s="632"/>
      <c r="AQ6" s="95">
        <f>AQ11+AQ154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4"/>
        <v>249930.72999999998</v>
      </c>
      <c r="K7" s="3">
        <f t="shared" si="4"/>
        <v>0</v>
      </c>
      <c r="L7" s="3">
        <f t="shared" si="4"/>
        <v>583894.28999999992</v>
      </c>
      <c r="M7" s="3">
        <f t="shared" si="4"/>
        <v>60774.350000000006</v>
      </c>
      <c r="N7" s="3">
        <f t="shared" si="4"/>
        <v>134872.99000000002</v>
      </c>
      <c r="O7" s="3">
        <f t="shared" si="4"/>
        <v>91691.959999999992</v>
      </c>
      <c r="P7" s="3">
        <f t="shared" ref="P7:AA7" si="8">P12+P155</f>
        <v>175498.53000000003</v>
      </c>
      <c r="Q7" s="3">
        <f t="shared" si="8"/>
        <v>1365.4</v>
      </c>
      <c r="R7" s="3">
        <f t="shared" si="8"/>
        <v>12156.708000000001</v>
      </c>
      <c r="S7" s="3">
        <f t="shared" si="8"/>
        <v>12573.374</v>
      </c>
      <c r="T7" s="3">
        <f t="shared" si="8"/>
        <v>22089.049000000003</v>
      </c>
      <c r="U7" s="3">
        <f t="shared" si="8"/>
        <v>21847.228999999999</v>
      </c>
      <c r="V7" s="3">
        <f t="shared" si="8"/>
        <v>6338.5969999999998</v>
      </c>
      <c r="W7" s="3">
        <f t="shared" si="8"/>
        <v>7317.3669999999993</v>
      </c>
      <c r="X7" s="3">
        <f t="shared" si="8"/>
        <v>0</v>
      </c>
      <c r="Y7" s="3">
        <f t="shared" si="8"/>
        <v>0</v>
      </c>
      <c r="Z7" s="95">
        <f t="shared" si="8"/>
        <v>0</v>
      </c>
      <c r="AA7" s="3">
        <f t="shared" si="8"/>
        <v>2020</v>
      </c>
      <c r="AB7" s="3">
        <f t="shared" ref="AB7:AL7" si="9">AB12+AB155</f>
        <v>40.5</v>
      </c>
      <c r="AC7" s="3">
        <f t="shared" si="9"/>
        <v>4148.6930000000002</v>
      </c>
      <c r="AD7" s="3">
        <f t="shared" si="9"/>
        <v>72764.314890000009</v>
      </c>
      <c r="AE7" s="3">
        <f t="shared" si="9"/>
        <v>0</v>
      </c>
      <c r="AF7" s="3">
        <f t="shared" si="9"/>
        <v>0</v>
      </c>
      <c r="AG7" s="3">
        <f t="shared" si="9"/>
        <v>0</v>
      </c>
      <c r="AH7" s="3">
        <f t="shared" si="9"/>
        <v>0</v>
      </c>
      <c r="AI7" s="3">
        <f t="shared" si="9"/>
        <v>0</v>
      </c>
      <c r="AJ7" s="3">
        <f t="shared" si="9"/>
        <v>0</v>
      </c>
      <c r="AK7" s="3">
        <f t="shared" si="9"/>
        <v>124773.79000000001</v>
      </c>
      <c r="AL7" s="3">
        <f t="shared" si="9"/>
        <v>124773.79000000001</v>
      </c>
      <c r="AM7" s="385">
        <f>ROUND((Q7*100%/P7*100),2)</f>
        <v>0.78</v>
      </c>
      <c r="AN7" s="3">
        <f t="shared" si="7"/>
        <v>0</v>
      </c>
      <c r="AO7" s="3">
        <f t="shared" si="7"/>
        <v>0</v>
      </c>
      <c r="AP7" s="632"/>
      <c r="AQ7" s="95">
        <f>AQ12+AQ155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4"/>
        <v>23417.360000000001</v>
      </c>
      <c r="K8" s="3">
        <f t="shared" si="4"/>
        <v>0</v>
      </c>
      <c r="L8" s="3">
        <f t="shared" si="4"/>
        <v>667536.91</v>
      </c>
      <c r="M8" s="3">
        <f t="shared" si="4"/>
        <v>627881.75</v>
      </c>
      <c r="N8" s="3">
        <f t="shared" si="4"/>
        <v>529727.44999999995</v>
      </c>
      <c r="O8" s="3">
        <f t="shared" si="4"/>
        <v>297742.64</v>
      </c>
      <c r="P8" s="3">
        <f t="shared" ref="P8:AA8" si="10">P13+P156</f>
        <v>0</v>
      </c>
      <c r="Q8" s="3">
        <f t="shared" si="10"/>
        <v>21805.82</v>
      </c>
      <c r="R8" s="3">
        <f t="shared" si="10"/>
        <v>21705.95</v>
      </c>
      <c r="S8" s="3">
        <f t="shared" si="10"/>
        <v>21705.95</v>
      </c>
      <c r="T8" s="3">
        <f t="shared" si="10"/>
        <v>67610.615609999993</v>
      </c>
      <c r="U8" s="3">
        <f t="shared" si="10"/>
        <v>67610.615609999993</v>
      </c>
      <c r="V8" s="3">
        <f t="shared" si="10"/>
        <v>50383.255000000005</v>
      </c>
      <c r="W8" s="3">
        <f t="shared" si="10"/>
        <v>50383.255000000005</v>
      </c>
      <c r="X8" s="3">
        <f t="shared" si="10"/>
        <v>21705.95</v>
      </c>
      <c r="Y8" s="3">
        <f t="shared" si="10"/>
        <v>21705.95</v>
      </c>
      <c r="Z8" s="95">
        <f t="shared" si="10"/>
        <v>0</v>
      </c>
      <c r="AA8" s="3">
        <f t="shared" si="10"/>
        <v>21805.82</v>
      </c>
      <c r="AB8" s="3">
        <f t="shared" ref="AB8:AL8" si="11">AB13+AB156</f>
        <v>17522.268</v>
      </c>
      <c r="AC8" s="3">
        <f t="shared" si="11"/>
        <v>32106.996000000003</v>
      </c>
      <c r="AD8" s="3">
        <f t="shared" si="11"/>
        <v>0</v>
      </c>
      <c r="AE8" s="3">
        <f t="shared" si="11"/>
        <v>0</v>
      </c>
      <c r="AF8" s="3">
        <f t="shared" si="11"/>
        <v>0</v>
      </c>
      <c r="AG8" s="3">
        <f t="shared" si="11"/>
        <v>0</v>
      </c>
      <c r="AH8" s="3">
        <f t="shared" si="11"/>
        <v>0</v>
      </c>
      <c r="AI8" s="3">
        <f t="shared" si="11"/>
        <v>0</v>
      </c>
      <c r="AJ8" s="3">
        <f t="shared" si="11"/>
        <v>0</v>
      </c>
      <c r="AK8" s="3">
        <f t="shared" si="11"/>
        <v>0</v>
      </c>
      <c r="AL8" s="3">
        <f t="shared" si="11"/>
        <v>0</v>
      </c>
      <c r="AM8" s="385">
        <v>0</v>
      </c>
      <c r="AN8" s="3">
        <f t="shared" si="7"/>
        <v>0</v>
      </c>
      <c r="AO8" s="3">
        <f t="shared" si="7"/>
        <v>0</v>
      </c>
      <c r="AP8" s="632"/>
      <c r="AQ8" s="95">
        <f>AQ13+AQ156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4"/>
        <v>702203.72</v>
      </c>
      <c r="K9" s="3">
        <f t="shared" si="4"/>
        <v>702203.72</v>
      </c>
      <c r="L9" s="3">
        <f t="shared" si="4"/>
        <v>789617.84</v>
      </c>
      <c r="M9" s="3">
        <f t="shared" si="4"/>
        <v>348941.19</v>
      </c>
      <c r="N9" s="3">
        <f t="shared" si="4"/>
        <v>196473.11</v>
      </c>
      <c r="O9" s="3">
        <f t="shared" si="4"/>
        <v>1</v>
      </c>
      <c r="P9" s="3">
        <f t="shared" ref="P9:AA9" si="12">P14+P157</f>
        <v>0</v>
      </c>
      <c r="Q9" s="3">
        <f t="shared" si="12"/>
        <v>0</v>
      </c>
      <c r="R9" s="3">
        <f t="shared" si="12"/>
        <v>37814.324000000001</v>
      </c>
      <c r="S9" s="3">
        <f t="shared" si="12"/>
        <v>37814.324000000001</v>
      </c>
      <c r="T9" s="3">
        <f t="shared" si="12"/>
        <v>0</v>
      </c>
      <c r="U9" s="3">
        <f t="shared" si="12"/>
        <v>0</v>
      </c>
      <c r="V9" s="3">
        <f t="shared" si="12"/>
        <v>0</v>
      </c>
      <c r="W9" s="3">
        <f t="shared" si="12"/>
        <v>0</v>
      </c>
      <c r="X9" s="3">
        <f t="shared" si="12"/>
        <v>0</v>
      </c>
      <c r="Y9" s="3">
        <f t="shared" si="12"/>
        <v>0</v>
      </c>
      <c r="Z9" s="95">
        <f t="shared" si="12"/>
        <v>0</v>
      </c>
      <c r="AA9" s="3">
        <f t="shared" si="12"/>
        <v>0</v>
      </c>
      <c r="AB9" s="3">
        <f t="shared" ref="AB9:AL9" si="13">AB14+AB157</f>
        <v>0</v>
      </c>
      <c r="AC9" s="3">
        <f t="shared" si="13"/>
        <v>0</v>
      </c>
      <c r="AD9" s="3">
        <f t="shared" si="13"/>
        <v>0</v>
      </c>
      <c r="AE9" s="3">
        <f t="shared" si="13"/>
        <v>0</v>
      </c>
      <c r="AF9" s="3">
        <f t="shared" si="13"/>
        <v>0</v>
      </c>
      <c r="AG9" s="3">
        <f t="shared" si="13"/>
        <v>0</v>
      </c>
      <c r="AH9" s="3">
        <f t="shared" si="13"/>
        <v>0</v>
      </c>
      <c r="AI9" s="3">
        <f t="shared" si="13"/>
        <v>0</v>
      </c>
      <c r="AJ9" s="3">
        <f t="shared" si="13"/>
        <v>0</v>
      </c>
      <c r="AK9" s="3">
        <f t="shared" si="13"/>
        <v>0</v>
      </c>
      <c r="AL9" s="3">
        <f t="shared" si="13"/>
        <v>0</v>
      </c>
      <c r="AM9" s="385">
        <v>0</v>
      </c>
      <c r="AN9" s="3">
        <f t="shared" si="7"/>
        <v>0</v>
      </c>
      <c r="AO9" s="3">
        <f t="shared" si="7"/>
        <v>0</v>
      </c>
      <c r="AP9" s="632"/>
      <c r="AQ9" s="95">
        <f>AQ14+AQ157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14">J11+J12+J13+J14</f>
        <v>1940430.69</v>
      </c>
      <c r="K10" s="922">
        <f t="shared" si="14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14"/>
        <v>363282.47</v>
      </c>
      <c r="O10" s="922">
        <f t="shared" si="14"/>
        <v>116582.55</v>
      </c>
      <c r="P10" s="923">
        <f>P19+P33+P36+P47+P58+P68+P80+P84+P91+P94+P97+P100+P106+P111+P114+P118+P123+P136+P40+P62+P130+P133+P72+P74+P141+P146</f>
        <v>226744.65400000001</v>
      </c>
      <c r="Q10" s="923">
        <f t="shared" ref="Q10:AA10" si="15">Q19+Q33+Q36+Q47+Q58+Q68+Q80+Q84+Q91+Q94+Q97+Q100+Q106+Q111+Q114+Q118+Q123+Q136+Q40+Q62+Q130+Q133+Q72+Q74+Q141+Q146</f>
        <v>76.58</v>
      </c>
      <c r="R10" s="923">
        <f t="shared" si="15"/>
        <v>49571.563999999998</v>
      </c>
      <c r="S10" s="923">
        <f t="shared" si="15"/>
        <v>49988.229999999996</v>
      </c>
      <c r="T10" s="923">
        <f t="shared" si="15"/>
        <v>65950.61860999999</v>
      </c>
      <c r="U10" s="923">
        <f t="shared" si="15"/>
        <v>65705.398609999989</v>
      </c>
      <c r="V10" s="923">
        <f t="shared" si="15"/>
        <v>2007.1869999999999</v>
      </c>
      <c r="W10" s="923">
        <f t="shared" si="15"/>
        <v>2047.0429999999999</v>
      </c>
      <c r="X10" s="923">
        <f t="shared" si="15"/>
        <v>0</v>
      </c>
      <c r="Y10" s="923">
        <f t="shared" si="15"/>
        <v>0</v>
      </c>
      <c r="Z10" s="923">
        <f t="shared" si="15"/>
        <v>0</v>
      </c>
      <c r="AA10" s="923">
        <f t="shared" si="15"/>
        <v>76.58</v>
      </c>
      <c r="AB10" s="923">
        <f t="shared" ref="AB10:AO10" si="16">AB11+AB12+AB13+AB14</f>
        <v>106.83</v>
      </c>
      <c r="AC10" s="923">
        <f t="shared" si="16"/>
        <v>914.28300000000002</v>
      </c>
      <c r="AD10" s="923">
        <f t="shared" si="16"/>
        <v>3005.3339999999998</v>
      </c>
      <c r="AE10" s="923">
        <f t="shared" si="16"/>
        <v>0</v>
      </c>
      <c r="AF10" s="923">
        <f t="shared" si="16"/>
        <v>0</v>
      </c>
      <c r="AG10" s="923">
        <f t="shared" si="16"/>
        <v>0</v>
      </c>
      <c r="AH10" s="923">
        <f t="shared" si="16"/>
        <v>0</v>
      </c>
      <c r="AI10" s="923">
        <f t="shared" si="16"/>
        <v>0</v>
      </c>
      <c r="AJ10" s="923">
        <f t="shared" si="16"/>
        <v>0</v>
      </c>
      <c r="AK10" s="923">
        <f t="shared" si="16"/>
        <v>170072.3</v>
      </c>
      <c r="AL10" s="923">
        <f t="shared" si="16"/>
        <v>170072.3</v>
      </c>
      <c r="AM10" s="923" t="e">
        <f t="shared" si="16"/>
        <v>#DIV/0!</v>
      </c>
      <c r="AN10" s="923">
        <f t="shared" si="16"/>
        <v>0</v>
      </c>
      <c r="AO10" s="923">
        <f t="shared" si="16"/>
        <v>0</v>
      </c>
      <c r="AP10" s="924"/>
      <c r="AQ10" s="923">
        <f>AQ19+AQ33+AQ36+AQ47+AQ58+AQ68+AQ80+AQ84+AQ91+AQ94+AQ97+AQ100+AQ106+AQ111+AQ114+AQ118+AQ123+AQ136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17">J15+J126</f>
        <v>977955.46</v>
      </c>
      <c r="K11" s="47">
        <f t="shared" si="17"/>
        <v>251829.19999999995</v>
      </c>
      <c r="L11" s="47">
        <f t="shared" si="17"/>
        <v>750480.15999999992</v>
      </c>
      <c r="M11" s="47">
        <f t="shared" si="17"/>
        <v>96658.23</v>
      </c>
      <c r="N11" s="47">
        <f t="shared" si="17"/>
        <v>83716.939999999988</v>
      </c>
      <c r="O11" s="47">
        <f t="shared" si="17"/>
        <v>78886.680000000008</v>
      </c>
      <c r="P11" s="47">
        <f t="shared" si="17"/>
        <v>164000</v>
      </c>
      <c r="Q11" s="47">
        <f t="shared" si="17"/>
        <v>0</v>
      </c>
      <c r="R11" s="47">
        <f t="shared" si="17"/>
        <v>384.71</v>
      </c>
      <c r="S11" s="47">
        <f t="shared" si="17"/>
        <v>384.71</v>
      </c>
      <c r="T11" s="47">
        <f t="shared" si="17"/>
        <v>0</v>
      </c>
      <c r="U11" s="47">
        <f t="shared" si="17"/>
        <v>0</v>
      </c>
      <c r="V11" s="47">
        <f t="shared" si="17"/>
        <v>0</v>
      </c>
      <c r="W11" s="47">
        <f t="shared" si="17"/>
        <v>0</v>
      </c>
      <c r="X11" s="47">
        <f t="shared" si="17"/>
        <v>0</v>
      </c>
      <c r="Y11" s="47">
        <f t="shared" si="17"/>
        <v>0</v>
      </c>
      <c r="Z11" s="96"/>
      <c r="AA11" s="47">
        <f t="shared" ref="AA11:AO11" si="18">AA15+AA126</f>
        <v>0</v>
      </c>
      <c r="AB11" s="47">
        <f t="shared" si="18"/>
        <v>66.33</v>
      </c>
      <c r="AC11" s="47">
        <f t="shared" si="18"/>
        <v>0</v>
      </c>
      <c r="AD11" s="47">
        <f t="shared" si="18"/>
        <v>0</v>
      </c>
      <c r="AE11" s="47">
        <f t="shared" si="18"/>
        <v>0</v>
      </c>
      <c r="AF11" s="47">
        <f t="shared" si="18"/>
        <v>0</v>
      </c>
      <c r="AG11" s="47">
        <f t="shared" si="18"/>
        <v>0</v>
      </c>
      <c r="AH11" s="47">
        <f t="shared" si="18"/>
        <v>0</v>
      </c>
      <c r="AI11" s="47">
        <f t="shared" si="18"/>
        <v>0</v>
      </c>
      <c r="AJ11" s="47">
        <f t="shared" si="18"/>
        <v>0</v>
      </c>
      <c r="AK11" s="47">
        <f t="shared" si="18"/>
        <v>164000</v>
      </c>
      <c r="AL11" s="47">
        <f t="shared" si="18"/>
        <v>164000</v>
      </c>
      <c r="AM11" s="47">
        <f t="shared" si="18"/>
        <v>0</v>
      </c>
      <c r="AN11" s="47">
        <f t="shared" si="18"/>
        <v>0</v>
      </c>
      <c r="AO11" s="47">
        <f t="shared" si="18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J16+J44+J52+J65+J77+J127</f>
        <v>236854.15</v>
      </c>
      <c r="K12" s="47">
        <f>K16+K65+K127</f>
        <v>0</v>
      </c>
      <c r="L12" s="47">
        <f t="shared" ref="L12:Y12" si="19">L16+L44+L52+L65+L77+L127</f>
        <v>230331.37</v>
      </c>
      <c r="M12" s="47">
        <f t="shared" si="19"/>
        <v>24568.73</v>
      </c>
      <c r="N12" s="47">
        <f t="shared" si="19"/>
        <v>46592.61</v>
      </c>
      <c r="O12" s="47">
        <f t="shared" si="19"/>
        <v>37695.869999999995</v>
      </c>
      <c r="P12" s="47">
        <f t="shared" si="19"/>
        <v>43488.07</v>
      </c>
      <c r="Q12" s="47">
        <f t="shared" si="19"/>
        <v>75</v>
      </c>
      <c r="R12" s="47">
        <f t="shared" si="19"/>
        <v>11372.53</v>
      </c>
      <c r="S12" s="47">
        <f t="shared" si="19"/>
        <v>11789.196</v>
      </c>
      <c r="T12" s="47">
        <f t="shared" si="19"/>
        <v>18085.953000000001</v>
      </c>
      <c r="U12" s="47">
        <f t="shared" si="19"/>
        <v>17840.733</v>
      </c>
      <c r="V12" s="47">
        <f t="shared" si="19"/>
        <v>2007.1869999999999</v>
      </c>
      <c r="W12" s="47">
        <f t="shared" si="19"/>
        <v>2047.0429999999999</v>
      </c>
      <c r="X12" s="47">
        <f t="shared" si="19"/>
        <v>0</v>
      </c>
      <c r="Y12" s="47">
        <f t="shared" si="19"/>
        <v>0</v>
      </c>
      <c r="Z12" s="96"/>
      <c r="AA12" s="47">
        <f t="shared" ref="AA12:AO12" si="20">AA16+AA44+AA52+AA65+AA77+AA127</f>
        <v>75</v>
      </c>
      <c r="AB12" s="47">
        <f t="shared" si="20"/>
        <v>40.5</v>
      </c>
      <c r="AC12" s="47">
        <f t="shared" si="20"/>
        <v>907.08299999999997</v>
      </c>
      <c r="AD12" s="47">
        <f t="shared" si="20"/>
        <v>3005.3339999999998</v>
      </c>
      <c r="AE12" s="47">
        <f t="shared" si="20"/>
        <v>0</v>
      </c>
      <c r="AF12" s="47">
        <f t="shared" si="20"/>
        <v>0</v>
      </c>
      <c r="AG12" s="47">
        <f t="shared" si="20"/>
        <v>0</v>
      </c>
      <c r="AH12" s="47">
        <f t="shared" si="20"/>
        <v>0</v>
      </c>
      <c r="AI12" s="47">
        <f t="shared" si="20"/>
        <v>0</v>
      </c>
      <c r="AJ12" s="47">
        <f t="shared" si="20"/>
        <v>0</v>
      </c>
      <c r="AK12" s="47">
        <f t="shared" si="20"/>
        <v>6072.3000000000011</v>
      </c>
      <c r="AL12" s="47">
        <f t="shared" si="20"/>
        <v>6072.3000000000011</v>
      </c>
      <c r="AM12" s="47" t="e">
        <f t="shared" si="20"/>
        <v>#DIV/0!</v>
      </c>
      <c r="AN12" s="47">
        <f t="shared" si="20"/>
        <v>0</v>
      </c>
      <c r="AO12" s="47">
        <f t="shared" si="20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21">J17+J66+J128+J45</f>
        <v>23417.360000000001</v>
      </c>
      <c r="K13" s="47">
        <f t="shared" si="21"/>
        <v>0</v>
      </c>
      <c r="L13" s="47">
        <f t="shared" si="21"/>
        <v>172003.82</v>
      </c>
      <c r="M13" s="47">
        <f t="shared" si="21"/>
        <v>135504.01</v>
      </c>
      <c r="N13" s="47">
        <f t="shared" si="21"/>
        <v>36499.81</v>
      </c>
      <c r="O13" s="47">
        <f t="shared" si="21"/>
        <v>0</v>
      </c>
      <c r="P13" s="47">
        <f t="shared" si="21"/>
        <v>0</v>
      </c>
      <c r="Q13" s="47">
        <f t="shared" si="21"/>
        <v>0</v>
      </c>
      <c r="R13" s="47">
        <f t="shared" si="21"/>
        <v>0</v>
      </c>
      <c r="S13" s="47">
        <f t="shared" si="21"/>
        <v>0</v>
      </c>
      <c r="T13" s="47">
        <f t="shared" si="21"/>
        <v>45904.665609999996</v>
      </c>
      <c r="U13" s="47">
        <f t="shared" si="21"/>
        <v>45904.665609999996</v>
      </c>
      <c r="V13" s="47">
        <f t="shared" si="21"/>
        <v>0</v>
      </c>
      <c r="W13" s="47">
        <f t="shared" si="21"/>
        <v>0</v>
      </c>
      <c r="X13" s="47">
        <f t="shared" si="21"/>
        <v>0</v>
      </c>
      <c r="Y13" s="47">
        <f t="shared" si="21"/>
        <v>0</v>
      </c>
      <c r="Z13" s="96"/>
      <c r="AA13" s="47">
        <f t="shared" ref="AA13:AO13" si="22">AA17+AA66+AA128+AA45</f>
        <v>0</v>
      </c>
      <c r="AB13" s="47">
        <f t="shared" si="22"/>
        <v>0</v>
      </c>
      <c r="AC13" s="47">
        <f t="shared" si="22"/>
        <v>7.2</v>
      </c>
      <c r="AD13" s="47">
        <f t="shared" si="22"/>
        <v>0</v>
      </c>
      <c r="AE13" s="47">
        <f t="shared" si="22"/>
        <v>0</v>
      </c>
      <c r="AF13" s="47">
        <f t="shared" si="22"/>
        <v>0</v>
      </c>
      <c r="AG13" s="47">
        <f t="shared" si="22"/>
        <v>0</v>
      </c>
      <c r="AH13" s="47">
        <f t="shared" si="22"/>
        <v>0</v>
      </c>
      <c r="AI13" s="47">
        <f t="shared" si="22"/>
        <v>0</v>
      </c>
      <c r="AJ13" s="47">
        <f t="shared" si="22"/>
        <v>0</v>
      </c>
      <c r="AK13" s="47">
        <f t="shared" si="22"/>
        <v>0</v>
      </c>
      <c r="AL13" s="47">
        <f t="shared" si="22"/>
        <v>0</v>
      </c>
      <c r="AM13" s="47">
        <f t="shared" si="22"/>
        <v>0</v>
      </c>
      <c r="AN13" s="47">
        <f t="shared" si="22"/>
        <v>0</v>
      </c>
      <c r="AO13" s="47">
        <f t="shared" si="22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23">J18+J67+J129</f>
        <v>702203.72</v>
      </c>
      <c r="K14" s="607">
        <f t="shared" si="23"/>
        <v>702203.72</v>
      </c>
      <c r="L14" s="607">
        <f t="shared" si="23"/>
        <v>789617.84</v>
      </c>
      <c r="M14" s="607">
        <f t="shared" si="23"/>
        <v>348941.19</v>
      </c>
      <c r="N14" s="607">
        <f t="shared" si="23"/>
        <v>196473.11</v>
      </c>
      <c r="O14" s="607">
        <f t="shared" si="23"/>
        <v>0</v>
      </c>
      <c r="P14" s="607">
        <f t="shared" si="23"/>
        <v>0</v>
      </c>
      <c r="Q14" s="607">
        <f t="shared" si="23"/>
        <v>0</v>
      </c>
      <c r="R14" s="607">
        <f t="shared" si="23"/>
        <v>37814.324000000001</v>
      </c>
      <c r="S14" s="607">
        <f t="shared" si="23"/>
        <v>37814.324000000001</v>
      </c>
      <c r="T14" s="607">
        <f t="shared" si="23"/>
        <v>0</v>
      </c>
      <c r="U14" s="607">
        <f t="shared" si="23"/>
        <v>0</v>
      </c>
      <c r="V14" s="607">
        <f t="shared" si="23"/>
        <v>0</v>
      </c>
      <c r="W14" s="607">
        <f t="shared" si="23"/>
        <v>0</v>
      </c>
      <c r="X14" s="607">
        <f t="shared" si="23"/>
        <v>0</v>
      </c>
      <c r="Y14" s="607">
        <f t="shared" si="23"/>
        <v>0</v>
      </c>
      <c r="Z14" s="674"/>
      <c r="AA14" s="607">
        <f t="shared" ref="AA14:AO14" si="24">AA18+AA67+AA129</f>
        <v>0</v>
      </c>
      <c r="AB14" s="607">
        <f t="shared" si="24"/>
        <v>0</v>
      </c>
      <c r="AC14" s="607">
        <f t="shared" si="24"/>
        <v>0</v>
      </c>
      <c r="AD14" s="607">
        <f t="shared" si="24"/>
        <v>0</v>
      </c>
      <c r="AE14" s="607">
        <f t="shared" si="24"/>
        <v>0</v>
      </c>
      <c r="AF14" s="607">
        <f t="shared" si="24"/>
        <v>0</v>
      </c>
      <c r="AG14" s="607">
        <f t="shared" si="24"/>
        <v>0</v>
      </c>
      <c r="AH14" s="607">
        <f t="shared" si="24"/>
        <v>0</v>
      </c>
      <c r="AI14" s="607">
        <f t="shared" si="24"/>
        <v>0</v>
      </c>
      <c r="AJ14" s="607">
        <f t="shared" si="24"/>
        <v>0</v>
      </c>
      <c r="AK14" s="607">
        <f t="shared" si="24"/>
        <v>0</v>
      </c>
      <c r="AL14" s="607">
        <f t="shared" si="24"/>
        <v>0</v>
      </c>
      <c r="AM14" s="607">
        <f t="shared" si="24"/>
        <v>0</v>
      </c>
      <c r="AN14" s="607">
        <f t="shared" si="24"/>
        <v>0</v>
      </c>
      <c r="AO14" s="607">
        <f t="shared" si="24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25">J20+J33+J36</f>
        <v>977955.46</v>
      </c>
      <c r="K15" s="47">
        <f t="shared" si="25"/>
        <v>251829.19999999995</v>
      </c>
      <c r="L15" s="47">
        <f t="shared" si="25"/>
        <v>750480.15999999992</v>
      </c>
      <c r="M15" s="47">
        <f t="shared" si="25"/>
        <v>96658.23</v>
      </c>
      <c r="N15" s="47">
        <f t="shared" si="25"/>
        <v>83716.939999999988</v>
      </c>
      <c r="O15" s="47">
        <f t="shared" si="25"/>
        <v>78886.680000000008</v>
      </c>
      <c r="P15" s="47">
        <f t="shared" si="25"/>
        <v>164000</v>
      </c>
      <c r="Q15" s="47">
        <f t="shared" si="25"/>
        <v>0</v>
      </c>
      <c r="R15" s="47">
        <f t="shared" si="25"/>
        <v>384.71</v>
      </c>
      <c r="S15" s="47">
        <f t="shared" si="25"/>
        <v>384.71</v>
      </c>
      <c r="T15" s="47">
        <f t="shared" si="25"/>
        <v>0</v>
      </c>
      <c r="U15" s="47">
        <f t="shared" si="25"/>
        <v>0</v>
      </c>
      <c r="V15" s="47">
        <f t="shared" si="25"/>
        <v>0</v>
      </c>
      <c r="W15" s="47">
        <f t="shared" si="25"/>
        <v>0</v>
      </c>
      <c r="X15" s="47">
        <f t="shared" si="25"/>
        <v>0</v>
      </c>
      <c r="Y15" s="47">
        <f t="shared" si="25"/>
        <v>0</v>
      </c>
      <c r="Z15" s="96"/>
      <c r="AA15" s="47">
        <f t="shared" ref="AA15:AO15" si="26">AA20+AA33+AA36</f>
        <v>0</v>
      </c>
      <c r="AB15" s="47">
        <f t="shared" si="26"/>
        <v>66.33</v>
      </c>
      <c r="AC15" s="47">
        <f t="shared" si="26"/>
        <v>0</v>
      </c>
      <c r="AD15" s="47">
        <f t="shared" si="26"/>
        <v>0</v>
      </c>
      <c r="AE15" s="47">
        <f t="shared" si="26"/>
        <v>0</v>
      </c>
      <c r="AF15" s="47">
        <f t="shared" si="26"/>
        <v>0</v>
      </c>
      <c r="AG15" s="47">
        <f t="shared" si="26"/>
        <v>0</v>
      </c>
      <c r="AH15" s="47">
        <f t="shared" si="26"/>
        <v>0</v>
      </c>
      <c r="AI15" s="47">
        <f t="shared" si="26"/>
        <v>0</v>
      </c>
      <c r="AJ15" s="47">
        <f t="shared" si="26"/>
        <v>0</v>
      </c>
      <c r="AK15" s="47">
        <f t="shared" si="26"/>
        <v>164000</v>
      </c>
      <c r="AL15" s="47">
        <f t="shared" si="26"/>
        <v>164000</v>
      </c>
      <c r="AM15" s="47">
        <f t="shared" si="26"/>
        <v>0</v>
      </c>
      <c r="AN15" s="47">
        <f t="shared" si="26"/>
        <v>0</v>
      </c>
      <c r="AO15" s="47">
        <f t="shared" si="26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27">R30</f>
        <v>0</v>
      </c>
      <c r="S17" s="47">
        <f t="shared" si="27"/>
        <v>0</v>
      </c>
      <c r="T17" s="47">
        <f t="shared" si="27"/>
        <v>45904.665609999996</v>
      </c>
      <c r="U17" s="47">
        <f>U30</f>
        <v>45904.665609999996</v>
      </c>
      <c r="V17" s="47">
        <f t="shared" si="27"/>
        <v>0</v>
      </c>
      <c r="W17" s="47">
        <f t="shared" si="27"/>
        <v>0</v>
      </c>
      <c r="X17" s="47">
        <f t="shared" si="27"/>
        <v>0</v>
      </c>
      <c r="Y17" s="47">
        <f t="shared" si="27"/>
        <v>0</v>
      </c>
      <c r="Z17" s="96"/>
      <c r="AA17" s="47">
        <f t="shared" si="27"/>
        <v>0</v>
      </c>
      <c r="AB17" s="47">
        <f t="shared" si="27"/>
        <v>0</v>
      </c>
      <c r="AC17" s="47">
        <f t="shared" si="27"/>
        <v>0</v>
      </c>
      <c r="AD17" s="47">
        <f t="shared" si="27"/>
        <v>0</v>
      </c>
      <c r="AE17" s="47">
        <f t="shared" si="27"/>
        <v>0</v>
      </c>
      <c r="AF17" s="47">
        <f t="shared" si="27"/>
        <v>0</v>
      </c>
      <c r="AG17" s="47">
        <f t="shared" si="27"/>
        <v>0</v>
      </c>
      <c r="AH17" s="47">
        <f t="shared" si="27"/>
        <v>0</v>
      </c>
      <c r="AI17" s="47">
        <f t="shared" si="27"/>
        <v>0</v>
      </c>
      <c r="AJ17" s="47">
        <f t="shared" si="27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P18" si="28">J28</f>
        <v>702203.72</v>
      </c>
      <c r="K18" s="47">
        <f t="shared" si="28"/>
        <v>702203.72</v>
      </c>
      <c r="L18" s="47">
        <f t="shared" si="28"/>
        <v>789617.84</v>
      </c>
      <c r="M18" s="47">
        <f t="shared" si="28"/>
        <v>348941.19</v>
      </c>
      <c r="N18" s="47">
        <f t="shared" si="28"/>
        <v>196473.11</v>
      </c>
      <c r="O18" s="47">
        <f t="shared" si="28"/>
        <v>0</v>
      </c>
      <c r="P18" s="47">
        <f t="shared" si="28"/>
        <v>0</v>
      </c>
      <c r="Q18" s="47">
        <f t="shared" ref="Q18:AO18" si="29">Q28</f>
        <v>0</v>
      </c>
      <c r="R18" s="47">
        <f t="shared" si="29"/>
        <v>37814.324000000001</v>
      </c>
      <c r="S18" s="47">
        <f t="shared" si="29"/>
        <v>37814.324000000001</v>
      </c>
      <c r="T18" s="47">
        <f t="shared" si="29"/>
        <v>0</v>
      </c>
      <c r="U18" s="47">
        <f t="shared" si="29"/>
        <v>0</v>
      </c>
      <c r="V18" s="47">
        <f t="shared" si="29"/>
        <v>0</v>
      </c>
      <c r="W18" s="47">
        <f t="shared" si="29"/>
        <v>0</v>
      </c>
      <c r="X18" s="47">
        <f t="shared" si="29"/>
        <v>0</v>
      </c>
      <c r="Y18" s="47">
        <f t="shared" si="29"/>
        <v>0</v>
      </c>
      <c r="Z18" s="96"/>
      <c r="AA18" s="47">
        <f t="shared" si="29"/>
        <v>0</v>
      </c>
      <c r="AB18" s="47">
        <f t="shared" si="29"/>
        <v>0</v>
      </c>
      <c r="AC18" s="47">
        <f t="shared" si="29"/>
        <v>0</v>
      </c>
      <c r="AD18" s="47">
        <f t="shared" si="29"/>
        <v>0</v>
      </c>
      <c r="AE18" s="47">
        <f t="shared" si="29"/>
        <v>0</v>
      </c>
      <c r="AF18" s="47">
        <f t="shared" si="29"/>
        <v>0</v>
      </c>
      <c r="AG18" s="47">
        <f t="shared" si="29"/>
        <v>0</v>
      </c>
      <c r="AH18" s="47">
        <f t="shared" si="29"/>
        <v>0</v>
      </c>
      <c r="AI18" s="47">
        <f t="shared" si="29"/>
        <v>0</v>
      </c>
      <c r="AJ18" s="47">
        <f t="shared" si="29"/>
        <v>0</v>
      </c>
      <c r="AK18" s="47">
        <f t="shared" si="29"/>
        <v>0</v>
      </c>
      <c r="AL18" s="47">
        <f t="shared" si="29"/>
        <v>0</v>
      </c>
      <c r="AM18" s="47">
        <f t="shared" si="29"/>
        <v>0</v>
      </c>
      <c r="AN18" s="47">
        <f t="shared" si="29"/>
        <v>0</v>
      </c>
      <c r="AO18" s="47">
        <f t="shared" si="29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30">L20+L28+L30</f>
        <v>1083165.3899999999</v>
      </c>
      <c r="M19" s="318">
        <f t="shared" si="30"/>
        <v>560860.31000000006</v>
      </c>
      <c r="N19" s="318">
        <f t="shared" si="30"/>
        <v>232972.91999999998</v>
      </c>
      <c r="O19" s="318">
        <f t="shared" si="30"/>
        <v>0</v>
      </c>
      <c r="P19" s="318">
        <f t="shared" si="30"/>
        <v>0</v>
      </c>
      <c r="Q19" s="318">
        <f>Q20+Q28+Q30</f>
        <v>0</v>
      </c>
      <c r="R19" s="318">
        <f t="shared" ref="R19:X19" si="31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31"/>
        <v>0</v>
      </c>
      <c r="W19" s="318">
        <f t="shared" si="31"/>
        <v>0</v>
      </c>
      <c r="X19" s="318">
        <f t="shared" si="31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32">AB20+AB28</f>
        <v>66.33</v>
      </c>
      <c r="AC19" s="318">
        <f t="shared" si="32"/>
        <v>0</v>
      </c>
      <c r="AD19" s="318">
        <f t="shared" si="32"/>
        <v>0</v>
      </c>
      <c r="AE19" s="318">
        <f t="shared" si="32"/>
        <v>0</v>
      </c>
      <c r="AF19" s="318">
        <f t="shared" si="32"/>
        <v>0</v>
      </c>
      <c r="AG19" s="318">
        <f t="shared" si="32"/>
        <v>0</v>
      </c>
      <c r="AH19" s="318">
        <f t="shared" si="32"/>
        <v>0</v>
      </c>
      <c r="AI19" s="318">
        <f t="shared" si="32"/>
        <v>0</v>
      </c>
      <c r="AJ19" s="318">
        <f t="shared" si="32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585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33">SUM(R21:R27)</f>
        <v>384.71</v>
      </c>
      <c r="S20" s="47">
        <f t="shared" si="33"/>
        <v>384.71</v>
      </c>
      <c r="T20" s="47">
        <f t="shared" si="33"/>
        <v>0</v>
      </c>
      <c r="U20" s="47">
        <f t="shared" si="33"/>
        <v>0</v>
      </c>
      <c r="V20" s="47">
        <f t="shared" si="33"/>
        <v>0</v>
      </c>
      <c r="W20" s="47">
        <f>SUM(W21:W27)</f>
        <v>0</v>
      </c>
      <c r="X20" s="47">
        <f t="shared" si="33"/>
        <v>0</v>
      </c>
      <c r="Y20" s="47">
        <f t="shared" si="33"/>
        <v>0</v>
      </c>
      <c r="Z20" s="96"/>
      <c r="AA20" s="47">
        <f t="shared" ref="AA20:AJ20" si="34">SUM(AA21:AA27)</f>
        <v>0</v>
      </c>
      <c r="AB20" s="47">
        <f t="shared" si="34"/>
        <v>66.33</v>
      </c>
      <c r="AC20" s="47">
        <f t="shared" si="34"/>
        <v>0</v>
      </c>
      <c r="AD20" s="47">
        <f t="shared" si="34"/>
        <v>0</v>
      </c>
      <c r="AE20" s="47">
        <f t="shared" si="34"/>
        <v>0</v>
      </c>
      <c r="AF20" s="47">
        <f t="shared" si="34"/>
        <v>0</v>
      </c>
      <c r="AG20" s="47">
        <f t="shared" si="34"/>
        <v>0</v>
      </c>
      <c r="AH20" s="47">
        <f t="shared" si="34"/>
        <v>0</v>
      </c>
      <c r="AI20" s="47">
        <f t="shared" si="34"/>
        <v>0</v>
      </c>
      <c r="AJ20" s="47">
        <f t="shared" si="34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35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35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35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36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35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36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35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36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35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36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35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590"/>
      <c r="D28" s="590"/>
      <c r="E28" s="590"/>
      <c r="F28" s="637"/>
      <c r="G28" s="590"/>
      <c r="H28" s="590"/>
      <c r="I28" s="23" t="s">
        <v>9</v>
      </c>
      <c r="J28" s="638">
        <f>K28</f>
        <v>702203.72</v>
      </c>
      <c r="K28" s="638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37">SUM(T29:T29)</f>
        <v>0</v>
      </c>
      <c r="U28" s="71">
        <f t="shared" si="37"/>
        <v>0</v>
      </c>
      <c r="V28" s="71">
        <f t="shared" si="37"/>
        <v>0</v>
      </c>
      <c r="W28" s="71">
        <f t="shared" si="37"/>
        <v>0</v>
      </c>
      <c r="X28" s="71">
        <v>0</v>
      </c>
      <c r="Y28" s="71">
        <f t="shared" si="37"/>
        <v>0</v>
      </c>
      <c r="Z28" s="100"/>
      <c r="AA28" s="71">
        <f t="shared" si="37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37"/>
        <v>0</v>
      </c>
      <c r="AG28" s="71">
        <f t="shared" si="37"/>
        <v>0</v>
      </c>
      <c r="AH28" s="71">
        <f t="shared" si="37"/>
        <v>0</v>
      </c>
      <c r="AI28" s="71">
        <f t="shared" si="37"/>
        <v>0</v>
      </c>
      <c r="AJ28" s="71">
        <f t="shared" si="37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612"/>
      <c r="B30" s="801"/>
      <c r="C30" s="590"/>
      <c r="D30" s="590"/>
      <c r="E30" s="590"/>
      <c r="F30" s="637"/>
      <c r="G30" s="590"/>
      <c r="H30" s="590"/>
      <c r="I30" s="593" t="s">
        <v>10</v>
      </c>
      <c r="J30" s="639"/>
      <c r="K30" s="639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38">SUM(R31:R32)</f>
        <v>0</v>
      </c>
      <c r="S30" s="47">
        <f t="shared" si="38"/>
        <v>0</v>
      </c>
      <c r="T30" s="47">
        <f t="shared" si="38"/>
        <v>45904.665609999996</v>
      </c>
      <c r="U30" s="47">
        <f t="shared" si="38"/>
        <v>45904.665609999996</v>
      </c>
      <c r="V30" s="47">
        <f t="shared" si="38"/>
        <v>0</v>
      </c>
      <c r="W30" s="47">
        <f t="shared" si="38"/>
        <v>0</v>
      </c>
      <c r="X30" s="47">
        <v>0</v>
      </c>
      <c r="Y30" s="47">
        <f t="shared" si="38"/>
        <v>0</v>
      </c>
      <c r="Z30" s="96"/>
      <c r="AA30" s="47">
        <f t="shared" si="38"/>
        <v>0</v>
      </c>
      <c r="AB30" s="47">
        <f t="shared" si="38"/>
        <v>0</v>
      </c>
      <c r="AC30" s="47">
        <f t="shared" si="38"/>
        <v>0</v>
      </c>
      <c r="AD30" s="47">
        <f t="shared" si="38"/>
        <v>0</v>
      </c>
      <c r="AE30" s="47">
        <f t="shared" si="38"/>
        <v>0</v>
      </c>
      <c r="AF30" s="47">
        <f t="shared" si="38"/>
        <v>0</v>
      </c>
      <c r="AG30" s="47">
        <f t="shared" si="38"/>
        <v>0</v>
      </c>
      <c r="AH30" s="47">
        <f t="shared" si="38"/>
        <v>0</v>
      </c>
      <c r="AI30" s="47">
        <f t="shared" si="38"/>
        <v>0</v>
      </c>
      <c r="AJ30" s="47">
        <f t="shared" si="38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612"/>
      <c r="B31" s="37" t="s">
        <v>219</v>
      </c>
      <c r="C31" s="590"/>
      <c r="D31" s="590"/>
      <c r="E31" s="590"/>
      <c r="F31" s="637"/>
      <c r="G31" s="590"/>
      <c r="H31" s="590"/>
      <c r="I31" s="593"/>
      <c r="J31" s="639"/>
      <c r="K31" s="639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612"/>
      <c r="B32" s="37" t="s">
        <v>220</v>
      </c>
      <c r="C32" s="590"/>
      <c r="D32" s="590"/>
      <c r="E32" s="590"/>
      <c r="F32" s="637"/>
      <c r="G32" s="590"/>
      <c r="H32" s="590"/>
      <c r="I32" s="593"/>
      <c r="J32" s="639"/>
      <c r="K32" s="639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9">Q35</f>
        <v>0</v>
      </c>
      <c r="R33" s="70">
        <f t="shared" si="39"/>
        <v>0</v>
      </c>
      <c r="S33" s="70">
        <f t="shared" si="39"/>
        <v>0</v>
      </c>
      <c r="T33" s="70">
        <f t="shared" si="39"/>
        <v>0</v>
      </c>
      <c r="U33" s="70">
        <f t="shared" si="39"/>
        <v>0</v>
      </c>
      <c r="V33" s="70">
        <f t="shared" si="39"/>
        <v>0</v>
      </c>
      <c r="W33" s="70">
        <f t="shared" si="39"/>
        <v>0</v>
      </c>
      <c r="X33" s="70">
        <f t="shared" si="39"/>
        <v>0</v>
      </c>
      <c r="Y33" s="70">
        <f t="shared" si="39"/>
        <v>0</v>
      </c>
      <c r="Z33" s="679">
        <v>0</v>
      </c>
      <c r="AA33" s="70">
        <f t="shared" si="39"/>
        <v>0</v>
      </c>
      <c r="AB33" s="70">
        <f t="shared" si="39"/>
        <v>0</v>
      </c>
      <c r="AC33" s="70">
        <f t="shared" si="39"/>
        <v>0</v>
      </c>
      <c r="AD33" s="70">
        <f t="shared" si="39"/>
        <v>0</v>
      </c>
      <c r="AE33" s="70">
        <f t="shared" si="39"/>
        <v>0</v>
      </c>
      <c r="AF33" s="70">
        <f t="shared" si="39"/>
        <v>0</v>
      </c>
      <c r="AG33" s="70">
        <f t="shared" si="39"/>
        <v>0</v>
      </c>
      <c r="AH33" s="70">
        <f t="shared" si="39"/>
        <v>0</v>
      </c>
      <c r="AI33" s="70">
        <f t="shared" si="39"/>
        <v>0</v>
      </c>
      <c r="AJ33" s="70">
        <f t="shared" si="39"/>
        <v>0</v>
      </c>
      <c r="AK33" s="3">
        <f>P33-Q33</f>
        <v>74000</v>
      </c>
      <c r="AL33" s="3">
        <f>AK33</f>
        <v>74000</v>
      </c>
      <c r="AM33" s="70">
        <f t="shared" si="39"/>
        <v>0</v>
      </c>
      <c r="AN33" s="70">
        <f t="shared" si="39"/>
        <v>0</v>
      </c>
      <c r="AO33" s="70">
        <f t="shared" si="39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598"/>
      <c r="H34" s="598"/>
      <c r="I34" s="1327"/>
      <c r="J34" s="1628"/>
      <c r="K34" s="1628"/>
      <c r="L34" s="72">
        <v>10164.5</v>
      </c>
      <c r="M34" s="72">
        <v>0</v>
      </c>
      <c r="N34" s="72">
        <v>4946.26</v>
      </c>
      <c r="O34" s="72">
        <v>0</v>
      </c>
      <c r="P34" s="72">
        <v>0</v>
      </c>
      <c r="Q34" s="72">
        <v>0</v>
      </c>
      <c r="R34" s="72">
        <v>0</v>
      </c>
      <c r="S34" s="72">
        <v>0</v>
      </c>
      <c r="T34" s="72">
        <v>0</v>
      </c>
      <c r="U34" s="72">
        <v>0</v>
      </c>
      <c r="V34" s="72">
        <v>0</v>
      </c>
      <c r="W34" s="72">
        <v>0</v>
      </c>
      <c r="X34" s="72">
        <v>0</v>
      </c>
      <c r="Y34" s="72">
        <v>0</v>
      </c>
      <c r="Z34" s="258"/>
      <c r="AA34" s="673">
        <v>0</v>
      </c>
      <c r="AB34" s="673">
        <v>0</v>
      </c>
      <c r="AC34" s="673">
        <v>0</v>
      </c>
      <c r="AD34" s="673">
        <v>0</v>
      </c>
      <c r="AE34" s="673">
        <v>0</v>
      </c>
      <c r="AF34" s="673">
        <v>0</v>
      </c>
      <c r="AG34" s="673">
        <v>0</v>
      </c>
      <c r="AH34" s="673">
        <v>0</v>
      </c>
      <c r="AI34" s="673">
        <v>0</v>
      </c>
      <c r="AJ34" s="673">
        <v>0</v>
      </c>
      <c r="AK34" s="288">
        <v>0</v>
      </c>
      <c r="AL34" s="288">
        <v>0</v>
      </c>
      <c r="AM34" s="673">
        <v>0</v>
      </c>
      <c r="AN34" s="673">
        <v>0</v>
      </c>
      <c r="AO34" s="673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598">
        <v>2020</v>
      </c>
      <c r="H35" s="598">
        <v>2021</v>
      </c>
      <c r="I35" s="1328"/>
      <c r="J35" s="1629"/>
      <c r="K35" s="1629"/>
      <c r="L35" s="72">
        <v>250336.75</v>
      </c>
      <c r="M35" s="72">
        <v>0</v>
      </c>
      <c r="N35" s="72">
        <v>64997.45</v>
      </c>
      <c r="O35" s="72">
        <v>69943.710000000006</v>
      </c>
      <c r="P35" s="72">
        <v>74000</v>
      </c>
      <c r="Q35" s="72">
        <v>0</v>
      </c>
      <c r="R35" s="72">
        <v>0</v>
      </c>
      <c r="S35" s="72">
        <v>0</v>
      </c>
      <c r="T35" s="72">
        <v>0</v>
      </c>
      <c r="U35" s="72">
        <v>0</v>
      </c>
      <c r="V35" s="72">
        <v>0</v>
      </c>
      <c r="W35" s="72">
        <v>0</v>
      </c>
      <c r="X35" s="72">
        <v>0</v>
      </c>
      <c r="Y35" s="72">
        <v>0</v>
      </c>
      <c r="Z35" s="258"/>
      <c r="AA35" s="673">
        <v>0</v>
      </c>
      <c r="AB35" s="673">
        <v>0</v>
      </c>
      <c r="AC35" s="673">
        <v>0</v>
      </c>
      <c r="AD35" s="673">
        <v>0</v>
      </c>
      <c r="AE35" s="673">
        <v>0</v>
      </c>
      <c r="AF35" s="673">
        <v>0</v>
      </c>
      <c r="AG35" s="673">
        <v>0</v>
      </c>
      <c r="AH35" s="673">
        <v>0</v>
      </c>
      <c r="AI35" s="673">
        <v>0</v>
      </c>
      <c r="AJ35" s="673">
        <v>0</v>
      </c>
      <c r="AK35" s="673">
        <v>0</v>
      </c>
      <c r="AL35" s="673">
        <v>0</v>
      </c>
      <c r="AM35" s="673">
        <v>0</v>
      </c>
      <c r="AN35" s="673">
        <v>0</v>
      </c>
      <c r="AO35" s="673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40">M37+M39</f>
        <v>20243.12</v>
      </c>
      <c r="N36" s="318">
        <f t="shared" si="40"/>
        <v>13773.23</v>
      </c>
      <c r="O36" s="318">
        <f t="shared" si="40"/>
        <v>8942.9699999999993</v>
      </c>
      <c r="P36" s="318">
        <f t="shared" si="40"/>
        <v>90000</v>
      </c>
      <c r="Q36" s="318">
        <f t="shared" si="40"/>
        <v>0</v>
      </c>
      <c r="R36" s="318">
        <f t="shared" si="40"/>
        <v>0</v>
      </c>
      <c r="S36" s="318">
        <f t="shared" si="40"/>
        <v>0</v>
      </c>
      <c r="T36" s="318">
        <f t="shared" si="40"/>
        <v>0</v>
      </c>
      <c r="U36" s="318">
        <f t="shared" si="40"/>
        <v>0</v>
      </c>
      <c r="V36" s="318">
        <f t="shared" si="40"/>
        <v>0</v>
      </c>
      <c r="W36" s="318">
        <f t="shared" si="40"/>
        <v>0</v>
      </c>
      <c r="X36" s="318">
        <f t="shared" si="40"/>
        <v>0</v>
      </c>
      <c r="Y36" s="318">
        <f t="shared" si="40"/>
        <v>0</v>
      </c>
      <c r="Z36" s="372">
        <v>0</v>
      </c>
      <c r="AA36" s="318">
        <f t="shared" si="40"/>
        <v>0</v>
      </c>
      <c r="AB36" s="318">
        <f t="shared" si="40"/>
        <v>0</v>
      </c>
      <c r="AC36" s="318">
        <f t="shared" si="40"/>
        <v>0</v>
      </c>
      <c r="AD36" s="318">
        <f t="shared" si="40"/>
        <v>0</v>
      </c>
      <c r="AE36" s="318">
        <f t="shared" si="40"/>
        <v>0</v>
      </c>
      <c r="AF36" s="318">
        <f t="shared" si="40"/>
        <v>0</v>
      </c>
      <c r="AG36" s="318">
        <f t="shared" si="40"/>
        <v>0</v>
      </c>
      <c r="AH36" s="318">
        <f t="shared" si="40"/>
        <v>0</v>
      </c>
      <c r="AI36" s="318">
        <f t="shared" si="40"/>
        <v>0</v>
      </c>
      <c r="AJ36" s="318">
        <f t="shared" si="40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40"/>
        <v>0</v>
      </c>
      <c r="AO36" s="318">
        <f t="shared" si="40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598">
        <v>2019</v>
      </c>
      <c r="H37" s="598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672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598">
        <v>2020</v>
      </c>
      <c r="H39" s="598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725"/>
      <c r="J40" s="3"/>
      <c r="K40" s="730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41">SUM(R41:R42)</f>
        <v>0</v>
      </c>
      <c r="S40" s="318">
        <f t="shared" si="41"/>
        <v>0</v>
      </c>
      <c r="T40" s="318">
        <f t="shared" si="41"/>
        <v>0</v>
      </c>
      <c r="U40" s="318">
        <f t="shared" si="41"/>
        <v>0</v>
      </c>
      <c r="V40" s="318">
        <f t="shared" si="41"/>
        <v>0</v>
      </c>
      <c r="W40" s="318">
        <f t="shared" si="41"/>
        <v>0</v>
      </c>
      <c r="X40" s="318">
        <f t="shared" si="41"/>
        <v>0</v>
      </c>
      <c r="Y40" s="318">
        <f t="shared" si="41"/>
        <v>0</v>
      </c>
      <c r="Z40" s="318">
        <f t="shared" si="41"/>
        <v>0</v>
      </c>
      <c r="AA40" s="318">
        <f t="shared" si="41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737"/>
      <c r="B41" s="42" t="s">
        <v>15</v>
      </c>
      <c r="C41" s="768"/>
      <c r="D41" s="768"/>
      <c r="E41" s="768"/>
      <c r="F41" s="769"/>
      <c r="G41" s="335"/>
      <c r="H41" s="770"/>
      <c r="I41" s="721"/>
      <c r="J41" s="47"/>
      <c r="K41" s="736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728"/>
      <c r="AQ41" s="268"/>
    </row>
    <row r="42" spans="1:43" ht="15" customHeight="1" x14ac:dyDescent="0.25">
      <c r="A42" s="737"/>
      <c r="B42" s="42" t="s">
        <v>16</v>
      </c>
      <c r="C42" s="768"/>
      <c r="D42" s="768"/>
      <c r="E42" s="768"/>
      <c r="F42" s="769"/>
      <c r="G42" s="335"/>
      <c r="H42" s="770"/>
      <c r="I42" s="721"/>
      <c r="J42" s="47"/>
      <c r="K42" s="736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728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672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42">M47</f>
        <v>0</v>
      </c>
      <c r="N44" s="47">
        <f t="shared" si="42"/>
        <v>0</v>
      </c>
      <c r="O44" s="47">
        <f t="shared" si="42"/>
        <v>0</v>
      </c>
      <c r="P44" s="47">
        <f t="shared" si="42"/>
        <v>0</v>
      </c>
      <c r="Q44" s="47">
        <f t="shared" si="42"/>
        <v>0</v>
      </c>
      <c r="R44" s="47">
        <f t="shared" si="42"/>
        <v>0</v>
      </c>
      <c r="S44" s="47">
        <f t="shared" si="42"/>
        <v>0</v>
      </c>
      <c r="T44" s="47">
        <f t="shared" si="42"/>
        <v>0</v>
      </c>
      <c r="U44" s="47">
        <f t="shared" si="42"/>
        <v>7.2</v>
      </c>
      <c r="V44" s="47">
        <f t="shared" si="42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672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43">J47</f>
        <v>23417.360000000001</v>
      </c>
      <c r="K45" s="47">
        <f t="shared" si="43"/>
        <v>0</v>
      </c>
      <c r="L45" s="47">
        <v>0</v>
      </c>
      <c r="M45" s="4">
        <f t="shared" si="43"/>
        <v>0</v>
      </c>
      <c r="N45" s="4">
        <f t="shared" si="43"/>
        <v>0</v>
      </c>
      <c r="O45" s="4">
        <f t="shared" si="43"/>
        <v>0</v>
      </c>
      <c r="P45" s="4">
        <v>0</v>
      </c>
      <c r="Q45" s="4">
        <v>0</v>
      </c>
      <c r="R45" s="4">
        <f t="shared" si="43"/>
        <v>0</v>
      </c>
      <c r="S45" s="4">
        <f t="shared" si="43"/>
        <v>0</v>
      </c>
      <c r="T45" s="4">
        <f t="shared" si="43"/>
        <v>0</v>
      </c>
      <c r="U45" s="4">
        <v>0</v>
      </c>
      <c r="V45" s="4">
        <f t="shared" si="43"/>
        <v>0</v>
      </c>
      <c r="W45" s="4">
        <f t="shared" si="43"/>
        <v>0</v>
      </c>
      <c r="X45" s="4">
        <f t="shared" si="43"/>
        <v>0</v>
      </c>
      <c r="Y45" s="4">
        <f t="shared" si="43"/>
        <v>0</v>
      </c>
      <c r="Z45" s="268"/>
      <c r="AA45" s="4">
        <f t="shared" si="43"/>
        <v>0</v>
      </c>
      <c r="AB45" s="4">
        <f t="shared" si="43"/>
        <v>0</v>
      </c>
      <c r="AC45" s="4">
        <f t="shared" si="43"/>
        <v>7.2</v>
      </c>
      <c r="AD45" s="4">
        <f t="shared" si="43"/>
        <v>0</v>
      </c>
      <c r="AE45" s="4">
        <f t="shared" si="43"/>
        <v>0</v>
      </c>
      <c r="AF45" s="4">
        <f t="shared" si="43"/>
        <v>0</v>
      </c>
      <c r="AG45" s="4">
        <f t="shared" si="43"/>
        <v>0</v>
      </c>
      <c r="AH45" s="4">
        <f t="shared" si="43"/>
        <v>0</v>
      </c>
      <c r="AI45" s="4">
        <f t="shared" si="43"/>
        <v>0</v>
      </c>
      <c r="AJ45" s="4">
        <f t="shared" si="43"/>
        <v>0</v>
      </c>
      <c r="AK45" s="4">
        <f t="shared" si="43"/>
        <v>0</v>
      </c>
      <c r="AL45" s="4">
        <f t="shared" si="43"/>
        <v>0</v>
      </c>
      <c r="AM45" s="4">
        <f t="shared" si="43"/>
        <v>0</v>
      </c>
      <c r="AN45" s="4">
        <f t="shared" si="43"/>
        <v>0</v>
      </c>
      <c r="AO45" s="4">
        <f t="shared" si="43"/>
        <v>0</v>
      </c>
      <c r="AP45" s="672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672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732">
        <v>900</v>
      </c>
      <c r="D47" s="35">
        <v>28000</v>
      </c>
      <c r="E47" s="732"/>
      <c r="F47" s="729"/>
      <c r="G47" s="724"/>
      <c r="H47" s="724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44">R48+R51</f>
        <v>0</v>
      </c>
      <c r="S47" s="70">
        <f t="shared" si="44"/>
        <v>0</v>
      </c>
      <c r="T47" s="70">
        <f t="shared" si="44"/>
        <v>0</v>
      </c>
      <c r="U47" s="70">
        <f t="shared" si="44"/>
        <v>7.2</v>
      </c>
      <c r="V47" s="70">
        <f t="shared" si="44"/>
        <v>0</v>
      </c>
      <c r="W47" s="70">
        <f t="shared" si="44"/>
        <v>0</v>
      </c>
      <c r="X47" s="70">
        <f t="shared" si="44"/>
        <v>0</v>
      </c>
      <c r="Y47" s="70">
        <f t="shared" si="44"/>
        <v>0</v>
      </c>
      <c r="Z47" s="679">
        <v>0</v>
      </c>
      <c r="AA47" s="70">
        <v>0</v>
      </c>
      <c r="AB47" s="70">
        <f t="shared" si="44"/>
        <v>0</v>
      </c>
      <c r="AC47" s="70">
        <f t="shared" si="44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585" t="s">
        <v>15</v>
      </c>
      <c r="C48" s="597"/>
      <c r="D48" s="577"/>
      <c r="E48" s="597"/>
      <c r="F48" s="36"/>
      <c r="G48" s="588"/>
      <c r="H48" s="588"/>
      <c r="I48" s="1448"/>
      <c r="J48" s="1628"/>
      <c r="K48" s="1628"/>
      <c r="L48" s="72">
        <v>521.89</v>
      </c>
      <c r="M48" s="72"/>
      <c r="N48" s="72">
        <v>0</v>
      </c>
      <c r="O48" s="73"/>
      <c r="P48" s="72">
        <v>0</v>
      </c>
      <c r="Q48" s="72">
        <v>0</v>
      </c>
      <c r="R48" s="681">
        <f t="shared" ref="R48:Z48" si="45">R49+R50</f>
        <v>0</v>
      </c>
      <c r="S48" s="681">
        <f t="shared" si="45"/>
        <v>0</v>
      </c>
      <c r="T48" s="681">
        <f t="shared" si="45"/>
        <v>0</v>
      </c>
      <c r="U48" s="681">
        <f t="shared" si="45"/>
        <v>7.2</v>
      </c>
      <c r="V48" s="681">
        <f t="shared" si="45"/>
        <v>0</v>
      </c>
      <c r="W48" s="681">
        <f t="shared" si="45"/>
        <v>0</v>
      </c>
      <c r="X48" s="681">
        <f t="shared" si="45"/>
        <v>0</v>
      </c>
      <c r="Y48" s="681">
        <f t="shared" si="45"/>
        <v>0</v>
      </c>
      <c r="Z48" s="681">
        <f t="shared" si="45"/>
        <v>0</v>
      </c>
      <c r="AA48" s="681">
        <v>0</v>
      </c>
      <c r="AB48" s="673">
        <f t="shared" ref="AB48:AC48" si="46">AB49</f>
        <v>0</v>
      </c>
      <c r="AC48" s="673">
        <f t="shared" si="46"/>
        <v>7.2</v>
      </c>
      <c r="AD48" s="673"/>
      <c r="AE48" s="673"/>
      <c r="AF48" s="673"/>
      <c r="AG48" s="673"/>
      <c r="AH48" s="673"/>
      <c r="AI48" s="673"/>
      <c r="AJ48" s="673"/>
      <c r="AK48" s="288"/>
      <c r="AL48" s="288"/>
      <c r="AM48" s="673"/>
      <c r="AN48" s="673"/>
      <c r="AO48" s="673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585" t="s">
        <v>16</v>
      </c>
      <c r="C51" s="597"/>
      <c r="D51" s="597"/>
      <c r="E51" s="597"/>
      <c r="F51" s="36"/>
      <c r="G51" s="588">
        <v>2020</v>
      </c>
      <c r="H51" s="588">
        <v>2020</v>
      </c>
      <c r="I51" s="1449"/>
      <c r="J51" s="1629"/>
      <c r="K51" s="1629"/>
      <c r="L51" s="72">
        <v>4152.18</v>
      </c>
      <c r="M51" s="72">
        <v>0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72">
        <v>0</v>
      </c>
      <c r="T51" s="72">
        <v>0</v>
      </c>
      <c r="U51" s="72">
        <v>0</v>
      </c>
      <c r="V51" s="72">
        <v>0</v>
      </c>
      <c r="W51" s="72">
        <v>0</v>
      </c>
      <c r="X51" s="72">
        <v>0</v>
      </c>
      <c r="Y51" s="72">
        <v>0</v>
      </c>
      <c r="Z51" s="258"/>
      <c r="AA51" s="673">
        <v>0</v>
      </c>
      <c r="AB51" s="673">
        <v>0</v>
      </c>
      <c r="AC51" s="673">
        <v>0</v>
      </c>
      <c r="AD51" s="673">
        <v>0</v>
      </c>
      <c r="AE51" s="673">
        <v>0</v>
      </c>
      <c r="AF51" s="673">
        <v>0</v>
      </c>
      <c r="AG51" s="673">
        <f t="shared" ref="AG51:AJ52" si="47">AG54+AG57</f>
        <v>0</v>
      </c>
      <c r="AH51" s="673">
        <f t="shared" si="47"/>
        <v>0</v>
      </c>
      <c r="AI51" s="673">
        <f t="shared" si="47"/>
        <v>0</v>
      </c>
      <c r="AJ51" s="673">
        <f t="shared" si="47"/>
        <v>0</v>
      </c>
      <c r="AK51" s="673">
        <v>0</v>
      </c>
      <c r="AL51" s="673">
        <v>0</v>
      </c>
      <c r="AM51" s="673">
        <v>0</v>
      </c>
      <c r="AN51" s="673">
        <v>0</v>
      </c>
      <c r="AO51" s="673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643">
        <f>L52</f>
        <v>924.64</v>
      </c>
      <c r="K52" s="643">
        <v>0</v>
      </c>
      <c r="L52" s="72">
        <f>L58</f>
        <v>924.64</v>
      </c>
      <c r="M52" s="72">
        <f t="shared" ref="M52:T52" si="48">M55+M58</f>
        <v>0</v>
      </c>
      <c r="N52" s="72">
        <f t="shared" si="48"/>
        <v>0</v>
      </c>
      <c r="O52" s="72">
        <f t="shared" si="48"/>
        <v>0</v>
      </c>
      <c r="P52" s="72">
        <f t="shared" si="48"/>
        <v>725.37</v>
      </c>
      <c r="Q52" s="72">
        <f t="shared" si="48"/>
        <v>0</v>
      </c>
      <c r="R52" s="72">
        <f t="shared" si="48"/>
        <v>0</v>
      </c>
      <c r="S52" s="72">
        <f t="shared" si="48"/>
        <v>0</v>
      </c>
      <c r="T52" s="72">
        <f t="shared" si="48"/>
        <v>0</v>
      </c>
      <c r="U52" s="72">
        <f t="shared" ref="U52:AO52" si="49">U55+U58</f>
        <v>0</v>
      </c>
      <c r="V52" s="72">
        <f t="shared" si="49"/>
        <v>131</v>
      </c>
      <c r="W52" s="72">
        <f t="shared" si="49"/>
        <v>131</v>
      </c>
      <c r="X52" s="72">
        <f t="shared" si="49"/>
        <v>0</v>
      </c>
      <c r="Y52" s="72">
        <f t="shared" si="49"/>
        <v>0</v>
      </c>
      <c r="Z52" s="258"/>
      <c r="AA52" s="673">
        <f t="shared" si="49"/>
        <v>0</v>
      </c>
      <c r="AB52" s="673">
        <f t="shared" si="49"/>
        <v>0</v>
      </c>
      <c r="AC52" s="673">
        <f t="shared" si="49"/>
        <v>0</v>
      </c>
      <c r="AD52" s="673">
        <f t="shared" si="49"/>
        <v>200</v>
      </c>
      <c r="AE52" s="673">
        <f t="shared" si="49"/>
        <v>0</v>
      </c>
      <c r="AF52" s="673">
        <f t="shared" si="49"/>
        <v>0</v>
      </c>
      <c r="AG52" s="673">
        <f t="shared" si="47"/>
        <v>0</v>
      </c>
      <c r="AH52" s="673">
        <f t="shared" si="47"/>
        <v>0</v>
      </c>
      <c r="AI52" s="673">
        <f t="shared" si="47"/>
        <v>0</v>
      </c>
      <c r="AJ52" s="673">
        <f t="shared" si="47"/>
        <v>0</v>
      </c>
      <c r="AK52" s="673">
        <f t="shared" si="49"/>
        <v>725.37</v>
      </c>
      <c r="AL52" s="673">
        <f t="shared" si="49"/>
        <v>725.37</v>
      </c>
      <c r="AM52" s="673">
        <f t="shared" si="49"/>
        <v>0</v>
      </c>
      <c r="AN52" s="673">
        <f t="shared" si="49"/>
        <v>0</v>
      </c>
      <c r="AO52" s="673">
        <f t="shared" si="4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643">
        <f>L53</f>
        <v>0</v>
      </c>
      <c r="K53" s="643">
        <v>0</v>
      </c>
      <c r="L53" s="72">
        <v>0</v>
      </c>
      <c r="M53" s="72">
        <v>0</v>
      </c>
      <c r="N53" s="72">
        <v>0</v>
      </c>
      <c r="O53" s="73">
        <v>0</v>
      </c>
      <c r="P53" s="72">
        <v>0</v>
      </c>
      <c r="Q53" s="72">
        <v>0</v>
      </c>
      <c r="R53" s="72">
        <v>0</v>
      </c>
      <c r="S53" s="72">
        <v>0</v>
      </c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258"/>
      <c r="AA53" s="673">
        <v>0</v>
      </c>
      <c r="AB53" s="673">
        <v>0</v>
      </c>
      <c r="AC53" s="673">
        <v>0</v>
      </c>
      <c r="AD53" s="673">
        <v>0</v>
      </c>
      <c r="AE53" s="673">
        <v>0</v>
      </c>
      <c r="AF53" s="673">
        <v>0</v>
      </c>
      <c r="AG53" s="673">
        <v>0</v>
      </c>
      <c r="AH53" s="673">
        <v>0</v>
      </c>
      <c r="AI53" s="673">
        <v>0</v>
      </c>
      <c r="AJ53" s="673">
        <v>0</v>
      </c>
      <c r="AK53" s="673">
        <v>0</v>
      </c>
      <c r="AL53" s="673">
        <v>0</v>
      </c>
      <c r="AM53" s="673">
        <v>0</v>
      </c>
      <c r="AN53" s="673">
        <v>0</v>
      </c>
      <c r="AO53" s="673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643">
        <f>L54</f>
        <v>0</v>
      </c>
      <c r="K54" s="643">
        <v>0</v>
      </c>
      <c r="L54" s="72">
        <v>0</v>
      </c>
      <c r="M54" s="72">
        <v>0</v>
      </c>
      <c r="N54" s="72">
        <v>0</v>
      </c>
      <c r="O54" s="73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72">
        <v>0</v>
      </c>
      <c r="W54" s="72">
        <v>0</v>
      </c>
      <c r="X54" s="72">
        <v>0</v>
      </c>
      <c r="Y54" s="72">
        <v>0</v>
      </c>
      <c r="Z54" s="258"/>
      <c r="AA54" s="673">
        <v>0</v>
      </c>
      <c r="AB54" s="673">
        <v>0</v>
      </c>
      <c r="AC54" s="673">
        <v>0</v>
      </c>
      <c r="AD54" s="673">
        <v>0</v>
      </c>
      <c r="AE54" s="673">
        <v>0</v>
      </c>
      <c r="AF54" s="673">
        <v>0</v>
      </c>
      <c r="AG54" s="673">
        <v>0</v>
      </c>
      <c r="AH54" s="673">
        <v>0</v>
      </c>
      <c r="AI54" s="673">
        <v>0</v>
      </c>
      <c r="AJ54" s="673">
        <v>0</v>
      </c>
      <c r="AK54" s="673">
        <v>0</v>
      </c>
      <c r="AL54" s="673">
        <v>0</v>
      </c>
      <c r="AM54" s="673">
        <v>0</v>
      </c>
      <c r="AN54" s="673">
        <v>0</v>
      </c>
      <c r="AO54" s="673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597"/>
      <c r="H55" s="597"/>
      <c r="I55" s="1374" t="s">
        <v>20</v>
      </c>
      <c r="J55" s="643">
        <f>L55</f>
        <v>0</v>
      </c>
      <c r="K55" s="643"/>
      <c r="L55" s="72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50">R56+R57</f>
        <v>0</v>
      </c>
      <c r="S55" s="71">
        <f t="shared" si="50"/>
        <v>0</v>
      </c>
      <c r="T55" s="71">
        <f t="shared" si="50"/>
        <v>0</v>
      </c>
      <c r="U55" s="71">
        <f t="shared" si="50"/>
        <v>0</v>
      </c>
      <c r="V55" s="71">
        <f t="shared" si="50"/>
        <v>0</v>
      </c>
      <c r="W55" s="71">
        <f t="shared" si="50"/>
        <v>0</v>
      </c>
      <c r="X55" s="71">
        <f t="shared" si="50"/>
        <v>0</v>
      </c>
      <c r="Y55" s="71">
        <f t="shared" si="50"/>
        <v>0</v>
      </c>
      <c r="Z55" s="100"/>
      <c r="AA55" s="71">
        <f t="shared" si="50"/>
        <v>0</v>
      </c>
      <c r="AB55" s="71">
        <f t="shared" si="50"/>
        <v>0</v>
      </c>
      <c r="AC55" s="71">
        <f t="shared" si="50"/>
        <v>0</v>
      </c>
      <c r="AD55" s="71">
        <f t="shared" si="50"/>
        <v>0</v>
      </c>
      <c r="AE55" s="71">
        <f t="shared" si="50"/>
        <v>0</v>
      </c>
      <c r="AF55" s="71">
        <f t="shared" si="50"/>
        <v>0</v>
      </c>
      <c r="AG55" s="71">
        <f t="shared" si="50"/>
        <v>0</v>
      </c>
      <c r="AH55" s="71">
        <f t="shared" si="50"/>
        <v>0</v>
      </c>
      <c r="AI55" s="71">
        <f t="shared" si="5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50"/>
        <v>0</v>
      </c>
      <c r="AO55" s="71">
        <f t="shared" si="5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597">
        <v>2019</v>
      </c>
      <c r="H56" s="597">
        <v>2019</v>
      </c>
      <c r="I56" s="1391"/>
      <c r="J56" s="643">
        <f t="shared" ref="J56:J61" si="51">L56</f>
        <v>0</v>
      </c>
      <c r="K56" s="643"/>
      <c r="L56" s="72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598">
        <v>2019</v>
      </c>
      <c r="H57" s="598">
        <v>2019</v>
      </c>
      <c r="I57" s="1375"/>
      <c r="J57" s="643">
        <f t="shared" si="51"/>
        <v>0</v>
      </c>
      <c r="K57" s="589"/>
      <c r="L57" s="72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598"/>
      <c r="H58" s="598"/>
      <c r="I58" s="1374" t="s">
        <v>20</v>
      </c>
      <c r="J58" s="643">
        <f t="shared" si="51"/>
        <v>924.64</v>
      </c>
      <c r="K58" s="589"/>
      <c r="L58" s="72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52">R59+R61</f>
        <v>0</v>
      </c>
      <c r="S58" s="318">
        <f t="shared" si="52"/>
        <v>0</v>
      </c>
      <c r="T58" s="318">
        <f t="shared" si="52"/>
        <v>0</v>
      </c>
      <c r="U58" s="318">
        <f t="shared" si="52"/>
        <v>0</v>
      </c>
      <c r="V58" s="318">
        <f t="shared" si="52"/>
        <v>131</v>
      </c>
      <c r="W58" s="318">
        <f t="shared" si="52"/>
        <v>131</v>
      </c>
      <c r="X58" s="318">
        <f t="shared" si="52"/>
        <v>0</v>
      </c>
      <c r="Y58" s="318">
        <f t="shared" si="52"/>
        <v>0</v>
      </c>
      <c r="Z58" s="372">
        <v>0</v>
      </c>
      <c r="AA58" s="318">
        <v>0</v>
      </c>
      <c r="AB58" s="4">
        <f t="shared" si="52"/>
        <v>0</v>
      </c>
      <c r="AC58" s="4">
        <f t="shared" si="52"/>
        <v>0</v>
      </c>
      <c r="AD58" s="4">
        <f t="shared" si="52"/>
        <v>200</v>
      </c>
      <c r="AE58" s="4">
        <f t="shared" si="52"/>
        <v>0</v>
      </c>
      <c r="AF58" s="4">
        <f t="shared" si="52"/>
        <v>0</v>
      </c>
      <c r="AG58" s="4">
        <f t="shared" si="52"/>
        <v>0</v>
      </c>
      <c r="AH58" s="4">
        <f t="shared" si="52"/>
        <v>0</v>
      </c>
      <c r="AI58" s="4">
        <f t="shared" si="52"/>
        <v>0</v>
      </c>
      <c r="AJ58" s="4">
        <f t="shared" si="5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52"/>
        <v>0</v>
      </c>
      <c r="AO58" s="4">
        <f t="shared" si="5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598">
        <v>2019</v>
      </c>
      <c r="H59" s="598">
        <v>2019</v>
      </c>
      <c r="I59" s="1391"/>
      <c r="J59" s="643">
        <f t="shared" si="51"/>
        <v>250</v>
      </c>
      <c r="K59" s="589"/>
      <c r="L59" s="72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53">R60</f>
        <v>0</v>
      </c>
      <c r="S59" s="4">
        <f t="shared" si="53"/>
        <v>0</v>
      </c>
      <c r="T59" s="4">
        <f t="shared" si="53"/>
        <v>0</v>
      </c>
      <c r="U59" s="4">
        <f t="shared" si="53"/>
        <v>0</v>
      </c>
      <c r="V59" s="4">
        <f t="shared" si="53"/>
        <v>131</v>
      </c>
      <c r="W59" s="4">
        <f t="shared" si="53"/>
        <v>131</v>
      </c>
      <c r="X59" s="4">
        <f t="shared" si="53"/>
        <v>0</v>
      </c>
      <c r="Y59" s="4">
        <f t="shared" si="53"/>
        <v>0</v>
      </c>
      <c r="Z59" s="268"/>
      <c r="AA59" s="4">
        <v>0</v>
      </c>
      <c r="AB59" s="4">
        <f t="shared" si="53"/>
        <v>0</v>
      </c>
      <c r="AC59" s="4">
        <f t="shared" si="53"/>
        <v>0</v>
      </c>
      <c r="AD59" s="4">
        <f t="shared" si="5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672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598">
        <v>2019</v>
      </c>
      <c r="H61" s="598">
        <v>2019</v>
      </c>
      <c r="I61" s="1375"/>
      <c r="J61" s="643">
        <f t="shared" si="51"/>
        <v>674.64</v>
      </c>
      <c r="K61" s="589"/>
      <c r="L61" s="72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725"/>
      <c r="L62" s="730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54">SUM(R63:R64)</f>
        <v>0</v>
      </c>
      <c r="S62" s="318">
        <f t="shared" si="54"/>
        <v>0</v>
      </c>
      <c r="T62" s="318">
        <f t="shared" si="54"/>
        <v>0</v>
      </c>
      <c r="U62" s="318">
        <f t="shared" si="54"/>
        <v>0</v>
      </c>
      <c r="V62" s="318">
        <f t="shared" si="54"/>
        <v>0</v>
      </c>
      <c r="W62" s="318">
        <f t="shared" si="54"/>
        <v>0</v>
      </c>
      <c r="X62" s="318">
        <f t="shared" si="54"/>
        <v>0</v>
      </c>
      <c r="Y62" s="318">
        <f t="shared" si="54"/>
        <v>0</v>
      </c>
      <c r="Z62" s="318">
        <f t="shared" si="54"/>
        <v>0</v>
      </c>
      <c r="AA62" s="318">
        <f t="shared" si="5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737"/>
      <c r="B63" s="42" t="s">
        <v>15</v>
      </c>
      <c r="C63" s="341"/>
      <c r="D63" s="341"/>
      <c r="E63" s="771"/>
      <c r="F63" s="691"/>
      <c r="G63" s="335"/>
      <c r="H63" s="770"/>
      <c r="I63" s="731"/>
      <c r="J63" s="738"/>
      <c r="K63" s="721"/>
      <c r="L63" s="736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737"/>
      <c r="B64" s="42" t="s">
        <v>32</v>
      </c>
      <c r="C64" s="341"/>
      <c r="D64" s="341"/>
      <c r="E64" s="771"/>
      <c r="F64" s="691"/>
      <c r="G64" s="335"/>
      <c r="H64" s="770"/>
      <c r="I64" s="731"/>
      <c r="J64" s="738"/>
      <c r="K64" s="721"/>
      <c r="L64" s="736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P65" si="55">J68</f>
        <v>18824.2</v>
      </c>
      <c r="K65" s="47">
        <f t="shared" si="55"/>
        <v>0</v>
      </c>
      <c r="L65" s="47">
        <f t="shared" si="55"/>
        <v>5710.74</v>
      </c>
      <c r="M65" s="47">
        <f t="shared" si="55"/>
        <v>893.45</v>
      </c>
      <c r="N65" s="47">
        <f t="shared" si="55"/>
        <v>1051.49</v>
      </c>
      <c r="O65" s="47">
        <f t="shared" si="55"/>
        <v>11206.2</v>
      </c>
      <c r="P65" s="47">
        <f t="shared" si="55"/>
        <v>192.06</v>
      </c>
      <c r="Q65" s="47">
        <f t="shared" ref="Q65:AO65" si="56">Q68</f>
        <v>75</v>
      </c>
      <c r="R65" s="47">
        <f t="shared" si="56"/>
        <v>0</v>
      </c>
      <c r="S65" s="47">
        <f t="shared" si="56"/>
        <v>0</v>
      </c>
      <c r="T65" s="47">
        <f t="shared" si="56"/>
        <v>0</v>
      </c>
      <c r="U65" s="47">
        <f t="shared" si="56"/>
        <v>0</v>
      </c>
      <c r="V65" s="47">
        <f t="shared" si="56"/>
        <v>0</v>
      </c>
      <c r="W65" s="47">
        <f t="shared" si="56"/>
        <v>0</v>
      </c>
      <c r="X65" s="47">
        <f t="shared" si="56"/>
        <v>0</v>
      </c>
      <c r="Y65" s="47">
        <f t="shared" si="56"/>
        <v>0</v>
      </c>
      <c r="Z65" s="96"/>
      <c r="AA65" s="47">
        <f t="shared" si="56"/>
        <v>75</v>
      </c>
      <c r="AB65" s="47">
        <f t="shared" si="56"/>
        <v>0</v>
      </c>
      <c r="AC65" s="47">
        <f t="shared" si="56"/>
        <v>0</v>
      </c>
      <c r="AD65" s="47">
        <f t="shared" si="56"/>
        <v>0</v>
      </c>
      <c r="AE65" s="47">
        <f t="shared" si="56"/>
        <v>0</v>
      </c>
      <c r="AF65" s="47">
        <f t="shared" si="56"/>
        <v>0</v>
      </c>
      <c r="AG65" s="47">
        <f t="shared" si="56"/>
        <v>0</v>
      </c>
      <c r="AH65" s="47">
        <f t="shared" si="56"/>
        <v>0</v>
      </c>
      <c r="AI65" s="47">
        <f t="shared" si="56"/>
        <v>0</v>
      </c>
      <c r="AJ65" s="47">
        <f t="shared" si="56"/>
        <v>0</v>
      </c>
      <c r="AK65" s="47">
        <f t="shared" si="56"/>
        <v>117.06</v>
      </c>
      <c r="AL65" s="47">
        <f t="shared" si="56"/>
        <v>117.06</v>
      </c>
      <c r="AM65" s="47">
        <f t="shared" si="56"/>
        <v>39.049999999999997</v>
      </c>
      <c r="AN65" s="47">
        <f t="shared" si="56"/>
        <v>0</v>
      </c>
      <c r="AO65" s="47">
        <f t="shared" si="56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724"/>
      <c r="H68" s="724"/>
      <c r="I68" s="1326" t="s">
        <v>20</v>
      </c>
      <c r="J68" s="1640">
        <v>18824.2</v>
      </c>
      <c r="K68" s="3">
        <v>0</v>
      </c>
      <c r="L68" s="3">
        <f t="shared" ref="L68:P68" si="57">L69+L71</f>
        <v>5710.74</v>
      </c>
      <c r="M68" s="3">
        <f t="shared" si="57"/>
        <v>893.45</v>
      </c>
      <c r="N68" s="3">
        <f t="shared" si="57"/>
        <v>1051.49</v>
      </c>
      <c r="O68" s="3">
        <f t="shared" si="57"/>
        <v>11206.2</v>
      </c>
      <c r="P68" s="3">
        <f t="shared" si="57"/>
        <v>192.06</v>
      </c>
      <c r="Q68" s="3">
        <f>SUM(Q69:Q71)</f>
        <v>75</v>
      </c>
      <c r="R68" s="3">
        <f t="shared" ref="R68:AA68" si="58">SUM(R69:R71)</f>
        <v>0</v>
      </c>
      <c r="S68" s="3">
        <f t="shared" si="58"/>
        <v>0</v>
      </c>
      <c r="T68" s="3">
        <f t="shared" si="58"/>
        <v>0</v>
      </c>
      <c r="U68" s="3">
        <f t="shared" si="58"/>
        <v>0</v>
      </c>
      <c r="V68" s="3">
        <f t="shared" si="58"/>
        <v>0</v>
      </c>
      <c r="W68" s="3">
        <f t="shared" si="58"/>
        <v>0</v>
      </c>
      <c r="X68" s="3">
        <f t="shared" si="58"/>
        <v>0</v>
      </c>
      <c r="Y68" s="3">
        <f t="shared" si="58"/>
        <v>0</v>
      </c>
      <c r="Z68" s="3">
        <f t="shared" si="58"/>
        <v>0</v>
      </c>
      <c r="AA68" s="3">
        <f t="shared" si="58"/>
        <v>75</v>
      </c>
      <c r="AB68" s="3">
        <f t="shared" ref="AB68:AO68" si="59">AB69+AB71</f>
        <v>0</v>
      </c>
      <c r="AC68" s="3">
        <f t="shared" si="59"/>
        <v>0</v>
      </c>
      <c r="AD68" s="3">
        <f t="shared" si="59"/>
        <v>0</v>
      </c>
      <c r="AE68" s="3">
        <f t="shared" si="59"/>
        <v>0</v>
      </c>
      <c r="AF68" s="3">
        <f t="shared" si="59"/>
        <v>0</v>
      </c>
      <c r="AG68" s="3">
        <f t="shared" si="59"/>
        <v>0</v>
      </c>
      <c r="AH68" s="3">
        <f t="shared" si="59"/>
        <v>0</v>
      </c>
      <c r="AI68" s="3">
        <f t="shared" si="59"/>
        <v>0</v>
      </c>
      <c r="AJ68" s="3">
        <f t="shared" si="59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59"/>
        <v>0</v>
      </c>
      <c r="AO68" s="3">
        <f t="shared" si="59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585" t="s">
        <v>15</v>
      </c>
      <c r="C69" s="1327"/>
      <c r="D69" s="1327"/>
      <c r="E69" s="1327"/>
      <c r="F69" s="1327"/>
      <c r="G69" s="588">
        <v>2019</v>
      </c>
      <c r="H69" s="588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60">SUM(R70)</f>
        <v>0</v>
      </c>
      <c r="S69" s="47">
        <f t="shared" si="60"/>
        <v>0</v>
      </c>
      <c r="T69" s="47">
        <f t="shared" si="60"/>
        <v>0</v>
      </c>
      <c r="U69" s="47">
        <f t="shared" si="60"/>
        <v>0</v>
      </c>
      <c r="V69" s="47">
        <f t="shared" si="60"/>
        <v>0</v>
      </c>
      <c r="W69" s="47">
        <f t="shared" si="60"/>
        <v>0</v>
      </c>
      <c r="X69" s="47">
        <v>0</v>
      </c>
      <c r="Y69" s="47">
        <f t="shared" si="60"/>
        <v>0</v>
      </c>
      <c r="Z69" s="96"/>
      <c r="AA69" s="47">
        <v>75</v>
      </c>
      <c r="AB69" s="47">
        <f t="shared" si="60"/>
        <v>0</v>
      </c>
      <c r="AC69" s="47">
        <v>0</v>
      </c>
      <c r="AD69" s="47">
        <v>0</v>
      </c>
      <c r="AE69" s="47">
        <v>0</v>
      </c>
      <c r="AF69" s="47">
        <f t="shared" si="60"/>
        <v>0</v>
      </c>
      <c r="AG69" s="47">
        <f t="shared" si="60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585" t="s">
        <v>16</v>
      </c>
      <c r="C71" s="1327"/>
      <c r="D71" s="1327"/>
      <c r="E71" s="1327"/>
      <c r="F71" s="1327"/>
      <c r="G71" s="588">
        <v>2020</v>
      </c>
      <c r="H71" s="588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727"/>
      <c r="B72" s="609" t="s">
        <v>403</v>
      </c>
      <c r="C72" s="341"/>
      <c r="D72" s="341"/>
      <c r="E72" s="341"/>
      <c r="F72" s="341"/>
      <c r="G72" s="724"/>
      <c r="H72" s="724"/>
      <c r="I72" s="721"/>
      <c r="J72" s="739"/>
      <c r="K72" s="3">
        <v>0</v>
      </c>
      <c r="L72" s="3">
        <f>L73+L76</f>
        <v>0</v>
      </c>
      <c r="M72" s="3">
        <f>M73+M76</f>
        <v>0</v>
      </c>
      <c r="N72" s="3">
        <f>N73+N76</f>
        <v>0</v>
      </c>
      <c r="O72" s="3">
        <f>O73+O76</f>
        <v>0</v>
      </c>
      <c r="P72" s="3">
        <f>P73+P76</f>
        <v>0</v>
      </c>
      <c r="Q72" s="3">
        <f>SUM(Q73)</f>
        <v>1.58</v>
      </c>
      <c r="R72" s="3">
        <f t="shared" ref="R72:AA72" si="61">SUM(R73)</f>
        <v>0</v>
      </c>
      <c r="S72" s="3">
        <f t="shared" si="61"/>
        <v>0</v>
      </c>
      <c r="T72" s="3">
        <f t="shared" si="61"/>
        <v>0</v>
      </c>
      <c r="U72" s="3">
        <f t="shared" si="61"/>
        <v>0</v>
      </c>
      <c r="V72" s="3">
        <f t="shared" si="61"/>
        <v>0</v>
      </c>
      <c r="W72" s="3">
        <f t="shared" si="61"/>
        <v>0</v>
      </c>
      <c r="X72" s="3">
        <f t="shared" si="61"/>
        <v>0</v>
      </c>
      <c r="Y72" s="3">
        <f t="shared" si="61"/>
        <v>0</v>
      </c>
      <c r="Z72" s="3">
        <f t="shared" si="61"/>
        <v>0</v>
      </c>
      <c r="AA72" s="3">
        <f t="shared" si="61"/>
        <v>1.58</v>
      </c>
      <c r="AB72" s="3">
        <f t="shared" ref="AB72:AJ72" si="62">AB73+AB76</f>
        <v>0</v>
      </c>
      <c r="AC72" s="3">
        <f t="shared" si="62"/>
        <v>0</v>
      </c>
      <c r="AD72" s="3">
        <f t="shared" si="62"/>
        <v>0</v>
      </c>
      <c r="AE72" s="3">
        <f t="shared" si="62"/>
        <v>0</v>
      </c>
      <c r="AF72" s="3">
        <f t="shared" si="62"/>
        <v>0</v>
      </c>
      <c r="AG72" s="3">
        <f t="shared" si="62"/>
        <v>0</v>
      </c>
      <c r="AH72" s="3">
        <f t="shared" si="62"/>
        <v>0</v>
      </c>
      <c r="AI72" s="3">
        <f t="shared" si="62"/>
        <v>0</v>
      </c>
      <c r="AJ72" s="3">
        <f t="shared" si="62"/>
        <v>0</v>
      </c>
      <c r="AK72" s="3">
        <f>P72-Q72</f>
        <v>-1.58</v>
      </c>
      <c r="AL72" s="3">
        <f>AK72</f>
        <v>-1.58</v>
      </c>
      <c r="AM72" s="318" t="e">
        <f>ROUND((Q72*100%/P72*100),2)</f>
        <v>#DIV/0!</v>
      </c>
      <c r="AN72" s="3">
        <f>AN73+AN76</f>
        <v>0</v>
      </c>
      <c r="AO72" s="3">
        <f>AO73+AO76</f>
        <v>0</v>
      </c>
      <c r="AP72" s="633" t="s">
        <v>272</v>
      </c>
      <c r="AQ72" s="95">
        <v>40</v>
      </c>
    </row>
    <row r="73" spans="1:43" ht="15.75" customHeight="1" x14ac:dyDescent="0.25">
      <c r="A73" s="727"/>
      <c r="B73" s="42" t="s">
        <v>16</v>
      </c>
      <c r="C73" s="341"/>
      <c r="D73" s="341"/>
      <c r="E73" s="341"/>
      <c r="F73" s="341"/>
      <c r="G73" s="313"/>
      <c r="H73" s="740"/>
      <c r="I73" s="721"/>
      <c r="J73" s="739"/>
      <c r="K73" s="4"/>
      <c r="L73" s="47"/>
      <c r="M73" s="47"/>
      <c r="N73" s="47"/>
      <c r="O73" s="47"/>
      <c r="P73" s="47">
        <v>0</v>
      </c>
      <c r="Q73" s="47">
        <v>1.58</v>
      </c>
      <c r="R73" s="47"/>
      <c r="S73" s="47"/>
      <c r="T73" s="47"/>
      <c r="U73" s="47"/>
      <c r="V73" s="47"/>
      <c r="W73" s="47"/>
      <c r="X73" s="47"/>
      <c r="Y73" s="47"/>
      <c r="Z73" s="96"/>
      <c r="AA73" s="47">
        <v>1.58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327" customFormat="1" ht="28.5" customHeight="1" x14ac:dyDescent="0.25">
      <c r="A74" s="727"/>
      <c r="B74" s="609" t="s">
        <v>404</v>
      </c>
      <c r="C74" s="341"/>
      <c r="D74" s="341"/>
      <c r="E74" s="341"/>
      <c r="F74" s="341"/>
      <c r="G74" s="724"/>
      <c r="H74" s="724"/>
      <c r="I74" s="721"/>
      <c r="J74" s="739"/>
      <c r="K74" s="3">
        <v>0</v>
      </c>
      <c r="L74" s="3">
        <f>L75+L78</f>
        <v>0</v>
      </c>
      <c r="M74" s="3">
        <f>M75+M78</f>
        <v>0</v>
      </c>
      <c r="N74" s="3">
        <f>N75+N78</f>
        <v>0</v>
      </c>
      <c r="O74" s="3">
        <f>O75+O78</f>
        <v>0</v>
      </c>
      <c r="P74" s="3">
        <f>P75+P78</f>
        <v>0</v>
      </c>
      <c r="Q74" s="3">
        <f>SUM(Q75)</f>
        <v>0</v>
      </c>
      <c r="R74" s="3">
        <f t="shared" ref="R74:AA74" si="63">SUM(R75)</f>
        <v>0</v>
      </c>
      <c r="S74" s="3">
        <f t="shared" si="63"/>
        <v>0</v>
      </c>
      <c r="T74" s="3">
        <f t="shared" si="63"/>
        <v>0</v>
      </c>
      <c r="U74" s="3">
        <f t="shared" si="63"/>
        <v>0</v>
      </c>
      <c r="V74" s="3">
        <f t="shared" si="63"/>
        <v>0</v>
      </c>
      <c r="W74" s="3">
        <f t="shared" si="63"/>
        <v>0</v>
      </c>
      <c r="X74" s="3">
        <f t="shared" si="63"/>
        <v>0</v>
      </c>
      <c r="Y74" s="3">
        <f t="shared" si="63"/>
        <v>0</v>
      </c>
      <c r="Z74" s="3">
        <f t="shared" si="63"/>
        <v>0</v>
      </c>
      <c r="AA74" s="3">
        <f t="shared" si="63"/>
        <v>0</v>
      </c>
      <c r="AB74" s="3">
        <f t="shared" ref="AB74:AJ74" si="64">AB75+AB78</f>
        <v>0</v>
      </c>
      <c r="AC74" s="3">
        <f t="shared" si="64"/>
        <v>0</v>
      </c>
      <c r="AD74" s="3">
        <f t="shared" si="64"/>
        <v>0</v>
      </c>
      <c r="AE74" s="3">
        <f t="shared" si="64"/>
        <v>0</v>
      </c>
      <c r="AF74" s="3">
        <f t="shared" si="64"/>
        <v>0</v>
      </c>
      <c r="AG74" s="3">
        <f t="shared" si="64"/>
        <v>0</v>
      </c>
      <c r="AH74" s="3">
        <f t="shared" si="64"/>
        <v>0</v>
      </c>
      <c r="AI74" s="3">
        <f t="shared" si="64"/>
        <v>0</v>
      </c>
      <c r="AJ74" s="3">
        <f t="shared" si="64"/>
        <v>0</v>
      </c>
      <c r="AK74" s="3">
        <f>P74-Q74</f>
        <v>0</v>
      </c>
      <c r="AL74" s="3">
        <f>AK74</f>
        <v>0</v>
      </c>
      <c r="AM74" s="318" t="e">
        <f>ROUND((Q74*100%/P74*100),2)</f>
        <v>#DIV/0!</v>
      </c>
      <c r="AN74" s="3">
        <f>AN75+AN78</f>
        <v>0</v>
      </c>
      <c r="AO74" s="3">
        <f>AO75+AO78</f>
        <v>0</v>
      </c>
      <c r="AP74" s="633" t="s">
        <v>272</v>
      </c>
      <c r="AQ74" s="95">
        <v>40</v>
      </c>
    </row>
    <row r="75" spans="1:43" ht="15.75" customHeight="1" x14ac:dyDescent="0.25">
      <c r="A75" s="727"/>
      <c r="B75" s="42" t="s">
        <v>16</v>
      </c>
      <c r="C75" s="341"/>
      <c r="D75" s="341"/>
      <c r="E75" s="341"/>
      <c r="F75" s="341"/>
      <c r="G75" s="313"/>
      <c r="H75" s="740"/>
      <c r="I75" s="721"/>
      <c r="J75" s="739"/>
      <c r="K75" s="4"/>
      <c r="L75" s="47"/>
      <c r="M75" s="47"/>
      <c r="N75" s="47"/>
      <c r="O75" s="47"/>
      <c r="P75" s="47">
        <v>0</v>
      </c>
      <c r="Q75" s="47">
        <v>0</v>
      </c>
      <c r="R75" s="47"/>
      <c r="S75" s="47"/>
      <c r="T75" s="47"/>
      <c r="U75" s="47"/>
      <c r="V75" s="47"/>
      <c r="W75" s="47"/>
      <c r="X75" s="47"/>
      <c r="Y75" s="47"/>
      <c r="Z75" s="96"/>
      <c r="AA75" s="47"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397"/>
      <c r="AQ75" s="96"/>
    </row>
    <row r="76" spans="1:43" ht="52.5" hidden="1" customHeight="1" x14ac:dyDescent="0.25">
      <c r="A76" s="1332" t="s">
        <v>56</v>
      </c>
      <c r="B76" s="1613" t="s">
        <v>41</v>
      </c>
      <c r="C76" s="1614"/>
      <c r="D76" s="1614"/>
      <c r="E76" s="1614"/>
      <c r="F76" s="1614"/>
      <c r="G76" s="1614"/>
      <c r="H76" s="1615"/>
      <c r="I76" s="23" t="s">
        <v>19</v>
      </c>
      <c r="J76" s="645">
        <v>0</v>
      </c>
      <c r="K76" s="645">
        <v>0</v>
      </c>
      <c r="L76" s="47">
        <f>M76+N76+O76</f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96"/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47">
        <v>0</v>
      </c>
      <c r="AI76" s="47">
        <v>0</v>
      </c>
      <c r="AJ76" s="47">
        <v>0</v>
      </c>
      <c r="AK76" s="47">
        <v>0</v>
      </c>
      <c r="AL76" s="47">
        <v>0</v>
      </c>
      <c r="AM76" s="47">
        <v>0</v>
      </c>
      <c r="AN76" s="47">
        <v>0</v>
      </c>
      <c r="AO76" s="47">
        <v>0</v>
      </c>
      <c r="AP76" s="397"/>
      <c r="AQ76" s="96"/>
    </row>
    <row r="77" spans="1:43" ht="48" hidden="1" customHeight="1" x14ac:dyDescent="0.25">
      <c r="A77" s="1333"/>
      <c r="B77" s="1616"/>
      <c r="C77" s="1617"/>
      <c r="D77" s="1617"/>
      <c r="E77" s="1617"/>
      <c r="F77" s="1617"/>
      <c r="G77" s="1617"/>
      <c r="H77" s="1618"/>
      <c r="I77" s="23" t="s">
        <v>20</v>
      </c>
      <c r="J77" s="645">
        <f>L77</f>
        <v>212998.96</v>
      </c>
      <c r="K77" s="645">
        <f>K80+K127+K128+K129</f>
        <v>0</v>
      </c>
      <c r="L77" s="47">
        <f>L80+L84+L90+L91+L94+L97+L100+L106+L111+L114+L118+L123</f>
        <v>212998.96</v>
      </c>
      <c r="M77" s="47">
        <f>M80+M84+M90+M91+M94+M97+M100+M106</f>
        <v>23675.279999999999</v>
      </c>
      <c r="N77" s="47">
        <f>N80+N84+N90+N91+N94+N97+N100+N106+N111+N114+N118+N123</f>
        <v>44561.120000000003</v>
      </c>
      <c r="O77" s="47">
        <f>O80+O84+O90+O91+O94+O97+O100+O106+O111+O114+O118+O123</f>
        <v>26487.67</v>
      </c>
      <c r="P77" s="47">
        <f>P80+P84+P90+P91+P94+P97+P100+P106+P111+P114+P118+P123</f>
        <v>42150.159999999996</v>
      </c>
      <c r="Q77" s="47">
        <f>Q80+Q84+Q90+Q91+Q94+Q97+Q100+Q106+Q111+Q114+Q118+Q123</f>
        <v>0</v>
      </c>
      <c r="R77" s="47">
        <f t="shared" ref="R77:Y77" si="65">R80+R84+R90+R91+R94+R97+R100+R106+R111+R114+R118+R123</f>
        <v>11372.53</v>
      </c>
      <c r="S77" s="47">
        <f t="shared" si="65"/>
        <v>11789.196</v>
      </c>
      <c r="T77" s="47">
        <f t="shared" si="65"/>
        <v>17105.953000000001</v>
      </c>
      <c r="U77" s="47">
        <f t="shared" si="65"/>
        <v>16853.532999999999</v>
      </c>
      <c r="V77" s="47">
        <f t="shared" si="65"/>
        <v>1876.1869999999999</v>
      </c>
      <c r="W77" s="47">
        <f t="shared" si="65"/>
        <v>1916.0429999999999</v>
      </c>
      <c r="X77" s="47">
        <f t="shared" si="65"/>
        <v>0</v>
      </c>
      <c r="Y77" s="47">
        <f t="shared" si="65"/>
        <v>0</v>
      </c>
      <c r="Z77" s="96"/>
      <c r="AA77" s="47">
        <f>AA80+AA84+AA90+AA91+AA94+AA97+AA100+AA106+AA111+AA114+AA118+AA123</f>
        <v>0</v>
      </c>
      <c r="AB77" s="47">
        <f>AB80+AB84+AB90+AB91+AB94+AB97+AB100+AB106+AB111+AB114+AB118+AB123</f>
        <v>40.5</v>
      </c>
      <c r="AC77" s="47">
        <f>AC80+AC84+AC90+AC91+AC94+AC97+AC100+AC106+AC111+AC114+AC118+AC123</f>
        <v>907.08299999999997</v>
      </c>
      <c r="AD77" s="47">
        <f>AD80+AD84+AD90+AD91+AD94+AD97+AD100+AD106+AD111+AD114+AD118+AD123</f>
        <v>2805.3339999999998</v>
      </c>
      <c r="AE77" s="47">
        <f>AE80+AE84+AE90+AE91+AE94+AE97+AE100+AE106+AE111+AE114+AE118+AE123</f>
        <v>0</v>
      </c>
      <c r="AF77" s="47">
        <f t="shared" ref="AF77:AO77" si="66">AF80+AF84+AF90</f>
        <v>0</v>
      </c>
      <c r="AG77" s="47">
        <f t="shared" si="66"/>
        <v>0</v>
      </c>
      <c r="AH77" s="47">
        <f t="shared" si="66"/>
        <v>0</v>
      </c>
      <c r="AI77" s="47">
        <f t="shared" si="66"/>
        <v>0</v>
      </c>
      <c r="AJ77" s="47">
        <f>AJ80+AJ84+AJ90+AJ123</f>
        <v>0</v>
      </c>
      <c r="AK77" s="47">
        <f t="shared" si="66"/>
        <v>4809.3900000000003</v>
      </c>
      <c r="AL77" s="47">
        <f t="shared" si="66"/>
        <v>4809.3900000000003</v>
      </c>
      <c r="AM77" s="47" t="e">
        <f t="shared" si="66"/>
        <v>#DIV/0!</v>
      </c>
      <c r="AN77" s="47">
        <f t="shared" si="66"/>
        <v>0</v>
      </c>
      <c r="AO77" s="47">
        <f t="shared" si="66"/>
        <v>0</v>
      </c>
      <c r="AP77" s="397"/>
      <c r="AQ77" s="96"/>
    </row>
    <row r="78" spans="1:43" ht="27" hidden="1" customHeight="1" x14ac:dyDescent="0.25">
      <c r="A78" s="1333"/>
      <c r="B78" s="1616"/>
      <c r="C78" s="1617"/>
      <c r="D78" s="1617"/>
      <c r="E78" s="1617"/>
      <c r="F78" s="1617"/>
      <c r="G78" s="1617"/>
      <c r="H78" s="1618"/>
      <c r="I78" s="23" t="s">
        <v>10</v>
      </c>
      <c r="J78" s="645">
        <f>L78</f>
        <v>0</v>
      </c>
      <c r="K78" s="645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27" hidden="1" customHeight="1" x14ac:dyDescent="0.25">
      <c r="A79" s="1334"/>
      <c r="B79" s="1619"/>
      <c r="C79" s="1620"/>
      <c r="D79" s="1620"/>
      <c r="E79" s="1620"/>
      <c r="F79" s="1620"/>
      <c r="G79" s="1620"/>
      <c r="H79" s="1621"/>
      <c r="I79" s="23" t="s">
        <v>9</v>
      </c>
      <c r="J79" s="645">
        <f>L79</f>
        <v>0</v>
      </c>
      <c r="K79" s="645">
        <v>0</v>
      </c>
      <c r="L79" s="47">
        <f>M79+N79+O79</f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96"/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397"/>
      <c r="AQ79" s="96"/>
    </row>
    <row r="80" spans="1:43" s="327" customFormat="1" ht="27.75" customHeight="1" x14ac:dyDescent="0.25">
      <c r="A80" s="1372" t="s">
        <v>57</v>
      </c>
      <c r="B80" s="780" t="s">
        <v>200</v>
      </c>
      <c r="C80" s="732"/>
      <c r="D80" s="732"/>
      <c r="E80" s="732"/>
      <c r="F80" s="732"/>
      <c r="G80" s="732">
        <v>2019</v>
      </c>
      <c r="H80" s="732">
        <v>2019</v>
      </c>
      <c r="I80" s="1326" t="s">
        <v>20</v>
      </c>
      <c r="J80" s="3">
        <f>L80</f>
        <v>30833.33</v>
      </c>
      <c r="K80" s="3"/>
      <c r="L80" s="3">
        <f t="shared" ref="L80:S80" si="67">L81</f>
        <v>30833.33</v>
      </c>
      <c r="M80" s="3">
        <f t="shared" si="67"/>
        <v>20000</v>
      </c>
      <c r="N80" s="3">
        <f t="shared" si="67"/>
        <v>9151.41</v>
      </c>
      <c r="O80" s="3">
        <f t="shared" si="67"/>
        <v>0</v>
      </c>
      <c r="P80" s="3">
        <v>0</v>
      </c>
      <c r="Q80" s="3">
        <f t="shared" si="67"/>
        <v>0</v>
      </c>
      <c r="R80" s="3">
        <f t="shared" si="67"/>
        <v>0</v>
      </c>
      <c r="S80" s="3">
        <f t="shared" si="67"/>
        <v>0</v>
      </c>
      <c r="T80" s="3">
        <f t="shared" ref="T80:AC80" si="68">T81</f>
        <v>0</v>
      </c>
      <c r="U80" s="3">
        <f t="shared" si="68"/>
        <v>0</v>
      </c>
      <c r="V80" s="3">
        <f t="shared" si="68"/>
        <v>0</v>
      </c>
      <c r="W80" s="3">
        <f t="shared" si="68"/>
        <v>0</v>
      </c>
      <c r="X80" s="3">
        <f t="shared" si="68"/>
        <v>0</v>
      </c>
      <c r="Y80" s="3">
        <f t="shared" si="68"/>
        <v>0</v>
      </c>
      <c r="Z80" s="95">
        <v>0</v>
      </c>
      <c r="AA80" s="3">
        <f t="shared" si="68"/>
        <v>0</v>
      </c>
      <c r="AB80" s="3">
        <f t="shared" si="68"/>
        <v>0</v>
      </c>
      <c r="AC80" s="3">
        <f t="shared" si="68"/>
        <v>0</v>
      </c>
      <c r="AD80" s="3">
        <f>AD81</f>
        <v>0</v>
      </c>
      <c r="AE80" s="3">
        <f t="shared" ref="AE80:AJ80" si="69">AE81</f>
        <v>0</v>
      </c>
      <c r="AF80" s="3">
        <f t="shared" si="69"/>
        <v>0</v>
      </c>
      <c r="AG80" s="3">
        <f t="shared" si="69"/>
        <v>0</v>
      </c>
      <c r="AH80" s="3">
        <f t="shared" si="69"/>
        <v>0</v>
      </c>
      <c r="AI80" s="3">
        <f t="shared" si="69"/>
        <v>0</v>
      </c>
      <c r="AJ80" s="3">
        <f t="shared" si="69"/>
        <v>0</v>
      </c>
      <c r="AK80" s="3">
        <v>0</v>
      </c>
      <c r="AL80" s="3">
        <f>AK80</f>
        <v>0</v>
      </c>
      <c r="AM80" s="318" t="e">
        <f>ROUND((Q80*100%/P80*100),2)</f>
        <v>#DIV/0!</v>
      </c>
      <c r="AN80" s="3">
        <v>0</v>
      </c>
      <c r="AO80" s="3">
        <v>0</v>
      </c>
      <c r="AP80" s="633" t="s">
        <v>273</v>
      </c>
      <c r="AQ80" s="95">
        <v>0</v>
      </c>
    </row>
    <row r="81" spans="1:43" ht="14.25" hidden="1" customHeight="1" x14ac:dyDescent="0.25">
      <c r="A81" s="1383"/>
      <c r="B81" s="1" t="s">
        <v>201</v>
      </c>
      <c r="C81" s="588"/>
      <c r="D81" s="588"/>
      <c r="E81" s="588"/>
      <c r="F81" s="588"/>
      <c r="G81" s="597"/>
      <c r="H81" s="597"/>
      <c r="I81" s="1639"/>
      <c r="J81" s="47"/>
      <c r="K81" s="47"/>
      <c r="L81" s="47">
        <v>30833.33</v>
      </c>
      <c r="M81" s="47">
        <v>20000</v>
      </c>
      <c r="N81" s="47">
        <v>9151.41</v>
      </c>
      <c r="O81" s="47">
        <v>0</v>
      </c>
      <c r="P81" s="47">
        <v>1681.92</v>
      </c>
      <c r="Q81" s="47">
        <f>SUM(Q82:Q83)</f>
        <v>0</v>
      </c>
      <c r="R81" s="47">
        <f>SUM(R82:R83)</f>
        <v>0</v>
      </c>
      <c r="S81" s="47">
        <f>SUM(S82:S83)</f>
        <v>0</v>
      </c>
      <c r="T81" s="47">
        <f t="shared" ref="T81:AC81" si="70">SUM(T82:T83)</f>
        <v>0</v>
      </c>
      <c r="U81" s="47">
        <f t="shared" si="70"/>
        <v>0</v>
      </c>
      <c r="V81" s="47">
        <f t="shared" si="70"/>
        <v>0</v>
      </c>
      <c r="W81" s="47">
        <f t="shared" si="70"/>
        <v>0</v>
      </c>
      <c r="X81" s="47">
        <f t="shared" si="70"/>
        <v>0</v>
      </c>
      <c r="Y81" s="47">
        <f t="shared" si="70"/>
        <v>0</v>
      </c>
      <c r="Z81" s="96"/>
      <c r="AA81" s="47">
        <f t="shared" si="70"/>
        <v>0</v>
      </c>
      <c r="AB81" s="47">
        <f t="shared" si="70"/>
        <v>0</v>
      </c>
      <c r="AC81" s="47">
        <f t="shared" si="70"/>
        <v>0</v>
      </c>
      <c r="AD81" s="47">
        <f>SUM(AD82:AD83)</f>
        <v>0</v>
      </c>
      <c r="AE81" s="47">
        <f t="shared" ref="AE81:AJ81" si="71">SUM(AE82:AE83)</f>
        <v>0</v>
      </c>
      <c r="AF81" s="47">
        <f t="shared" si="71"/>
        <v>0</v>
      </c>
      <c r="AG81" s="47">
        <f t="shared" si="71"/>
        <v>0</v>
      </c>
      <c r="AH81" s="47">
        <f t="shared" si="71"/>
        <v>0</v>
      </c>
      <c r="AI81" s="47">
        <f t="shared" si="71"/>
        <v>0</v>
      </c>
      <c r="AJ81" s="47">
        <f t="shared" si="71"/>
        <v>0</v>
      </c>
      <c r="AK81" s="47">
        <v>0</v>
      </c>
      <c r="AL81" s="47">
        <v>0</v>
      </c>
      <c r="AM81" s="4">
        <v>0</v>
      </c>
      <c r="AN81" s="47">
        <v>0</v>
      </c>
      <c r="AO81" s="47">
        <v>0</v>
      </c>
      <c r="AP81" s="397"/>
      <c r="AQ81" s="96"/>
    </row>
    <row r="82" spans="1:43" s="266" customFormat="1" ht="15.75" hidden="1" x14ac:dyDescent="0.25">
      <c r="A82" s="587"/>
      <c r="B82" s="102"/>
      <c r="C82" s="262"/>
      <c r="D82" s="262"/>
      <c r="E82" s="262"/>
      <c r="F82" s="262"/>
      <c r="G82" s="104"/>
      <c r="H82" s="104"/>
      <c r="I82" s="646"/>
      <c r="J82" s="96"/>
      <c r="K82" s="96"/>
      <c r="L82" s="96"/>
      <c r="M82" s="96"/>
      <c r="N82" s="96"/>
      <c r="O82" s="96"/>
      <c r="P82" s="47">
        <f>Q82</f>
        <v>0</v>
      </c>
      <c r="Q82" s="96">
        <f>S82+U82+W82+Y82</f>
        <v>0</v>
      </c>
      <c r="R82" s="96">
        <f>S82</f>
        <v>0</v>
      </c>
      <c r="S82" s="96">
        <v>0</v>
      </c>
      <c r="T82" s="96">
        <v>0</v>
      </c>
      <c r="U82" s="96">
        <v>0</v>
      </c>
      <c r="V82" s="96">
        <f>W82</f>
        <v>0</v>
      </c>
      <c r="W82" s="96">
        <v>0</v>
      </c>
      <c r="X82" s="96">
        <f>Y82</f>
        <v>0</v>
      </c>
      <c r="Y82" s="96">
        <v>0</v>
      </c>
      <c r="Z82" s="96"/>
      <c r="AA82" s="96">
        <f>AB82+AD82</f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f>AG82+AH82+AI82</f>
        <v>0</v>
      </c>
      <c r="AG82" s="96"/>
      <c r="AH82" s="96"/>
      <c r="AI82" s="96">
        <v>0</v>
      </c>
      <c r="AJ82" s="96"/>
      <c r="AK82" s="96"/>
      <c r="AL82" s="96"/>
      <c r="AM82" s="268"/>
      <c r="AN82" s="96"/>
      <c r="AO82" s="96"/>
      <c r="AP82" s="405"/>
      <c r="AQ82" s="96"/>
    </row>
    <row r="83" spans="1:43" ht="14.25" hidden="1" customHeight="1" x14ac:dyDescent="0.25">
      <c r="A83" s="587"/>
      <c r="B83" s="1"/>
      <c r="C83" s="588"/>
      <c r="D83" s="588"/>
      <c r="E83" s="588"/>
      <c r="F83" s="588"/>
      <c r="G83" s="597"/>
      <c r="H83" s="597"/>
      <c r="I83" s="646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96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"/>
      <c r="AN83" s="47"/>
      <c r="AO83" s="47"/>
      <c r="AP83" s="397"/>
      <c r="AQ83" s="96"/>
    </row>
    <row r="84" spans="1:43" s="327" customFormat="1" ht="27" customHeight="1" x14ac:dyDescent="0.25">
      <c r="A84" s="787" t="s">
        <v>58</v>
      </c>
      <c r="B84" s="780" t="s">
        <v>87</v>
      </c>
      <c r="C84" s="1326"/>
      <c r="D84" s="1326"/>
      <c r="E84" s="1326"/>
      <c r="F84" s="1326"/>
      <c r="G84" s="732"/>
      <c r="H84" s="732"/>
      <c r="I84" s="1326" t="s">
        <v>20</v>
      </c>
      <c r="J84" s="3">
        <f t="shared" ref="J84:J89" si="72">L84</f>
        <v>20425.87</v>
      </c>
      <c r="K84" s="3"/>
      <c r="L84" s="3">
        <f>L85+L89</f>
        <v>20425.87</v>
      </c>
      <c r="M84" s="3">
        <f t="shared" ref="M84:AO84" si="73">M85+M89</f>
        <v>616.66</v>
      </c>
      <c r="N84" s="3">
        <f t="shared" si="73"/>
        <v>6665.55</v>
      </c>
      <c r="O84" s="3">
        <f t="shared" si="73"/>
        <v>4018.39</v>
      </c>
      <c r="P84" s="3">
        <f t="shared" si="73"/>
        <v>4809.3900000000003</v>
      </c>
      <c r="Q84" s="3">
        <f t="shared" si="73"/>
        <v>0</v>
      </c>
      <c r="R84" s="3">
        <f t="shared" si="73"/>
        <v>0</v>
      </c>
      <c r="S84" s="3">
        <f t="shared" si="73"/>
        <v>416.67</v>
      </c>
      <c r="T84" s="3">
        <f t="shared" si="73"/>
        <v>495.38399999999996</v>
      </c>
      <c r="U84" s="3">
        <f t="shared" si="73"/>
        <v>495.38399999999996</v>
      </c>
      <c r="V84" s="3">
        <f t="shared" si="73"/>
        <v>278.41000000000003</v>
      </c>
      <c r="W84" s="3">
        <f t="shared" si="73"/>
        <v>318.26600000000002</v>
      </c>
      <c r="X84" s="3">
        <f t="shared" si="73"/>
        <v>0</v>
      </c>
      <c r="Y84" s="3">
        <f t="shared" si="73"/>
        <v>0</v>
      </c>
      <c r="Z84" s="95">
        <v>0</v>
      </c>
      <c r="AA84" s="3">
        <f>AA85+AA89+AQ84</f>
        <v>0</v>
      </c>
      <c r="AB84" s="3">
        <f t="shared" si="73"/>
        <v>0</v>
      </c>
      <c r="AC84" s="3">
        <f t="shared" si="73"/>
        <v>907.08299999999997</v>
      </c>
      <c r="AD84" s="3">
        <f t="shared" si="73"/>
        <v>308.33300000000003</v>
      </c>
      <c r="AE84" s="3">
        <f t="shared" si="73"/>
        <v>0</v>
      </c>
      <c r="AF84" s="3">
        <f t="shared" si="73"/>
        <v>0</v>
      </c>
      <c r="AG84" s="3">
        <f t="shared" si="73"/>
        <v>0</v>
      </c>
      <c r="AH84" s="3">
        <f t="shared" si="73"/>
        <v>0</v>
      </c>
      <c r="AI84" s="3">
        <f t="shared" si="73"/>
        <v>0</v>
      </c>
      <c r="AJ84" s="3">
        <f t="shared" si="73"/>
        <v>0</v>
      </c>
      <c r="AK84" s="3">
        <f>P84-Q84</f>
        <v>4809.3900000000003</v>
      </c>
      <c r="AL84" s="3">
        <f>AK84</f>
        <v>4809.3900000000003</v>
      </c>
      <c r="AM84" s="318">
        <f>ROUND((Q84*100%/P84*100),2)</f>
        <v>0</v>
      </c>
      <c r="AN84" s="3">
        <f t="shared" si="73"/>
        <v>0</v>
      </c>
      <c r="AO84" s="3">
        <f t="shared" si="73"/>
        <v>0</v>
      </c>
      <c r="AP84" s="633" t="s">
        <v>243</v>
      </c>
      <c r="AQ84" s="95">
        <v>0</v>
      </c>
    </row>
    <row r="85" spans="1:43" ht="14.25" customHeight="1" x14ac:dyDescent="0.25">
      <c r="A85" s="44"/>
      <c r="B85" s="1" t="s">
        <v>15</v>
      </c>
      <c r="C85" s="1327"/>
      <c r="D85" s="1327"/>
      <c r="E85" s="1327"/>
      <c r="F85" s="1327"/>
      <c r="G85" s="597">
        <v>2020</v>
      </c>
      <c r="H85" s="597">
        <v>2020</v>
      </c>
      <c r="I85" s="1327"/>
      <c r="J85" s="47">
        <f t="shared" si="72"/>
        <v>7560.63</v>
      </c>
      <c r="K85" s="47"/>
      <c r="L85" s="47">
        <v>7560.63</v>
      </c>
      <c r="M85" s="47">
        <v>616.66</v>
      </c>
      <c r="N85" s="47">
        <v>6665.55</v>
      </c>
      <c r="O85" s="47">
        <v>0</v>
      </c>
      <c r="P85" s="47">
        <v>791.01</v>
      </c>
      <c r="Q85" s="47">
        <v>0</v>
      </c>
      <c r="R85" s="47">
        <f>R88+R86+R87</f>
        <v>0</v>
      </c>
      <c r="S85" s="47">
        <f>S88+S86+S87</f>
        <v>416.67</v>
      </c>
      <c r="T85" s="47">
        <f>T88+T86+T87</f>
        <v>495.38399999999996</v>
      </c>
      <c r="U85" s="47">
        <f>SUM(U86:U88)</f>
        <v>495.38399999999996</v>
      </c>
      <c r="V85" s="47">
        <f t="shared" ref="V85:AK85" si="74">V88+V86</f>
        <v>278.41000000000003</v>
      </c>
      <c r="W85" s="47">
        <f>W88+W86+W87</f>
        <v>318.26600000000002</v>
      </c>
      <c r="X85" s="47">
        <f t="shared" si="74"/>
        <v>0</v>
      </c>
      <c r="Y85" s="47">
        <f t="shared" si="74"/>
        <v>0</v>
      </c>
      <c r="Z85" s="96"/>
      <c r="AA85" s="47">
        <v>0</v>
      </c>
      <c r="AB85" s="47">
        <f t="shared" si="74"/>
        <v>0</v>
      </c>
      <c r="AC85" s="47">
        <f t="shared" si="74"/>
        <v>907.08299999999997</v>
      </c>
      <c r="AD85" s="47">
        <f t="shared" si="74"/>
        <v>308.33300000000003</v>
      </c>
      <c r="AE85" s="47">
        <f t="shared" si="74"/>
        <v>0</v>
      </c>
      <c r="AF85" s="47">
        <f t="shared" si="74"/>
        <v>0</v>
      </c>
      <c r="AG85" s="47">
        <f t="shared" si="74"/>
        <v>0</v>
      </c>
      <c r="AH85" s="47">
        <f t="shared" si="74"/>
        <v>0</v>
      </c>
      <c r="AI85" s="47">
        <f t="shared" si="74"/>
        <v>0</v>
      </c>
      <c r="AJ85" s="47">
        <f t="shared" si="74"/>
        <v>0</v>
      </c>
      <c r="AK85" s="47">
        <f t="shared" si="74"/>
        <v>0</v>
      </c>
      <c r="AL85" s="47">
        <v>0</v>
      </c>
      <c r="AM85" s="47">
        <v>0</v>
      </c>
      <c r="AN85" s="47">
        <v>0</v>
      </c>
      <c r="AO85" s="47">
        <v>0</v>
      </c>
      <c r="AP85" s="397"/>
      <c r="AQ85" s="96"/>
    </row>
    <row r="86" spans="1:43" s="266" customFormat="1" ht="19.5" hidden="1" customHeight="1" x14ac:dyDescent="0.25">
      <c r="A86" s="251"/>
      <c r="B86" s="102" t="s">
        <v>297</v>
      </c>
      <c r="C86" s="1327"/>
      <c r="D86" s="1327"/>
      <c r="E86" s="1327"/>
      <c r="F86" s="1327"/>
      <c r="G86" s="104"/>
      <c r="H86" s="104"/>
      <c r="I86" s="1327"/>
      <c r="J86" s="96"/>
      <c r="K86" s="96"/>
      <c r="L86" s="96"/>
      <c r="M86" s="96"/>
      <c r="N86" s="96"/>
      <c r="O86" s="96"/>
      <c r="P86" s="96"/>
      <c r="Q86" s="96">
        <f>S86+U86+Y86+W86</f>
        <v>1215.42</v>
      </c>
      <c r="R86" s="96"/>
      <c r="S86" s="96">
        <v>416.67</v>
      </c>
      <c r="T86" s="96">
        <f>U86</f>
        <v>490.41699999999997</v>
      </c>
      <c r="U86" s="96">
        <v>490.41699999999997</v>
      </c>
      <c r="V86" s="96">
        <v>278.41000000000003</v>
      </c>
      <c r="W86" s="96">
        <v>308.33300000000003</v>
      </c>
      <c r="X86" s="96"/>
      <c r="Y86" s="96"/>
      <c r="Z86" s="96"/>
      <c r="AA86" s="96">
        <f>AC86+AD86</f>
        <v>1215.4159999999999</v>
      </c>
      <c r="AB86" s="96"/>
      <c r="AC86" s="96">
        <v>907.08299999999997</v>
      </c>
      <c r="AD86" s="96">
        <v>308.33300000000003</v>
      </c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405"/>
      <c r="AQ86" s="96"/>
    </row>
    <row r="87" spans="1:43" s="266" customFormat="1" ht="19.5" hidden="1" customHeight="1" x14ac:dyDescent="0.25">
      <c r="A87" s="251"/>
      <c r="B87" s="102" t="s">
        <v>315</v>
      </c>
      <c r="C87" s="1327"/>
      <c r="D87" s="1327"/>
      <c r="E87" s="1327"/>
      <c r="F87" s="1327"/>
      <c r="G87" s="104"/>
      <c r="H87" s="104"/>
      <c r="I87" s="1327"/>
      <c r="J87" s="96"/>
      <c r="K87" s="96"/>
      <c r="L87" s="96"/>
      <c r="M87" s="96"/>
      <c r="N87" s="96"/>
      <c r="O87" s="96"/>
      <c r="P87" s="96"/>
      <c r="Q87" s="96">
        <f>U87+W87</f>
        <v>14.899999999999999</v>
      </c>
      <c r="R87" s="96"/>
      <c r="S87" s="96">
        <v>0</v>
      </c>
      <c r="T87" s="96">
        <f>U87</f>
        <v>4.9669999999999996</v>
      </c>
      <c r="U87" s="96">
        <v>4.9669999999999996</v>
      </c>
      <c r="V87" s="96"/>
      <c r="W87" s="96">
        <v>9.9329999999999998</v>
      </c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405"/>
      <c r="AQ87" s="96"/>
    </row>
    <row r="88" spans="1:43" s="266" customFormat="1" ht="16.5" hidden="1" customHeight="1" x14ac:dyDescent="0.25">
      <c r="A88" s="251"/>
      <c r="B88" s="102" t="s">
        <v>255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47">
        <v>0</v>
      </c>
      <c r="Q88" s="96">
        <f>S88+U88+Y88</f>
        <v>0</v>
      </c>
      <c r="R88" s="96">
        <f>S88</f>
        <v>0</v>
      </c>
      <c r="S88" s="96"/>
      <c r="T88" s="96"/>
      <c r="U88" s="96"/>
      <c r="V88" s="96"/>
      <c r="W88" s="96"/>
      <c r="X88" s="96"/>
      <c r="Y88" s="96">
        <v>0</v>
      </c>
      <c r="Z88" s="96"/>
      <c r="AA88" s="96">
        <f>AB88</f>
        <v>0</v>
      </c>
      <c r="AB88" s="96"/>
      <c r="AC88" s="96">
        <v>0</v>
      </c>
      <c r="AD88" s="96"/>
      <c r="AE88" s="96"/>
      <c r="AF88" s="96">
        <f>SUM(AG88:AG88)</f>
        <v>0</v>
      </c>
      <c r="AG88" s="96"/>
      <c r="AH88" s="96"/>
      <c r="AI88" s="96"/>
      <c r="AJ88" s="96"/>
      <c r="AK88" s="96">
        <v>0</v>
      </c>
      <c r="AL88" s="96">
        <v>0</v>
      </c>
      <c r="AM88" s="96">
        <v>0</v>
      </c>
      <c r="AN88" s="96">
        <v>0</v>
      </c>
      <c r="AO88" s="96">
        <v>0</v>
      </c>
      <c r="AP88" s="405"/>
      <c r="AQ88" s="96"/>
    </row>
    <row r="89" spans="1:43" ht="15.75" customHeight="1" x14ac:dyDescent="0.25">
      <c r="A89" s="44"/>
      <c r="B89" s="1" t="s">
        <v>16</v>
      </c>
      <c r="C89" s="1328"/>
      <c r="D89" s="1328"/>
      <c r="E89" s="1328"/>
      <c r="F89" s="1328"/>
      <c r="G89" s="597">
        <v>2020</v>
      </c>
      <c r="H89" s="597">
        <v>2020</v>
      </c>
      <c r="I89" s="1328"/>
      <c r="J89" s="47">
        <f t="shared" si="72"/>
        <v>12865.24</v>
      </c>
      <c r="K89" s="47"/>
      <c r="L89" s="47">
        <v>12865.24</v>
      </c>
      <c r="M89" s="47">
        <v>0</v>
      </c>
      <c r="N89" s="47">
        <v>0</v>
      </c>
      <c r="O89" s="47">
        <v>4018.39</v>
      </c>
      <c r="P89" s="47">
        <v>4018.38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96"/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397"/>
      <c r="AQ89" s="96"/>
    </row>
    <row r="90" spans="1:43" ht="44.25" hidden="1" customHeight="1" x14ac:dyDescent="0.25">
      <c r="A90" s="44" t="s">
        <v>59</v>
      </c>
      <c r="B90" s="1" t="s">
        <v>55</v>
      </c>
      <c r="C90" s="597"/>
      <c r="D90" s="597"/>
      <c r="E90" s="597"/>
      <c r="F90" s="597"/>
      <c r="G90" s="597">
        <v>2021</v>
      </c>
      <c r="H90" s="597"/>
      <c r="I90" s="589" t="s">
        <v>20</v>
      </c>
      <c r="J90" s="72">
        <v>313558.92</v>
      </c>
      <c r="K90" s="47"/>
      <c r="L90" s="47">
        <f>M90+N90+O90</f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96"/>
      <c r="AA90" s="47">
        <v>0</v>
      </c>
      <c r="AB90" s="47">
        <v>0</v>
      </c>
      <c r="AC90" s="47"/>
      <c r="AD90" s="47"/>
      <c r="AE90" s="47"/>
      <c r="AF90" s="47">
        <v>0</v>
      </c>
      <c r="AG90" s="47"/>
      <c r="AH90" s="47"/>
      <c r="AI90" s="47"/>
      <c r="AJ90" s="47"/>
      <c r="AK90" s="47">
        <f>P90-Q90</f>
        <v>0</v>
      </c>
      <c r="AL90" s="47">
        <f>AK90</f>
        <v>0</v>
      </c>
      <c r="AM90" s="4">
        <v>0</v>
      </c>
      <c r="AN90" s="47">
        <v>0</v>
      </c>
      <c r="AO90" s="47">
        <v>0</v>
      </c>
      <c r="AP90" s="397" t="s">
        <v>158</v>
      </c>
      <c r="AQ90" s="96"/>
    </row>
    <row r="91" spans="1:43" s="327" customFormat="1" ht="40.5" customHeight="1" x14ac:dyDescent="0.25">
      <c r="A91" s="1372" t="s">
        <v>278</v>
      </c>
      <c r="B91" s="772" t="s">
        <v>202</v>
      </c>
      <c r="C91" s="312"/>
      <c r="D91" s="312"/>
      <c r="E91" s="312"/>
      <c r="F91" s="312"/>
      <c r="G91" s="312"/>
      <c r="H91" s="723"/>
      <c r="I91" s="1326" t="s">
        <v>20</v>
      </c>
      <c r="J91" s="730"/>
      <c r="K91" s="3"/>
      <c r="L91" s="3">
        <f>L92</f>
        <v>4214.49</v>
      </c>
      <c r="M91" s="3">
        <f t="shared" ref="M91:AO92" si="75">M92</f>
        <v>0</v>
      </c>
      <c r="N91" s="3">
        <f t="shared" si="75"/>
        <v>3995.07</v>
      </c>
      <c r="O91" s="3">
        <f t="shared" si="75"/>
        <v>0</v>
      </c>
      <c r="P91" s="3">
        <v>0</v>
      </c>
      <c r="Q91" s="3">
        <v>0</v>
      </c>
      <c r="R91" s="3">
        <f t="shared" si="75"/>
        <v>0</v>
      </c>
      <c r="S91" s="3">
        <f t="shared" si="75"/>
        <v>0</v>
      </c>
      <c r="T91" s="3">
        <f t="shared" si="75"/>
        <v>219.42</v>
      </c>
      <c r="U91" s="3">
        <f t="shared" si="75"/>
        <v>537.85</v>
      </c>
      <c r="V91" s="3">
        <f t="shared" si="75"/>
        <v>0</v>
      </c>
      <c r="W91" s="3">
        <f t="shared" si="75"/>
        <v>0</v>
      </c>
      <c r="X91" s="3">
        <f t="shared" si="75"/>
        <v>0</v>
      </c>
      <c r="Y91" s="3">
        <f t="shared" si="75"/>
        <v>0</v>
      </c>
      <c r="Z91" s="95">
        <v>0</v>
      </c>
      <c r="AA91" s="3">
        <v>0</v>
      </c>
      <c r="AB91" s="3">
        <f t="shared" si="75"/>
        <v>0</v>
      </c>
      <c r="AC91" s="3">
        <f t="shared" si="75"/>
        <v>0</v>
      </c>
      <c r="AD91" s="3">
        <f t="shared" si="75"/>
        <v>537.85400000000004</v>
      </c>
      <c r="AE91" s="3">
        <f t="shared" si="75"/>
        <v>0</v>
      </c>
      <c r="AF91" s="3">
        <f t="shared" si="75"/>
        <v>0</v>
      </c>
      <c r="AG91" s="3">
        <f t="shared" si="75"/>
        <v>0</v>
      </c>
      <c r="AH91" s="3">
        <f t="shared" si="75"/>
        <v>0</v>
      </c>
      <c r="AI91" s="3">
        <f t="shared" si="75"/>
        <v>0</v>
      </c>
      <c r="AJ91" s="3">
        <f t="shared" si="75"/>
        <v>0</v>
      </c>
      <c r="AK91" s="3">
        <f t="shared" si="75"/>
        <v>0</v>
      </c>
      <c r="AL91" s="3">
        <f t="shared" si="75"/>
        <v>0</v>
      </c>
      <c r="AM91" s="3">
        <f t="shared" si="75"/>
        <v>0</v>
      </c>
      <c r="AN91" s="3">
        <f t="shared" si="75"/>
        <v>0</v>
      </c>
      <c r="AO91" s="3">
        <f t="shared" si="75"/>
        <v>0</v>
      </c>
      <c r="AP91" s="633" t="s">
        <v>244</v>
      </c>
      <c r="AQ91" s="95">
        <v>0</v>
      </c>
    </row>
    <row r="92" spans="1:43" ht="17.25" hidden="1" customHeight="1" x14ac:dyDescent="0.25">
      <c r="A92" s="1638"/>
      <c r="B92" s="42" t="s">
        <v>203</v>
      </c>
      <c r="C92" s="313"/>
      <c r="D92" s="313"/>
      <c r="E92" s="313"/>
      <c r="F92" s="313"/>
      <c r="G92" s="313"/>
      <c r="H92" s="314"/>
      <c r="I92" s="1639"/>
      <c r="J92" s="72"/>
      <c r="K92" s="47"/>
      <c r="L92" s="47">
        <v>4214.49</v>
      </c>
      <c r="M92" s="47">
        <v>0</v>
      </c>
      <c r="N92" s="47">
        <v>3995.07</v>
      </c>
      <c r="O92" s="47">
        <v>0</v>
      </c>
      <c r="P92" s="47">
        <v>219.42</v>
      </c>
      <c r="Q92" s="47">
        <f>Q93</f>
        <v>537.85</v>
      </c>
      <c r="R92" s="47">
        <f t="shared" si="75"/>
        <v>0</v>
      </c>
      <c r="S92" s="47">
        <f t="shared" si="75"/>
        <v>0</v>
      </c>
      <c r="T92" s="47">
        <f t="shared" si="75"/>
        <v>219.42</v>
      </c>
      <c r="U92" s="47">
        <f t="shared" si="75"/>
        <v>537.85</v>
      </c>
      <c r="V92" s="47">
        <f t="shared" si="75"/>
        <v>0</v>
      </c>
      <c r="W92" s="47">
        <f t="shared" si="75"/>
        <v>0</v>
      </c>
      <c r="X92" s="47">
        <f t="shared" si="75"/>
        <v>0</v>
      </c>
      <c r="Y92" s="47">
        <f t="shared" si="75"/>
        <v>0</v>
      </c>
      <c r="Z92" s="96"/>
      <c r="AA92" s="47">
        <f t="shared" si="75"/>
        <v>537.85400000000004</v>
      </c>
      <c r="AB92" s="47">
        <f t="shared" si="75"/>
        <v>0</v>
      </c>
      <c r="AC92" s="47">
        <f t="shared" si="75"/>
        <v>0</v>
      </c>
      <c r="AD92" s="47">
        <f t="shared" si="75"/>
        <v>537.85400000000004</v>
      </c>
      <c r="AE92" s="47">
        <f t="shared" si="75"/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397"/>
      <c r="AQ92" s="96"/>
    </row>
    <row r="93" spans="1:43" s="266" customFormat="1" ht="28.5" hidden="1" customHeight="1" x14ac:dyDescent="0.25">
      <c r="A93" s="1639"/>
      <c r="B93" s="252" t="s">
        <v>267</v>
      </c>
      <c r="C93" s="363"/>
      <c r="D93" s="363"/>
      <c r="E93" s="363"/>
      <c r="F93" s="363"/>
      <c r="G93" s="363"/>
      <c r="H93" s="364"/>
      <c r="I93" s="539"/>
      <c r="J93" s="258"/>
      <c r="K93" s="96"/>
      <c r="L93" s="96"/>
      <c r="M93" s="96"/>
      <c r="N93" s="96"/>
      <c r="O93" s="96"/>
      <c r="P93" s="96"/>
      <c r="Q93" s="96">
        <f>S93+U93</f>
        <v>537.85</v>
      </c>
      <c r="R93" s="96"/>
      <c r="S93" s="96"/>
      <c r="T93" s="96">
        <v>219.42</v>
      </c>
      <c r="U93" s="96">
        <f>ROUND((645.425/1.2),2)</f>
        <v>537.85</v>
      </c>
      <c r="V93" s="96"/>
      <c r="W93" s="96"/>
      <c r="X93" s="96"/>
      <c r="Y93" s="96"/>
      <c r="Z93" s="96"/>
      <c r="AA93" s="96">
        <f>AD93</f>
        <v>537.85400000000004</v>
      </c>
      <c r="AB93" s="96"/>
      <c r="AC93" s="96"/>
      <c r="AD93" s="96">
        <v>537.85400000000004</v>
      </c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405"/>
      <c r="AQ93" s="96"/>
    </row>
    <row r="94" spans="1:43" s="327" customFormat="1" ht="42.75" customHeight="1" x14ac:dyDescent="0.25">
      <c r="A94" s="1372" t="s">
        <v>279</v>
      </c>
      <c r="B94" s="772" t="s">
        <v>204</v>
      </c>
      <c r="C94" s="312"/>
      <c r="D94" s="312"/>
      <c r="E94" s="312"/>
      <c r="F94" s="312"/>
      <c r="G94" s="312"/>
      <c r="H94" s="723"/>
      <c r="I94" s="1326" t="s">
        <v>20</v>
      </c>
      <c r="J94" s="730"/>
      <c r="K94" s="3"/>
      <c r="L94" s="3">
        <f>L95</f>
        <v>3214.56</v>
      </c>
      <c r="M94" s="3">
        <f t="shared" ref="M94:AO95" si="76">M95</f>
        <v>0</v>
      </c>
      <c r="N94" s="3">
        <f t="shared" si="76"/>
        <v>2956.68</v>
      </c>
      <c r="O94" s="3">
        <f t="shared" si="76"/>
        <v>0</v>
      </c>
      <c r="P94" s="3">
        <v>0</v>
      </c>
      <c r="Q94" s="3">
        <v>0</v>
      </c>
      <c r="R94" s="3">
        <f t="shared" si="76"/>
        <v>0</v>
      </c>
      <c r="S94" s="3">
        <f t="shared" si="76"/>
        <v>0</v>
      </c>
      <c r="T94" s="3">
        <f t="shared" si="76"/>
        <v>0</v>
      </c>
      <c r="U94" s="3">
        <f t="shared" si="76"/>
        <v>409.15</v>
      </c>
      <c r="V94" s="3">
        <f t="shared" si="76"/>
        <v>0</v>
      </c>
      <c r="W94" s="3">
        <f t="shared" si="76"/>
        <v>0</v>
      </c>
      <c r="X94" s="3">
        <f t="shared" si="76"/>
        <v>0</v>
      </c>
      <c r="Y94" s="3">
        <f t="shared" si="76"/>
        <v>0</v>
      </c>
      <c r="Z94" s="95">
        <v>0</v>
      </c>
      <c r="AA94" s="3">
        <v>0</v>
      </c>
      <c r="AB94" s="3">
        <f t="shared" si="76"/>
        <v>0</v>
      </c>
      <c r="AC94" s="3">
        <f t="shared" si="76"/>
        <v>0</v>
      </c>
      <c r="AD94" s="3">
        <f t="shared" si="76"/>
        <v>409.14699999999999</v>
      </c>
      <c r="AE94" s="3">
        <f t="shared" si="76"/>
        <v>0</v>
      </c>
      <c r="AF94" s="3">
        <f>AF95</f>
        <v>0</v>
      </c>
      <c r="AG94" s="3">
        <f t="shared" si="76"/>
        <v>0</v>
      </c>
      <c r="AH94" s="3">
        <f t="shared" si="76"/>
        <v>0</v>
      </c>
      <c r="AI94" s="3">
        <f t="shared" si="76"/>
        <v>0</v>
      </c>
      <c r="AJ94" s="3">
        <f t="shared" si="76"/>
        <v>0</v>
      </c>
      <c r="AK94" s="3">
        <f t="shared" si="76"/>
        <v>0</v>
      </c>
      <c r="AL94" s="3">
        <f t="shared" si="76"/>
        <v>0</v>
      </c>
      <c r="AM94" s="3">
        <f t="shared" si="76"/>
        <v>0</v>
      </c>
      <c r="AN94" s="3">
        <f t="shared" si="76"/>
        <v>0</v>
      </c>
      <c r="AO94" s="3">
        <f t="shared" si="76"/>
        <v>0</v>
      </c>
      <c r="AP94" s="633" t="s">
        <v>244</v>
      </c>
      <c r="AQ94" s="95">
        <v>0</v>
      </c>
    </row>
    <row r="95" spans="1:43" ht="17.25" hidden="1" customHeight="1" x14ac:dyDescent="0.25">
      <c r="A95" s="1382"/>
      <c r="B95" s="42" t="s">
        <v>203</v>
      </c>
      <c r="C95" s="313"/>
      <c r="D95" s="313"/>
      <c r="E95" s="313"/>
      <c r="F95" s="313"/>
      <c r="G95" s="313"/>
      <c r="H95" s="314"/>
      <c r="I95" s="1639"/>
      <c r="J95" s="72"/>
      <c r="K95" s="47"/>
      <c r="L95" s="47">
        <v>3214.56</v>
      </c>
      <c r="M95" s="47">
        <v>0</v>
      </c>
      <c r="N95" s="47">
        <v>2956.68</v>
      </c>
      <c r="O95" s="47">
        <v>0</v>
      </c>
      <c r="P95" s="47">
        <v>257.88</v>
      </c>
      <c r="Q95" s="47">
        <f>Q96</f>
        <v>409.15</v>
      </c>
      <c r="R95" s="47">
        <f t="shared" si="76"/>
        <v>0</v>
      </c>
      <c r="S95" s="47">
        <f t="shared" si="76"/>
        <v>0</v>
      </c>
      <c r="T95" s="47">
        <f t="shared" si="76"/>
        <v>0</v>
      </c>
      <c r="U95" s="47">
        <f t="shared" si="76"/>
        <v>409.15</v>
      </c>
      <c r="V95" s="47">
        <f t="shared" si="76"/>
        <v>0</v>
      </c>
      <c r="W95" s="47">
        <f t="shared" si="76"/>
        <v>0</v>
      </c>
      <c r="X95" s="47">
        <f t="shared" si="76"/>
        <v>0</v>
      </c>
      <c r="Y95" s="47">
        <f t="shared" si="76"/>
        <v>0</v>
      </c>
      <c r="Z95" s="96"/>
      <c r="AA95" s="47">
        <f t="shared" si="76"/>
        <v>409.14699999999999</v>
      </c>
      <c r="AB95" s="47">
        <f t="shared" si="76"/>
        <v>0</v>
      </c>
      <c r="AC95" s="47">
        <f t="shared" si="76"/>
        <v>0</v>
      </c>
      <c r="AD95" s="47">
        <f t="shared" si="76"/>
        <v>409.14699999999999</v>
      </c>
      <c r="AE95" s="47"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397"/>
      <c r="AQ95" s="96"/>
    </row>
    <row r="96" spans="1:43" s="266" customFormat="1" ht="27.75" hidden="1" customHeight="1" x14ac:dyDescent="0.25">
      <c r="A96" s="1639"/>
      <c r="B96" s="252" t="s">
        <v>267</v>
      </c>
      <c r="C96" s="363"/>
      <c r="D96" s="363"/>
      <c r="E96" s="363"/>
      <c r="F96" s="363"/>
      <c r="G96" s="363"/>
      <c r="H96" s="364"/>
      <c r="I96" s="539"/>
      <c r="J96" s="258"/>
      <c r="K96" s="96"/>
      <c r="L96" s="96"/>
      <c r="M96" s="96"/>
      <c r="N96" s="96"/>
      <c r="O96" s="96"/>
      <c r="P96" s="96"/>
      <c r="Q96" s="96">
        <f>S96+U96</f>
        <v>409.15</v>
      </c>
      <c r="R96" s="96"/>
      <c r="S96" s="96"/>
      <c r="T96" s="96"/>
      <c r="U96" s="96">
        <f>ROUND((490.979/1.2),2)</f>
        <v>409.15</v>
      </c>
      <c r="V96" s="96"/>
      <c r="W96" s="96"/>
      <c r="X96" s="96"/>
      <c r="Y96" s="96"/>
      <c r="Z96" s="96"/>
      <c r="AA96" s="96">
        <f>AD96</f>
        <v>409.14699999999999</v>
      </c>
      <c r="AB96" s="96"/>
      <c r="AC96" s="96"/>
      <c r="AD96" s="96">
        <v>409.14699999999999</v>
      </c>
      <c r="AE96" s="96"/>
      <c r="AF96" s="96"/>
      <c r="AG96" s="96"/>
      <c r="AH96" s="96"/>
      <c r="AI96" s="96"/>
      <c r="AJ96" s="96"/>
      <c r="AK96" s="96"/>
      <c r="AL96" s="96"/>
      <c r="AM96" s="268"/>
      <c r="AN96" s="96"/>
      <c r="AO96" s="96"/>
      <c r="AP96" s="405"/>
      <c r="AQ96" s="96"/>
    </row>
    <row r="97" spans="1:43" s="327" customFormat="1" ht="41.25" customHeight="1" x14ac:dyDescent="0.25">
      <c r="A97" s="1372" t="s">
        <v>159</v>
      </c>
      <c r="B97" s="772" t="s">
        <v>326</v>
      </c>
      <c r="C97" s="312"/>
      <c r="D97" s="312"/>
      <c r="E97" s="312"/>
      <c r="F97" s="312"/>
      <c r="G97" s="312"/>
      <c r="H97" s="723"/>
      <c r="I97" s="1326" t="s">
        <v>20</v>
      </c>
      <c r="J97" s="730"/>
      <c r="K97" s="3"/>
      <c r="L97" s="3">
        <f>L98</f>
        <v>372.9</v>
      </c>
      <c r="M97" s="3">
        <f>M98</f>
        <v>0</v>
      </c>
      <c r="N97" s="3">
        <f t="shared" ref="N97:AO98" si="77">N98</f>
        <v>372.9</v>
      </c>
      <c r="O97" s="3">
        <f t="shared" si="77"/>
        <v>0</v>
      </c>
      <c r="P97" s="3">
        <f t="shared" si="77"/>
        <v>0</v>
      </c>
      <c r="Q97" s="3">
        <f t="shared" si="77"/>
        <v>0</v>
      </c>
      <c r="R97" s="3">
        <f t="shared" si="77"/>
        <v>0</v>
      </c>
      <c r="S97" s="3">
        <f t="shared" si="77"/>
        <v>0</v>
      </c>
      <c r="T97" s="3">
        <f t="shared" si="77"/>
        <v>0</v>
      </c>
      <c r="U97" s="3">
        <f t="shared" si="77"/>
        <v>0</v>
      </c>
      <c r="V97" s="3">
        <f t="shared" si="77"/>
        <v>0</v>
      </c>
      <c r="W97" s="3">
        <f t="shared" si="77"/>
        <v>0</v>
      </c>
      <c r="X97" s="3">
        <f t="shared" si="77"/>
        <v>0</v>
      </c>
      <c r="Y97" s="3">
        <f t="shared" si="77"/>
        <v>0</v>
      </c>
      <c r="Z97" s="95">
        <v>0</v>
      </c>
      <c r="AA97" s="3">
        <f t="shared" si="77"/>
        <v>0</v>
      </c>
      <c r="AB97" s="3">
        <f t="shared" si="77"/>
        <v>0</v>
      </c>
      <c r="AC97" s="3">
        <f t="shared" si="77"/>
        <v>0</v>
      </c>
      <c r="AD97" s="3">
        <f t="shared" si="77"/>
        <v>0</v>
      </c>
      <c r="AE97" s="3">
        <f t="shared" si="77"/>
        <v>0</v>
      </c>
      <c r="AF97" s="3">
        <f t="shared" si="77"/>
        <v>0</v>
      </c>
      <c r="AG97" s="3">
        <f t="shared" si="77"/>
        <v>0</v>
      </c>
      <c r="AH97" s="3">
        <f t="shared" si="77"/>
        <v>0</v>
      </c>
      <c r="AI97" s="3">
        <f t="shared" si="77"/>
        <v>0</v>
      </c>
      <c r="AJ97" s="3">
        <f t="shared" si="77"/>
        <v>0</v>
      </c>
      <c r="AK97" s="3">
        <f>P97-Q97</f>
        <v>0</v>
      </c>
      <c r="AL97" s="3">
        <f t="shared" si="77"/>
        <v>0</v>
      </c>
      <c r="AM97" s="318">
        <v>0</v>
      </c>
      <c r="AN97" s="3">
        <f t="shared" si="77"/>
        <v>0</v>
      </c>
      <c r="AO97" s="3">
        <f t="shared" si="77"/>
        <v>0</v>
      </c>
      <c r="AP97" s="633" t="s">
        <v>274</v>
      </c>
      <c r="AQ97" s="95">
        <v>0</v>
      </c>
    </row>
    <row r="98" spans="1:43" ht="17.25" hidden="1" customHeight="1" x14ac:dyDescent="0.25">
      <c r="A98" s="1383"/>
      <c r="B98" s="42" t="s">
        <v>203</v>
      </c>
      <c r="C98" s="313"/>
      <c r="D98" s="313"/>
      <c r="E98" s="313"/>
      <c r="F98" s="313"/>
      <c r="G98" s="313"/>
      <c r="H98" s="314"/>
      <c r="I98" s="1639"/>
      <c r="J98" s="72"/>
      <c r="K98" s="47"/>
      <c r="L98" s="47">
        <v>372.9</v>
      </c>
      <c r="M98" s="47">
        <v>0</v>
      </c>
      <c r="N98" s="47">
        <v>372.9</v>
      </c>
      <c r="O98" s="47">
        <v>0</v>
      </c>
      <c r="P98" s="47">
        <v>0</v>
      </c>
      <c r="Q98" s="47">
        <f>Q99</f>
        <v>0</v>
      </c>
      <c r="R98" s="47">
        <f t="shared" si="77"/>
        <v>0</v>
      </c>
      <c r="S98" s="47">
        <f t="shared" si="77"/>
        <v>0</v>
      </c>
      <c r="T98" s="47">
        <f t="shared" si="77"/>
        <v>0</v>
      </c>
      <c r="U98" s="47">
        <f t="shared" si="77"/>
        <v>0</v>
      </c>
      <c r="V98" s="47">
        <f t="shared" si="77"/>
        <v>0</v>
      </c>
      <c r="W98" s="47">
        <f t="shared" si="77"/>
        <v>0</v>
      </c>
      <c r="X98" s="47">
        <f t="shared" si="77"/>
        <v>0</v>
      </c>
      <c r="Y98" s="47">
        <f t="shared" si="77"/>
        <v>0</v>
      </c>
      <c r="Z98" s="96"/>
      <c r="AA98" s="47">
        <f t="shared" si="77"/>
        <v>0</v>
      </c>
      <c r="AB98" s="47">
        <f t="shared" si="77"/>
        <v>0</v>
      </c>
      <c r="AC98" s="47">
        <f t="shared" si="77"/>
        <v>0</v>
      </c>
      <c r="AD98" s="47">
        <f t="shared" si="77"/>
        <v>0</v>
      </c>
      <c r="AE98" s="47">
        <f t="shared" si="77"/>
        <v>0</v>
      </c>
      <c r="AF98" s="47">
        <f>AF99</f>
        <v>0</v>
      </c>
      <c r="AG98" s="47">
        <f t="shared" si="77"/>
        <v>0</v>
      </c>
      <c r="AH98" s="47">
        <f t="shared" si="77"/>
        <v>0</v>
      </c>
      <c r="AI98" s="47">
        <f t="shared" si="77"/>
        <v>0</v>
      </c>
      <c r="AJ98" s="47">
        <f t="shared" si="77"/>
        <v>0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397"/>
      <c r="AQ98" s="96"/>
    </row>
    <row r="99" spans="1:43" s="266" customFormat="1" ht="17.25" hidden="1" customHeight="1" x14ac:dyDescent="0.25">
      <c r="A99" s="362"/>
      <c r="B99" s="252" t="s">
        <v>224</v>
      </c>
      <c r="C99" s="363"/>
      <c r="D99" s="363"/>
      <c r="E99" s="363"/>
      <c r="F99" s="363"/>
      <c r="G99" s="363"/>
      <c r="H99" s="364"/>
      <c r="I99" s="539"/>
      <c r="J99" s="258"/>
      <c r="K99" s="96"/>
      <c r="L99" s="96"/>
      <c r="M99" s="96"/>
      <c r="N99" s="96"/>
      <c r="O99" s="96"/>
      <c r="P99" s="47"/>
      <c r="Q99" s="96">
        <f>Y99</f>
        <v>0</v>
      </c>
      <c r="R99" s="96"/>
      <c r="S99" s="96"/>
      <c r="T99" s="96"/>
      <c r="U99" s="96"/>
      <c r="V99" s="96"/>
      <c r="W99" s="96"/>
      <c r="X99" s="96">
        <v>0</v>
      </c>
      <c r="Y99" s="96">
        <v>0</v>
      </c>
      <c r="Z99" s="96"/>
      <c r="AA99" s="96">
        <v>0</v>
      </c>
      <c r="AB99" s="96">
        <v>0</v>
      </c>
      <c r="AC99" s="96"/>
      <c r="AD99" s="96"/>
      <c r="AE99" s="96"/>
      <c r="AF99" s="96">
        <f>SUM(AG99:AG99)</f>
        <v>0</v>
      </c>
      <c r="AG99" s="96"/>
      <c r="AH99" s="96"/>
      <c r="AI99" s="96"/>
      <c r="AJ99" s="96"/>
      <c r="AK99" s="96"/>
      <c r="AL99" s="96"/>
      <c r="AM99" s="96"/>
      <c r="AN99" s="96"/>
      <c r="AO99" s="96"/>
      <c r="AP99" s="405"/>
      <c r="AQ99" s="96"/>
    </row>
    <row r="100" spans="1:43" s="327" customFormat="1" ht="41.25" customHeight="1" x14ac:dyDescent="0.25">
      <c r="A100" s="1372" t="s">
        <v>160</v>
      </c>
      <c r="B100" s="772" t="s">
        <v>163</v>
      </c>
      <c r="C100" s="312"/>
      <c r="D100" s="312"/>
      <c r="E100" s="312"/>
      <c r="F100" s="312"/>
      <c r="G100" s="312"/>
      <c r="H100" s="723"/>
      <c r="I100" s="1326" t="s">
        <v>20</v>
      </c>
      <c r="J100" s="730"/>
      <c r="K100" s="3"/>
      <c r="L100" s="3">
        <f>L101+L105</f>
        <v>5513.9</v>
      </c>
      <c r="M100" s="3">
        <f t="shared" ref="M100:AO100" si="78">M101+M105</f>
        <v>297.18</v>
      </c>
      <c r="N100" s="3">
        <f t="shared" si="78"/>
        <v>1639.84</v>
      </c>
      <c r="O100" s="3">
        <f t="shared" si="78"/>
        <v>0</v>
      </c>
      <c r="P100" s="3">
        <f t="shared" si="78"/>
        <v>0</v>
      </c>
      <c r="Q100" s="3">
        <f t="shared" si="78"/>
        <v>0</v>
      </c>
      <c r="R100" s="3">
        <f t="shared" si="78"/>
        <v>0</v>
      </c>
      <c r="S100" s="3">
        <f t="shared" si="78"/>
        <v>0</v>
      </c>
      <c r="T100" s="3">
        <f t="shared" si="78"/>
        <v>0</v>
      </c>
      <c r="U100" s="3">
        <f t="shared" si="78"/>
        <v>0</v>
      </c>
      <c r="V100" s="3">
        <f t="shared" si="78"/>
        <v>0</v>
      </c>
      <c r="W100" s="3">
        <f t="shared" si="78"/>
        <v>0</v>
      </c>
      <c r="X100" s="3">
        <f t="shared" si="78"/>
        <v>0</v>
      </c>
      <c r="Y100" s="3">
        <f t="shared" si="78"/>
        <v>0</v>
      </c>
      <c r="Z100" s="95">
        <v>0</v>
      </c>
      <c r="AA100" s="3">
        <f t="shared" si="78"/>
        <v>0</v>
      </c>
      <c r="AB100" s="3">
        <f t="shared" si="78"/>
        <v>0</v>
      </c>
      <c r="AC100" s="3">
        <f t="shared" si="78"/>
        <v>0</v>
      </c>
      <c r="AD100" s="3">
        <f t="shared" si="78"/>
        <v>0</v>
      </c>
      <c r="AE100" s="3">
        <f t="shared" si="78"/>
        <v>0</v>
      </c>
      <c r="AF100" s="3">
        <f t="shared" si="78"/>
        <v>0</v>
      </c>
      <c r="AG100" s="3">
        <f t="shared" si="78"/>
        <v>0</v>
      </c>
      <c r="AH100" s="3">
        <f>AH101+AH105</f>
        <v>0</v>
      </c>
      <c r="AI100" s="3">
        <f>AI101+AI105</f>
        <v>0</v>
      </c>
      <c r="AJ100" s="3">
        <f>AJ101+AJ105</f>
        <v>0</v>
      </c>
      <c r="AK100" s="3">
        <f>P100-Q100</f>
        <v>0</v>
      </c>
      <c r="AL100" s="3">
        <f t="shared" si="78"/>
        <v>0</v>
      </c>
      <c r="AM100" s="318">
        <v>0</v>
      </c>
      <c r="AN100" s="3">
        <f t="shared" si="78"/>
        <v>0</v>
      </c>
      <c r="AO100" s="3">
        <f t="shared" si="78"/>
        <v>0</v>
      </c>
      <c r="AP100" s="633" t="s">
        <v>256</v>
      </c>
      <c r="AQ100" s="95">
        <v>0</v>
      </c>
    </row>
    <row r="101" spans="1:43" ht="17.25" hidden="1" customHeight="1" x14ac:dyDescent="0.25">
      <c r="A101" s="1382"/>
      <c r="B101" s="42" t="s">
        <v>15</v>
      </c>
      <c r="C101" s="313"/>
      <c r="D101" s="313"/>
      <c r="E101" s="313"/>
      <c r="F101" s="313"/>
      <c r="G101" s="313"/>
      <c r="H101" s="314"/>
      <c r="I101" s="1638"/>
      <c r="J101" s="72"/>
      <c r="K101" s="47"/>
      <c r="L101" s="47">
        <v>594.36</v>
      </c>
      <c r="M101" s="47">
        <v>297.18</v>
      </c>
      <c r="N101" s="47">
        <v>0</v>
      </c>
      <c r="O101" s="47">
        <v>0</v>
      </c>
      <c r="P101" s="47">
        <f>N101</f>
        <v>0</v>
      </c>
      <c r="Q101" s="47">
        <f>SUM(Q102:Q104)</f>
        <v>0</v>
      </c>
      <c r="R101" s="47">
        <f t="shared" ref="R101:AJ101" si="79">SUM(R102:R104)</f>
        <v>0</v>
      </c>
      <c r="S101" s="47">
        <f>SUM(S102:S104)</f>
        <v>0</v>
      </c>
      <c r="T101" s="47">
        <f t="shared" si="79"/>
        <v>0</v>
      </c>
      <c r="U101" s="47">
        <f t="shared" si="79"/>
        <v>0</v>
      </c>
      <c r="V101" s="47">
        <f t="shared" si="79"/>
        <v>0</v>
      </c>
      <c r="W101" s="47">
        <f t="shared" si="79"/>
        <v>0</v>
      </c>
      <c r="X101" s="47">
        <v>0</v>
      </c>
      <c r="Y101" s="47">
        <f t="shared" si="79"/>
        <v>0</v>
      </c>
      <c r="Z101" s="96"/>
      <c r="AA101" s="47">
        <f t="shared" si="79"/>
        <v>0</v>
      </c>
      <c r="AB101" s="47">
        <f t="shared" si="79"/>
        <v>0</v>
      </c>
      <c r="AC101" s="47">
        <f t="shared" si="79"/>
        <v>0</v>
      </c>
      <c r="AD101" s="47">
        <f t="shared" si="79"/>
        <v>0</v>
      </c>
      <c r="AE101" s="47">
        <f t="shared" si="79"/>
        <v>0</v>
      </c>
      <c r="AF101" s="47">
        <f>SUM(AF102:AF104)</f>
        <v>0</v>
      </c>
      <c r="AG101" s="47">
        <f t="shared" si="79"/>
        <v>0</v>
      </c>
      <c r="AH101" s="47">
        <f t="shared" si="79"/>
        <v>0</v>
      </c>
      <c r="AI101" s="47">
        <f t="shared" si="79"/>
        <v>0</v>
      </c>
      <c r="AJ101" s="47">
        <f t="shared" si="79"/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397">
        <v>159.434</v>
      </c>
      <c r="AQ101" s="96"/>
    </row>
    <row r="102" spans="1:43" s="266" customFormat="1" ht="17.25" hidden="1" customHeight="1" x14ac:dyDescent="0.25">
      <c r="A102" s="1382"/>
      <c r="B102" s="252" t="s">
        <v>225</v>
      </c>
      <c r="C102" s="363"/>
      <c r="D102" s="363"/>
      <c r="E102" s="363"/>
      <c r="F102" s="363"/>
      <c r="G102" s="363"/>
      <c r="H102" s="364"/>
      <c r="I102" s="1638"/>
      <c r="J102" s="258"/>
      <c r="K102" s="96"/>
      <c r="L102" s="96"/>
      <c r="M102" s="96"/>
      <c r="N102" s="96"/>
      <c r="O102" s="96"/>
      <c r="P102" s="47"/>
      <c r="Q102" s="96">
        <f>Y102</f>
        <v>0</v>
      </c>
      <c r="R102" s="96"/>
      <c r="S102" s="96"/>
      <c r="T102" s="96"/>
      <c r="U102" s="96"/>
      <c r="V102" s="96"/>
      <c r="W102" s="96"/>
      <c r="X102" s="96">
        <v>0</v>
      </c>
      <c r="Y102" s="96">
        <v>0</v>
      </c>
      <c r="Z102" s="96"/>
      <c r="AA102" s="96">
        <v>0</v>
      </c>
      <c r="AB102" s="96">
        <v>0</v>
      </c>
      <c r="AC102" s="96"/>
      <c r="AD102" s="96"/>
      <c r="AE102" s="96"/>
      <c r="AF102" s="96">
        <f>SUM(AG102:AG102)</f>
        <v>0</v>
      </c>
      <c r="AG102" s="96"/>
      <c r="AH102" s="96"/>
      <c r="AI102" s="96"/>
      <c r="AJ102" s="96"/>
      <c r="AK102" s="96"/>
      <c r="AL102" s="96"/>
      <c r="AM102" s="96"/>
      <c r="AN102" s="96"/>
      <c r="AO102" s="96"/>
      <c r="AP102" s="405"/>
      <c r="AQ102" s="96"/>
    </row>
    <row r="103" spans="1:43" s="266" customFormat="1" ht="17.25" hidden="1" customHeight="1" x14ac:dyDescent="0.25">
      <c r="A103" s="1382"/>
      <c r="B103" s="252" t="s">
        <v>226</v>
      </c>
      <c r="C103" s="363"/>
      <c r="D103" s="363"/>
      <c r="E103" s="363"/>
      <c r="F103" s="363"/>
      <c r="G103" s="363"/>
      <c r="H103" s="364"/>
      <c r="I103" s="1638"/>
      <c r="J103" s="258"/>
      <c r="K103" s="96"/>
      <c r="L103" s="96"/>
      <c r="M103" s="96"/>
      <c r="N103" s="96"/>
      <c r="O103" s="96"/>
      <c r="P103" s="47"/>
      <c r="Q103" s="96">
        <f>S103</f>
        <v>0</v>
      </c>
      <c r="R103" s="96">
        <f>S103</f>
        <v>0</v>
      </c>
      <c r="S103" s="96">
        <v>0</v>
      </c>
      <c r="T103" s="96"/>
      <c r="U103" s="96"/>
      <c r="V103" s="96"/>
      <c r="W103" s="96"/>
      <c r="X103" s="96">
        <v>0</v>
      </c>
      <c r="Y103" s="96">
        <v>0</v>
      </c>
      <c r="Z103" s="96"/>
      <c r="AA103" s="96">
        <f>AB103</f>
        <v>0</v>
      </c>
      <c r="AB103" s="96">
        <v>0</v>
      </c>
      <c r="AC103" s="96"/>
      <c r="AD103" s="96"/>
      <c r="AE103" s="96"/>
      <c r="AF103" s="96">
        <f>SUM(AG103:AG103)</f>
        <v>0</v>
      </c>
      <c r="AG103" s="96"/>
      <c r="AH103" s="96"/>
      <c r="AI103" s="96"/>
      <c r="AJ103" s="96"/>
      <c r="AK103" s="96"/>
      <c r="AL103" s="96"/>
      <c r="AM103" s="96"/>
      <c r="AN103" s="96"/>
      <c r="AO103" s="96"/>
      <c r="AP103" s="405"/>
      <c r="AQ103" s="96"/>
    </row>
    <row r="104" spans="1:43" s="266" customFormat="1" ht="17.25" hidden="1" customHeight="1" x14ac:dyDescent="0.25">
      <c r="A104" s="1382"/>
      <c r="B104" s="252" t="s">
        <v>227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ht="16.5" hidden="1" customHeight="1" x14ac:dyDescent="0.25">
      <c r="A105" s="1383"/>
      <c r="B105" s="42" t="s">
        <v>32</v>
      </c>
      <c r="C105" s="313"/>
      <c r="D105" s="313"/>
      <c r="E105" s="313"/>
      <c r="F105" s="313"/>
      <c r="G105" s="313"/>
      <c r="H105" s="314"/>
      <c r="I105" s="1639"/>
      <c r="J105" s="72"/>
      <c r="K105" s="47"/>
      <c r="L105" s="47">
        <v>4919.54</v>
      </c>
      <c r="M105" s="47">
        <v>0</v>
      </c>
      <c r="N105" s="47">
        <v>1639.84</v>
      </c>
      <c r="O105" s="47">
        <v>0</v>
      </c>
      <c r="P105" s="47">
        <v>0</v>
      </c>
      <c r="Q105" s="47">
        <v>0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47">
        <v>0</v>
      </c>
      <c r="X105" s="47">
        <v>0</v>
      </c>
      <c r="Y105" s="47">
        <v>0</v>
      </c>
      <c r="Z105" s="96"/>
      <c r="AA105" s="47">
        <v>0</v>
      </c>
      <c r="AB105" s="47">
        <v>0</v>
      </c>
      <c r="AC105" s="47">
        <v>0</v>
      </c>
      <c r="AD105" s="47">
        <v>0</v>
      </c>
      <c r="AE105" s="47">
        <v>0</v>
      </c>
      <c r="AF105" s="47">
        <v>0</v>
      </c>
      <c r="AG105" s="47">
        <v>0</v>
      </c>
      <c r="AH105" s="47">
        <v>0</v>
      </c>
      <c r="AI105" s="47">
        <v>0</v>
      </c>
      <c r="AJ105" s="47">
        <v>0</v>
      </c>
      <c r="AK105" s="47">
        <v>0</v>
      </c>
      <c r="AL105" s="47">
        <v>0</v>
      </c>
      <c r="AM105" s="47">
        <v>0</v>
      </c>
      <c r="AN105" s="47">
        <v>0</v>
      </c>
      <c r="AO105" s="47">
        <v>0</v>
      </c>
      <c r="AP105" s="397">
        <v>1639.8466699999999</v>
      </c>
      <c r="AQ105" s="96"/>
    </row>
    <row r="106" spans="1:43" s="327" customFormat="1" ht="40.5" customHeight="1" x14ac:dyDescent="0.25">
      <c r="A106" s="1372" t="s">
        <v>162</v>
      </c>
      <c r="B106" s="772" t="s">
        <v>166</v>
      </c>
      <c r="C106" s="312"/>
      <c r="D106" s="312"/>
      <c r="E106" s="312"/>
      <c r="F106" s="312"/>
      <c r="G106" s="312"/>
      <c r="H106" s="723"/>
      <c r="I106" s="1326" t="s">
        <v>20</v>
      </c>
      <c r="J106" s="730"/>
      <c r="K106" s="3"/>
      <c r="L106" s="3">
        <f>L107+L110</f>
        <v>94875.549999999988</v>
      </c>
      <c r="M106" s="3">
        <f t="shared" ref="M106:AO106" si="80">M107+M110</f>
        <v>2761.44</v>
      </c>
      <c r="N106" s="3">
        <f t="shared" si="80"/>
        <v>9629.67</v>
      </c>
      <c r="O106" s="3">
        <f t="shared" si="80"/>
        <v>22469.279999999999</v>
      </c>
      <c r="P106" s="3">
        <f>P107+P109</f>
        <v>18622.57</v>
      </c>
      <c r="Q106" s="3">
        <f t="shared" si="80"/>
        <v>0</v>
      </c>
      <c r="R106" s="3">
        <f t="shared" si="80"/>
        <v>646.03</v>
      </c>
      <c r="S106" s="3">
        <f t="shared" si="80"/>
        <v>646.02599999999995</v>
      </c>
      <c r="T106" s="3">
        <f t="shared" si="80"/>
        <v>872.63599999999997</v>
      </c>
      <c r="U106" s="3">
        <f t="shared" si="80"/>
        <v>872.63599999999997</v>
      </c>
      <c r="V106" s="3">
        <f t="shared" si="80"/>
        <v>0</v>
      </c>
      <c r="W106" s="3">
        <f t="shared" si="80"/>
        <v>0</v>
      </c>
      <c r="X106" s="3">
        <f t="shared" si="80"/>
        <v>0</v>
      </c>
      <c r="Y106" s="3">
        <f t="shared" si="80"/>
        <v>0</v>
      </c>
      <c r="Z106" s="95">
        <v>0</v>
      </c>
      <c r="AA106" s="3">
        <f t="shared" si="80"/>
        <v>0</v>
      </c>
      <c r="AB106" s="3">
        <f t="shared" si="80"/>
        <v>0</v>
      </c>
      <c r="AC106" s="3">
        <f t="shared" si="80"/>
        <v>0</v>
      </c>
      <c r="AD106" s="3">
        <f t="shared" si="80"/>
        <v>0</v>
      </c>
      <c r="AE106" s="3">
        <f t="shared" si="80"/>
        <v>0</v>
      </c>
      <c r="AF106" s="3">
        <f t="shared" si="80"/>
        <v>0</v>
      </c>
      <c r="AG106" s="3">
        <f t="shared" si="80"/>
        <v>0</v>
      </c>
      <c r="AH106" s="3">
        <f t="shared" si="80"/>
        <v>0</v>
      </c>
      <c r="AI106" s="3">
        <f t="shared" si="80"/>
        <v>0</v>
      </c>
      <c r="AJ106" s="3">
        <f t="shared" si="80"/>
        <v>0</v>
      </c>
      <c r="AK106" s="3">
        <f>P106-Q106</f>
        <v>18622.57</v>
      </c>
      <c r="AL106" s="3">
        <f t="shared" si="80"/>
        <v>0</v>
      </c>
      <c r="AM106" s="318">
        <f>ROUND((Q106*100%/P106*100),2)</f>
        <v>0</v>
      </c>
      <c r="AN106" s="3">
        <f t="shared" si="80"/>
        <v>0</v>
      </c>
      <c r="AO106" s="3">
        <f t="shared" si="80"/>
        <v>0</v>
      </c>
      <c r="AP106" s="633" t="s">
        <v>256</v>
      </c>
      <c r="AQ106" s="95">
        <v>0</v>
      </c>
    </row>
    <row r="107" spans="1:43" ht="16.5" customHeight="1" x14ac:dyDescent="0.25">
      <c r="A107" s="1382"/>
      <c r="B107" s="42" t="s">
        <v>15</v>
      </c>
      <c r="C107" s="313"/>
      <c r="D107" s="313"/>
      <c r="E107" s="313"/>
      <c r="F107" s="313"/>
      <c r="G107" s="313"/>
      <c r="H107" s="314"/>
      <c r="I107" s="1638"/>
      <c r="J107" s="72"/>
      <c r="K107" s="47"/>
      <c r="L107" s="47">
        <v>5734.87</v>
      </c>
      <c r="M107" s="47">
        <v>2761.44</v>
      </c>
      <c r="N107" s="47">
        <v>105.99</v>
      </c>
      <c r="O107" s="47">
        <v>0</v>
      </c>
      <c r="P107" s="47">
        <v>0</v>
      </c>
      <c r="Q107" s="47">
        <v>0</v>
      </c>
      <c r="R107" s="47">
        <v>646.03</v>
      </c>
      <c r="S107" s="47">
        <f t="shared" ref="S107:AJ107" si="81">SUM(S108:S109)</f>
        <v>646.02599999999995</v>
      </c>
      <c r="T107" s="47">
        <f t="shared" si="81"/>
        <v>872.63599999999997</v>
      </c>
      <c r="U107" s="47">
        <f t="shared" si="81"/>
        <v>872.63599999999997</v>
      </c>
      <c r="V107" s="47">
        <f t="shared" si="81"/>
        <v>0</v>
      </c>
      <c r="W107" s="47">
        <f t="shared" si="81"/>
        <v>0</v>
      </c>
      <c r="X107" s="47">
        <v>0</v>
      </c>
      <c r="Y107" s="47">
        <f t="shared" si="81"/>
        <v>0</v>
      </c>
      <c r="Z107" s="96"/>
      <c r="AA107" s="47">
        <f t="shared" si="81"/>
        <v>0</v>
      </c>
      <c r="AB107" s="47">
        <f t="shared" si="81"/>
        <v>0</v>
      </c>
      <c r="AC107" s="47">
        <f t="shared" si="81"/>
        <v>0</v>
      </c>
      <c r="AD107" s="47">
        <f t="shared" si="81"/>
        <v>0</v>
      </c>
      <c r="AE107" s="47">
        <f t="shared" si="81"/>
        <v>0</v>
      </c>
      <c r="AF107" s="47">
        <f t="shared" si="81"/>
        <v>0</v>
      </c>
      <c r="AG107" s="47">
        <f t="shared" si="81"/>
        <v>0</v>
      </c>
      <c r="AH107" s="47">
        <f t="shared" si="81"/>
        <v>0</v>
      </c>
      <c r="AI107" s="47">
        <f t="shared" si="81"/>
        <v>0</v>
      </c>
      <c r="AJ107" s="47">
        <f t="shared" si="81"/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/>
      <c r="AQ107" s="96"/>
    </row>
    <row r="108" spans="1:43" s="266" customFormat="1" ht="16.5" hidden="1" customHeight="1" x14ac:dyDescent="0.25">
      <c r="A108" s="1382"/>
      <c r="B108" s="252" t="s">
        <v>268</v>
      </c>
      <c r="C108" s="363"/>
      <c r="D108" s="363"/>
      <c r="E108" s="363"/>
      <c r="F108" s="363"/>
      <c r="G108" s="363"/>
      <c r="H108" s="364"/>
      <c r="I108" s="1638"/>
      <c r="J108" s="258"/>
      <c r="K108" s="96"/>
      <c r="L108" s="47">
        <f>SUM(M108:O108)</f>
        <v>0</v>
      </c>
      <c r="M108" s="96"/>
      <c r="N108" s="96"/>
      <c r="O108" s="96"/>
      <c r="P108" s="47"/>
      <c r="Q108" s="96">
        <f>S108+U108</f>
        <v>1518.6619999999998</v>
      </c>
      <c r="R108" s="96">
        <v>0</v>
      </c>
      <c r="S108" s="96">
        <v>646.02599999999995</v>
      </c>
      <c r="T108" s="96">
        <f>U108</f>
        <v>872.63599999999997</v>
      </c>
      <c r="U108" s="96">
        <v>872.63599999999997</v>
      </c>
      <c r="V108" s="96"/>
      <c r="W108" s="96"/>
      <c r="X108" s="96">
        <v>0</v>
      </c>
      <c r="Y108" s="96">
        <v>0</v>
      </c>
      <c r="Z108" s="96"/>
      <c r="AA108" s="96">
        <v>0</v>
      </c>
      <c r="AB108" s="96">
        <v>0</v>
      </c>
      <c r="AC108" s="96"/>
      <c r="AD108" s="96"/>
      <c r="AE108" s="96">
        <v>0</v>
      </c>
      <c r="AF108" s="96">
        <f>SUM(AG108:AG108)</f>
        <v>0</v>
      </c>
      <c r="AG108" s="96"/>
      <c r="AH108" s="96"/>
      <c r="AI108" s="96"/>
      <c r="AJ108" s="96"/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405"/>
      <c r="AQ108" s="96"/>
    </row>
    <row r="109" spans="1:43" ht="16.5" customHeight="1" x14ac:dyDescent="0.25">
      <c r="A109" s="1382"/>
      <c r="B109" s="42" t="s">
        <v>32</v>
      </c>
      <c r="C109" s="313"/>
      <c r="D109" s="313"/>
      <c r="E109" s="313"/>
      <c r="F109" s="313"/>
      <c r="G109" s="313"/>
      <c r="H109" s="740"/>
      <c r="I109" s="1638"/>
      <c r="J109" s="736"/>
      <c r="K109" s="47"/>
      <c r="L109" s="47">
        <f>SUM(M109:O109)</f>
        <v>0</v>
      </c>
      <c r="M109" s="47"/>
      <c r="N109" s="47"/>
      <c r="O109" s="47"/>
      <c r="P109" s="47">
        <v>18622.57</v>
      </c>
      <c r="Q109" s="47">
        <v>0</v>
      </c>
      <c r="R109" s="47"/>
      <c r="S109" s="47"/>
      <c r="T109" s="47">
        <f>U109</f>
        <v>0</v>
      </c>
      <c r="U109" s="47">
        <v>0</v>
      </c>
      <c r="V109" s="47"/>
      <c r="W109" s="47"/>
      <c r="X109" s="47"/>
      <c r="Y109" s="47"/>
      <c r="Z109" s="47"/>
      <c r="AA109" s="47">
        <f>SUM(AB109:AD109)</f>
        <v>0</v>
      </c>
      <c r="AB109" s="47"/>
      <c r="AC109" s="47">
        <v>0</v>
      </c>
      <c r="AD109" s="47">
        <v>0</v>
      </c>
      <c r="AE109" s="47"/>
      <c r="AF109" s="47">
        <f>SUM(AG109:AG109)</f>
        <v>0</v>
      </c>
      <c r="AG109" s="47"/>
      <c r="AH109" s="47"/>
      <c r="AI109" s="47"/>
      <c r="AJ109" s="47"/>
      <c r="AK109" s="47"/>
      <c r="AL109" s="47"/>
      <c r="AM109" s="47"/>
      <c r="AN109" s="47"/>
      <c r="AO109" s="47"/>
      <c r="AP109" s="397"/>
      <c r="AQ109" s="47"/>
    </row>
    <row r="110" spans="1:43" ht="0.75" customHeight="1" x14ac:dyDescent="0.25">
      <c r="A110" s="1383"/>
      <c r="B110" s="42" t="s">
        <v>32</v>
      </c>
      <c r="C110" s="313"/>
      <c r="D110" s="313"/>
      <c r="E110" s="313"/>
      <c r="F110" s="313"/>
      <c r="G110" s="313"/>
      <c r="H110" s="314"/>
      <c r="I110" s="1639"/>
      <c r="J110" s="72"/>
      <c r="K110" s="47"/>
      <c r="L110" s="47">
        <v>89140.68</v>
      </c>
      <c r="M110" s="47">
        <v>0</v>
      </c>
      <c r="N110" s="47">
        <v>9523.68</v>
      </c>
      <c r="O110" s="47">
        <v>22469.279999999999</v>
      </c>
      <c r="P110" s="47">
        <v>2605.9899999999998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96"/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J110" s="47"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397"/>
      <c r="AQ110" s="96"/>
    </row>
    <row r="111" spans="1:43" s="327" customFormat="1" ht="52.5" customHeight="1" x14ac:dyDescent="0.25">
      <c r="A111" s="1372" t="s">
        <v>165</v>
      </c>
      <c r="B111" s="780" t="s">
        <v>280</v>
      </c>
      <c r="C111" s="312"/>
      <c r="D111" s="312"/>
      <c r="E111" s="312"/>
      <c r="F111" s="312"/>
      <c r="G111" s="312"/>
      <c r="H111" s="723"/>
      <c r="I111" s="1326" t="s">
        <v>20</v>
      </c>
      <c r="J111" s="730"/>
      <c r="K111" s="3"/>
      <c r="L111" s="3">
        <f>L112</f>
        <v>10177.64</v>
      </c>
      <c r="M111" s="3">
        <f>M112</f>
        <v>0</v>
      </c>
      <c r="N111" s="3">
        <f t="shared" ref="N111:AO115" si="82">N112</f>
        <v>0</v>
      </c>
      <c r="O111" s="3">
        <f t="shared" si="82"/>
        <v>0</v>
      </c>
      <c r="P111" s="3">
        <v>7317.14</v>
      </c>
      <c r="Q111" s="3">
        <v>0</v>
      </c>
      <c r="R111" s="3">
        <f t="shared" si="82"/>
        <v>40.5</v>
      </c>
      <c r="S111" s="3">
        <f t="shared" si="82"/>
        <v>40.5</v>
      </c>
      <c r="T111" s="3">
        <f t="shared" si="82"/>
        <v>0</v>
      </c>
      <c r="U111" s="3">
        <f t="shared" si="82"/>
        <v>0</v>
      </c>
      <c r="V111" s="3">
        <f t="shared" si="82"/>
        <v>0</v>
      </c>
      <c r="W111" s="3">
        <f t="shared" si="82"/>
        <v>0</v>
      </c>
      <c r="X111" s="3">
        <f t="shared" si="82"/>
        <v>0</v>
      </c>
      <c r="Y111" s="3">
        <f t="shared" si="82"/>
        <v>0</v>
      </c>
      <c r="Z111" s="95">
        <v>0</v>
      </c>
      <c r="AA111" s="3">
        <v>0</v>
      </c>
      <c r="AB111" s="3">
        <f t="shared" si="82"/>
        <v>40.5</v>
      </c>
      <c r="AC111" s="3">
        <f t="shared" si="82"/>
        <v>0</v>
      </c>
      <c r="AD111" s="3">
        <f t="shared" si="82"/>
        <v>0</v>
      </c>
      <c r="AE111" s="3">
        <f t="shared" si="82"/>
        <v>0</v>
      </c>
      <c r="AF111" s="3">
        <f t="shared" si="82"/>
        <v>0</v>
      </c>
      <c r="AG111" s="3">
        <f t="shared" si="82"/>
        <v>0</v>
      </c>
      <c r="AH111" s="3">
        <f t="shared" si="82"/>
        <v>0</v>
      </c>
      <c r="AI111" s="3">
        <f t="shared" si="82"/>
        <v>0</v>
      </c>
      <c r="AJ111" s="3">
        <f t="shared" si="82"/>
        <v>0</v>
      </c>
      <c r="AK111" s="3">
        <f>P111-Q111</f>
        <v>7317.14</v>
      </c>
      <c r="AL111" s="3">
        <f t="shared" si="82"/>
        <v>0</v>
      </c>
      <c r="AM111" s="3">
        <f t="shared" si="82"/>
        <v>0</v>
      </c>
      <c r="AN111" s="3">
        <f t="shared" si="82"/>
        <v>0</v>
      </c>
      <c r="AO111" s="3">
        <f t="shared" si="82"/>
        <v>0</v>
      </c>
      <c r="AP111" s="633"/>
      <c r="AQ111" s="95">
        <v>0</v>
      </c>
    </row>
    <row r="112" spans="1:43" ht="17.25" hidden="1" customHeight="1" x14ac:dyDescent="0.25">
      <c r="A112" s="1639"/>
      <c r="B112" s="42" t="s">
        <v>203</v>
      </c>
      <c r="C112" s="313"/>
      <c r="D112" s="313"/>
      <c r="E112" s="313"/>
      <c r="F112" s="313"/>
      <c r="G112" s="313"/>
      <c r="H112" s="314"/>
      <c r="I112" s="1639"/>
      <c r="J112" s="72"/>
      <c r="K112" s="47"/>
      <c r="L112" s="47">
        <v>10177.64</v>
      </c>
      <c r="M112" s="47">
        <v>0</v>
      </c>
      <c r="N112" s="47">
        <v>0</v>
      </c>
      <c r="O112" s="47">
        <v>0</v>
      </c>
      <c r="P112" s="47">
        <v>2591.96</v>
      </c>
      <c r="Q112" s="47">
        <f>Q113</f>
        <v>40.5</v>
      </c>
      <c r="R112" s="47">
        <f t="shared" si="82"/>
        <v>40.5</v>
      </c>
      <c r="S112" s="47">
        <f t="shared" si="82"/>
        <v>40.5</v>
      </c>
      <c r="T112" s="47">
        <f t="shared" si="82"/>
        <v>0</v>
      </c>
      <c r="U112" s="47">
        <f t="shared" si="82"/>
        <v>0</v>
      </c>
      <c r="V112" s="47">
        <f t="shared" si="82"/>
        <v>0</v>
      </c>
      <c r="W112" s="47">
        <f t="shared" si="82"/>
        <v>0</v>
      </c>
      <c r="X112" s="47">
        <f t="shared" si="82"/>
        <v>0</v>
      </c>
      <c r="Y112" s="47">
        <f t="shared" si="82"/>
        <v>0</v>
      </c>
      <c r="Z112" s="96"/>
      <c r="AA112" s="47">
        <f t="shared" si="82"/>
        <v>40.5</v>
      </c>
      <c r="AB112" s="47">
        <f t="shared" si="82"/>
        <v>40.5</v>
      </c>
      <c r="AC112" s="47">
        <f t="shared" si="82"/>
        <v>0</v>
      </c>
      <c r="AD112" s="47">
        <f t="shared" si="82"/>
        <v>0</v>
      </c>
      <c r="AE112" s="47">
        <f t="shared" si="82"/>
        <v>0</v>
      </c>
      <c r="AF112" s="47">
        <f t="shared" si="82"/>
        <v>0</v>
      </c>
      <c r="AG112" s="47">
        <f t="shared" si="82"/>
        <v>0</v>
      </c>
      <c r="AH112" s="47">
        <f t="shared" si="82"/>
        <v>0</v>
      </c>
      <c r="AI112" s="47">
        <f t="shared" si="82"/>
        <v>0</v>
      </c>
      <c r="AJ112" s="47">
        <f t="shared" si="82"/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266" customFormat="1" ht="17.25" hidden="1" customHeight="1" x14ac:dyDescent="0.25">
      <c r="A113" s="539"/>
      <c r="B113" s="252" t="s">
        <v>298</v>
      </c>
      <c r="C113" s="363"/>
      <c r="D113" s="363"/>
      <c r="E113" s="363"/>
      <c r="F113" s="363"/>
      <c r="G113" s="363"/>
      <c r="H113" s="364"/>
      <c r="I113" s="539"/>
      <c r="J113" s="258"/>
      <c r="K113" s="96"/>
      <c r="L113" s="96"/>
      <c r="M113" s="96"/>
      <c r="N113" s="96"/>
      <c r="O113" s="96"/>
      <c r="P113" s="96"/>
      <c r="Q113" s="96">
        <f>S113</f>
        <v>40.5</v>
      </c>
      <c r="R113" s="96">
        <f>S113</f>
        <v>40.5</v>
      </c>
      <c r="S113" s="96">
        <v>40.5</v>
      </c>
      <c r="T113" s="96"/>
      <c r="U113" s="96"/>
      <c r="V113" s="96"/>
      <c r="W113" s="96"/>
      <c r="X113" s="96"/>
      <c r="Y113" s="96"/>
      <c r="Z113" s="96"/>
      <c r="AA113" s="96">
        <f>AB113</f>
        <v>40.5</v>
      </c>
      <c r="AB113" s="96">
        <v>40.5</v>
      </c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268"/>
      <c r="AN113" s="96"/>
      <c r="AO113" s="96"/>
      <c r="AP113" s="405"/>
      <c r="AQ113" s="96"/>
    </row>
    <row r="114" spans="1:45" s="327" customFormat="1" ht="27.75" customHeight="1" x14ac:dyDescent="0.25">
      <c r="A114" s="1372" t="s">
        <v>281</v>
      </c>
      <c r="B114" s="772" t="s">
        <v>284</v>
      </c>
      <c r="C114" s="312"/>
      <c r="D114" s="312"/>
      <c r="E114" s="312"/>
      <c r="F114" s="312"/>
      <c r="G114" s="312"/>
      <c r="H114" s="723"/>
      <c r="I114" s="1326" t="s">
        <v>20</v>
      </c>
      <c r="J114" s="730"/>
      <c r="K114" s="3"/>
      <c r="L114" s="3">
        <f>SUM(L115:L117)</f>
        <v>12294.88</v>
      </c>
      <c r="M114" s="3">
        <f>SUM(M115:M117)</f>
        <v>0</v>
      </c>
      <c r="N114" s="3">
        <f>SUM(N115:N117)</f>
        <v>0</v>
      </c>
      <c r="O114" s="3">
        <f>SUM(O115:O117)</f>
        <v>0</v>
      </c>
      <c r="P114" s="3">
        <f>SUM(P115:P117)</f>
        <v>11314.88</v>
      </c>
      <c r="Q114" s="3">
        <f t="shared" si="82"/>
        <v>0</v>
      </c>
      <c r="R114" s="3">
        <f t="shared" si="82"/>
        <v>686</v>
      </c>
      <c r="S114" s="3">
        <f t="shared" si="82"/>
        <v>686</v>
      </c>
      <c r="T114" s="3">
        <f t="shared" si="82"/>
        <v>294</v>
      </c>
      <c r="U114" s="3">
        <f t="shared" si="82"/>
        <v>294</v>
      </c>
      <c r="V114" s="3">
        <f t="shared" si="82"/>
        <v>0</v>
      </c>
      <c r="W114" s="3">
        <f t="shared" si="82"/>
        <v>0</v>
      </c>
      <c r="X114" s="3">
        <f t="shared" si="82"/>
        <v>0</v>
      </c>
      <c r="Y114" s="3">
        <f t="shared" si="82"/>
        <v>0</v>
      </c>
      <c r="Z114" s="95">
        <v>0</v>
      </c>
      <c r="AA114" s="3">
        <f t="shared" si="82"/>
        <v>0</v>
      </c>
      <c r="AB114" s="3">
        <f t="shared" si="82"/>
        <v>0</v>
      </c>
      <c r="AC114" s="3">
        <f t="shared" si="82"/>
        <v>0</v>
      </c>
      <c r="AD114" s="3">
        <f t="shared" si="82"/>
        <v>0</v>
      </c>
      <c r="AE114" s="3">
        <f t="shared" si="82"/>
        <v>0</v>
      </c>
      <c r="AF114" s="3">
        <f t="shared" si="82"/>
        <v>0</v>
      </c>
      <c r="AG114" s="3">
        <f t="shared" si="82"/>
        <v>0</v>
      </c>
      <c r="AH114" s="3">
        <f t="shared" si="82"/>
        <v>0</v>
      </c>
      <c r="AI114" s="3">
        <f t="shared" si="82"/>
        <v>0</v>
      </c>
      <c r="AJ114" s="3">
        <f t="shared" si="82"/>
        <v>0</v>
      </c>
      <c r="AK114" s="3">
        <f>P114-Q114</f>
        <v>11314.88</v>
      </c>
      <c r="AL114" s="3">
        <f>AL117</f>
        <v>0</v>
      </c>
      <c r="AM114" s="318">
        <v>0</v>
      </c>
      <c r="AN114" s="3">
        <f>AN117</f>
        <v>0</v>
      </c>
      <c r="AO114" s="3">
        <f>AO117</f>
        <v>0</v>
      </c>
      <c r="AP114" s="633" t="s">
        <v>256</v>
      </c>
      <c r="AQ114" s="95">
        <v>0</v>
      </c>
    </row>
    <row r="115" spans="1:45" ht="20.25" customHeight="1" x14ac:dyDescent="0.25">
      <c r="A115" s="1382"/>
      <c r="B115" s="42" t="s">
        <v>285</v>
      </c>
      <c r="C115" s="313"/>
      <c r="D115" s="313"/>
      <c r="E115" s="313"/>
      <c r="F115" s="313"/>
      <c r="G115" s="313"/>
      <c r="H115" s="314"/>
      <c r="I115" s="1327"/>
      <c r="J115" s="72"/>
      <c r="K115" s="47"/>
      <c r="L115" s="47">
        <v>980</v>
      </c>
      <c r="M115" s="47"/>
      <c r="N115" s="47">
        <v>0</v>
      </c>
      <c r="O115" s="47"/>
      <c r="P115" s="47">
        <v>0</v>
      </c>
      <c r="Q115" s="47">
        <v>0</v>
      </c>
      <c r="R115" s="47">
        <f t="shared" si="82"/>
        <v>686</v>
      </c>
      <c r="S115" s="47">
        <f t="shared" si="82"/>
        <v>686</v>
      </c>
      <c r="T115" s="47">
        <f t="shared" si="82"/>
        <v>294</v>
      </c>
      <c r="U115" s="47">
        <f t="shared" si="82"/>
        <v>294</v>
      </c>
      <c r="V115" s="47">
        <f t="shared" si="82"/>
        <v>0</v>
      </c>
      <c r="W115" s="47">
        <f t="shared" si="82"/>
        <v>0</v>
      </c>
      <c r="X115" s="47">
        <f t="shared" si="82"/>
        <v>0</v>
      </c>
      <c r="Y115" s="47">
        <f t="shared" si="82"/>
        <v>0</v>
      </c>
      <c r="Z115" s="96"/>
      <c r="AA115" s="47">
        <f t="shared" si="82"/>
        <v>0</v>
      </c>
      <c r="AB115" s="47">
        <f t="shared" si="82"/>
        <v>0</v>
      </c>
      <c r="AC115" s="47">
        <f t="shared" si="82"/>
        <v>0</v>
      </c>
      <c r="AD115" s="47">
        <f t="shared" si="82"/>
        <v>0</v>
      </c>
      <c r="AE115" s="47">
        <f t="shared" si="82"/>
        <v>0</v>
      </c>
      <c r="AF115" s="47">
        <f t="shared" si="82"/>
        <v>0</v>
      </c>
      <c r="AG115" s="47">
        <f t="shared" si="82"/>
        <v>0</v>
      </c>
      <c r="AH115" s="47">
        <f t="shared" si="82"/>
        <v>0</v>
      </c>
      <c r="AI115" s="47">
        <f t="shared" si="82"/>
        <v>0</v>
      </c>
      <c r="AJ115" s="47">
        <f t="shared" si="82"/>
        <v>0</v>
      </c>
      <c r="AK115" s="47">
        <v>0</v>
      </c>
      <c r="AL115" s="47"/>
      <c r="AM115" s="47"/>
      <c r="AN115" s="47"/>
      <c r="AO115" s="47"/>
      <c r="AP115" s="397"/>
      <c r="AQ115" s="96"/>
    </row>
    <row r="116" spans="1:45" s="266" customFormat="1" ht="20.25" hidden="1" customHeight="1" x14ac:dyDescent="0.25">
      <c r="A116" s="1382"/>
      <c r="B116" s="252" t="s">
        <v>299</v>
      </c>
      <c r="C116" s="363"/>
      <c r="D116" s="363"/>
      <c r="E116" s="363"/>
      <c r="F116" s="363"/>
      <c r="G116" s="363"/>
      <c r="H116" s="364"/>
      <c r="I116" s="1327"/>
      <c r="J116" s="258"/>
      <c r="K116" s="96"/>
      <c r="L116" s="96"/>
      <c r="M116" s="96"/>
      <c r="N116" s="96"/>
      <c r="O116" s="96"/>
      <c r="P116" s="96"/>
      <c r="Q116" s="96">
        <f>S116+U116</f>
        <v>980</v>
      </c>
      <c r="R116" s="96">
        <f>S116</f>
        <v>686</v>
      </c>
      <c r="S116" s="96">
        <v>686</v>
      </c>
      <c r="T116" s="96">
        <v>294</v>
      </c>
      <c r="U116" s="96">
        <v>294</v>
      </c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405"/>
      <c r="AQ116" s="96"/>
    </row>
    <row r="117" spans="1:45" ht="17.25" customHeight="1" x14ac:dyDescent="0.25">
      <c r="A117" s="1639"/>
      <c r="B117" s="42" t="s">
        <v>287</v>
      </c>
      <c r="C117" s="313"/>
      <c r="D117" s="313"/>
      <c r="E117" s="313"/>
      <c r="F117" s="313"/>
      <c r="G117" s="313"/>
      <c r="H117" s="314"/>
      <c r="I117" s="1639"/>
      <c r="J117" s="72"/>
      <c r="K117" s="47"/>
      <c r="L117" s="47">
        <v>11314.88</v>
      </c>
      <c r="M117" s="47">
        <v>0</v>
      </c>
      <c r="N117" s="47">
        <v>0</v>
      </c>
      <c r="O117" s="47">
        <v>0</v>
      </c>
      <c r="P117" s="47">
        <v>11314.88</v>
      </c>
      <c r="Q117" s="47">
        <v>0</v>
      </c>
      <c r="R117" s="47">
        <v>0</v>
      </c>
      <c r="S117" s="47">
        <v>0</v>
      </c>
      <c r="T117" s="47">
        <f t="shared" ref="T117:Y117" si="83">T127</f>
        <v>980</v>
      </c>
      <c r="U117" s="47">
        <v>0</v>
      </c>
      <c r="V117" s="47">
        <f t="shared" si="83"/>
        <v>0</v>
      </c>
      <c r="W117" s="47">
        <f t="shared" si="83"/>
        <v>0</v>
      </c>
      <c r="X117" s="47">
        <f t="shared" si="83"/>
        <v>0</v>
      </c>
      <c r="Y117" s="47">
        <f t="shared" si="83"/>
        <v>0</v>
      </c>
      <c r="Z117" s="96"/>
      <c r="AA117" s="47">
        <v>0</v>
      </c>
      <c r="AB117" s="47">
        <v>0</v>
      </c>
      <c r="AC117" s="47">
        <f t="shared" ref="AC117:AJ117" si="84">AC127</f>
        <v>0</v>
      </c>
      <c r="AD117" s="47">
        <f t="shared" si="84"/>
        <v>0</v>
      </c>
      <c r="AE117" s="47">
        <f t="shared" si="84"/>
        <v>0</v>
      </c>
      <c r="AF117" s="47">
        <f t="shared" si="84"/>
        <v>0</v>
      </c>
      <c r="AG117" s="47">
        <f t="shared" si="84"/>
        <v>0</v>
      </c>
      <c r="AH117" s="47">
        <f t="shared" si="84"/>
        <v>0</v>
      </c>
      <c r="AI117" s="47">
        <f t="shared" si="84"/>
        <v>0</v>
      </c>
      <c r="AJ117" s="47">
        <f t="shared" si="84"/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397"/>
      <c r="AQ117" s="96"/>
    </row>
    <row r="118" spans="1:45" s="327" customFormat="1" ht="24.75" customHeight="1" x14ac:dyDescent="0.25">
      <c r="A118" s="1372" t="s">
        <v>282</v>
      </c>
      <c r="B118" s="772" t="s">
        <v>286</v>
      </c>
      <c r="C118" s="312"/>
      <c r="D118" s="312"/>
      <c r="E118" s="312"/>
      <c r="F118" s="312"/>
      <c r="G118" s="312"/>
      <c r="H118" s="723"/>
      <c r="I118" s="1326" t="s">
        <v>20</v>
      </c>
      <c r="J118" s="730"/>
      <c r="K118" s="3"/>
      <c r="L118" s="3">
        <f>SUM(L119:L122)</f>
        <v>2085.84</v>
      </c>
      <c r="M118" s="3">
        <f>SUM(M119:M122)</f>
        <v>0</v>
      </c>
      <c r="N118" s="3">
        <f>SUM(N119:N122)</f>
        <v>0</v>
      </c>
      <c r="O118" s="3">
        <f>SUM(O119:O122)</f>
        <v>0</v>
      </c>
      <c r="P118" s="3">
        <f>SUM(P119:P122)</f>
        <v>86.18</v>
      </c>
      <c r="Q118" s="3">
        <f>Q119+Q122</f>
        <v>0</v>
      </c>
      <c r="R118" s="3">
        <f t="shared" ref="R118:AD118" si="85">R119+R122</f>
        <v>0</v>
      </c>
      <c r="S118" s="3">
        <f t="shared" si="85"/>
        <v>0</v>
      </c>
      <c r="T118" s="3">
        <f t="shared" si="85"/>
        <v>1066.18</v>
      </c>
      <c r="U118" s="3">
        <f t="shared" si="85"/>
        <v>86.18</v>
      </c>
      <c r="V118" s="3">
        <f t="shared" si="85"/>
        <v>1597.7769999999998</v>
      </c>
      <c r="W118" s="3">
        <f t="shared" si="85"/>
        <v>1597.7769999999998</v>
      </c>
      <c r="X118" s="3">
        <f t="shared" si="85"/>
        <v>0</v>
      </c>
      <c r="Y118" s="3">
        <f t="shared" si="85"/>
        <v>0</v>
      </c>
      <c r="Z118" s="95">
        <v>0</v>
      </c>
      <c r="AA118" s="3">
        <v>0</v>
      </c>
      <c r="AB118" s="3">
        <f t="shared" si="85"/>
        <v>0</v>
      </c>
      <c r="AC118" s="3">
        <f t="shared" si="85"/>
        <v>0</v>
      </c>
      <c r="AD118" s="3">
        <f t="shared" si="85"/>
        <v>1550</v>
      </c>
      <c r="AE118" s="3">
        <f t="shared" ref="AE118:AJ118" si="86">AE122</f>
        <v>0</v>
      </c>
      <c r="AF118" s="3">
        <f t="shared" si="86"/>
        <v>0</v>
      </c>
      <c r="AG118" s="3">
        <f t="shared" si="86"/>
        <v>0</v>
      </c>
      <c r="AH118" s="3">
        <f t="shared" si="86"/>
        <v>0</v>
      </c>
      <c r="AI118" s="3">
        <f t="shared" si="86"/>
        <v>0</v>
      </c>
      <c r="AJ118" s="3">
        <f t="shared" si="86"/>
        <v>0</v>
      </c>
      <c r="AK118" s="3">
        <f>P118-Q118</f>
        <v>86.18</v>
      </c>
      <c r="AL118" s="3">
        <f>AL122</f>
        <v>0</v>
      </c>
      <c r="AM118" s="3">
        <f>AM122</f>
        <v>0</v>
      </c>
      <c r="AN118" s="3">
        <f>AN122</f>
        <v>0</v>
      </c>
      <c r="AO118" s="3">
        <f>AO122</f>
        <v>0</v>
      </c>
      <c r="AP118" s="633" t="s">
        <v>244</v>
      </c>
      <c r="AQ118" s="95">
        <v>0</v>
      </c>
      <c r="AS118" s="3"/>
    </row>
    <row r="119" spans="1:45" ht="20.25" customHeight="1" x14ac:dyDescent="0.25">
      <c r="A119" s="1382"/>
      <c r="B119" s="42" t="s">
        <v>285</v>
      </c>
      <c r="C119" s="313"/>
      <c r="D119" s="313"/>
      <c r="E119" s="313"/>
      <c r="F119" s="313"/>
      <c r="G119" s="313"/>
      <c r="H119" s="314"/>
      <c r="I119" s="1327"/>
      <c r="J119" s="72"/>
      <c r="K119" s="47"/>
      <c r="L119" s="47">
        <v>2085.84</v>
      </c>
      <c r="M119" s="47"/>
      <c r="N119" s="47">
        <v>0</v>
      </c>
      <c r="O119" s="47"/>
      <c r="P119" s="47">
        <v>86.18</v>
      </c>
      <c r="Q119" s="47">
        <v>0</v>
      </c>
      <c r="R119" s="47">
        <f t="shared" ref="R119:W119" si="87">R121+R120</f>
        <v>0</v>
      </c>
      <c r="S119" s="47">
        <f t="shared" si="87"/>
        <v>0</v>
      </c>
      <c r="T119" s="47">
        <f t="shared" si="87"/>
        <v>86.18</v>
      </c>
      <c r="U119" s="47">
        <f t="shared" si="87"/>
        <v>86.18</v>
      </c>
      <c r="V119" s="47">
        <f t="shared" si="87"/>
        <v>1597.7769999999998</v>
      </c>
      <c r="W119" s="47">
        <f t="shared" si="87"/>
        <v>1597.7769999999998</v>
      </c>
      <c r="X119" s="47">
        <f t="shared" ref="X119:AD119" si="88">X121+X120</f>
        <v>0</v>
      </c>
      <c r="Y119" s="47">
        <f t="shared" si="88"/>
        <v>0</v>
      </c>
      <c r="Z119" s="96"/>
      <c r="AA119" s="47">
        <v>0</v>
      </c>
      <c r="AB119" s="47">
        <f t="shared" si="88"/>
        <v>0</v>
      </c>
      <c r="AC119" s="47">
        <f t="shared" si="88"/>
        <v>0</v>
      </c>
      <c r="AD119" s="47">
        <f t="shared" si="88"/>
        <v>1550</v>
      </c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397"/>
      <c r="AQ119" s="96"/>
    </row>
    <row r="120" spans="1:45" s="266" customFormat="1" ht="38.25" hidden="1" customHeight="1" x14ac:dyDescent="0.25">
      <c r="A120" s="1382"/>
      <c r="B120" s="252" t="s">
        <v>321</v>
      </c>
      <c r="C120" s="363"/>
      <c r="D120" s="363"/>
      <c r="E120" s="363"/>
      <c r="F120" s="363"/>
      <c r="G120" s="363"/>
      <c r="H120" s="364"/>
      <c r="I120" s="1327"/>
      <c r="J120" s="258"/>
      <c r="K120" s="96"/>
      <c r="L120" s="96"/>
      <c r="M120" s="96"/>
      <c r="N120" s="96"/>
      <c r="O120" s="96"/>
      <c r="P120" s="96"/>
      <c r="Q120" s="96">
        <f>W120</f>
        <v>1511.6</v>
      </c>
      <c r="R120" s="96"/>
      <c r="S120" s="96"/>
      <c r="T120" s="96"/>
      <c r="U120" s="96"/>
      <c r="V120" s="96">
        <f>W120</f>
        <v>1511.6</v>
      </c>
      <c r="W120" s="96">
        <v>1511.6</v>
      </c>
      <c r="X120" s="96"/>
      <c r="Y120" s="96"/>
      <c r="Z120" s="96"/>
      <c r="AA120" s="96">
        <f>AD120</f>
        <v>1550</v>
      </c>
      <c r="AB120" s="96"/>
      <c r="AC120" s="96"/>
      <c r="AD120" s="96">
        <v>1550</v>
      </c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405"/>
      <c r="AQ120" s="96"/>
    </row>
    <row r="121" spans="1:45" s="266" customFormat="1" ht="27" hidden="1" customHeight="1" x14ac:dyDescent="0.25">
      <c r="A121" s="1382"/>
      <c r="B121" s="252" t="s">
        <v>313</v>
      </c>
      <c r="C121" s="363"/>
      <c r="D121" s="363"/>
      <c r="E121" s="363"/>
      <c r="F121" s="363"/>
      <c r="G121" s="363"/>
      <c r="H121" s="364"/>
      <c r="I121" s="1327"/>
      <c r="J121" s="258"/>
      <c r="K121" s="96"/>
      <c r="L121" s="96"/>
      <c r="M121" s="96"/>
      <c r="N121" s="96"/>
      <c r="O121" s="96"/>
      <c r="P121" s="96"/>
      <c r="Q121" s="96">
        <f>S121+U121</f>
        <v>86.18</v>
      </c>
      <c r="R121" s="96"/>
      <c r="S121" s="96"/>
      <c r="T121" s="96">
        <f>U121</f>
        <v>86.18</v>
      </c>
      <c r="U121" s="96">
        <f>ROUND((103.412/1.2),2)</f>
        <v>86.18</v>
      </c>
      <c r="V121" s="96">
        <f>W121</f>
        <v>86.177000000000007</v>
      </c>
      <c r="W121" s="96">
        <v>86.177000000000007</v>
      </c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405"/>
      <c r="AQ121" s="96"/>
    </row>
    <row r="122" spans="1:45" ht="17.25" customHeight="1" x14ac:dyDescent="0.25">
      <c r="A122" s="1639"/>
      <c r="B122" s="42" t="s">
        <v>287</v>
      </c>
      <c r="C122" s="313"/>
      <c r="D122" s="313"/>
      <c r="E122" s="313"/>
      <c r="F122" s="313"/>
      <c r="G122" s="313"/>
      <c r="H122" s="314"/>
      <c r="I122" s="1639"/>
      <c r="J122" s="72"/>
      <c r="K122" s="47"/>
      <c r="L122" s="47">
        <v>0</v>
      </c>
      <c r="M122" s="47">
        <v>0</v>
      </c>
      <c r="N122" s="47">
        <v>0</v>
      </c>
      <c r="O122" s="47">
        <v>0</v>
      </c>
      <c r="P122" s="47">
        <f>N122</f>
        <v>0</v>
      </c>
      <c r="Q122" s="47">
        <v>0</v>
      </c>
      <c r="R122" s="47">
        <v>0</v>
      </c>
      <c r="S122" s="47">
        <v>0</v>
      </c>
      <c r="T122" s="47">
        <f t="shared" ref="T122:Y122" si="89">T136</f>
        <v>980</v>
      </c>
      <c r="U122" s="47">
        <v>0</v>
      </c>
      <c r="V122" s="47">
        <f t="shared" si="89"/>
        <v>0</v>
      </c>
      <c r="W122" s="47">
        <f t="shared" si="89"/>
        <v>0</v>
      </c>
      <c r="X122" s="47">
        <f t="shared" si="89"/>
        <v>0</v>
      </c>
      <c r="Y122" s="47">
        <f t="shared" si="89"/>
        <v>0</v>
      </c>
      <c r="Z122" s="96"/>
      <c r="AA122" s="47">
        <v>0</v>
      </c>
      <c r="AB122" s="47">
        <v>0</v>
      </c>
      <c r="AC122" s="47">
        <f t="shared" ref="AC122:AJ122" si="90">AC136</f>
        <v>0</v>
      </c>
      <c r="AD122" s="47">
        <f t="shared" si="90"/>
        <v>0</v>
      </c>
      <c r="AE122" s="47">
        <f t="shared" si="90"/>
        <v>0</v>
      </c>
      <c r="AF122" s="47">
        <f t="shared" si="90"/>
        <v>0</v>
      </c>
      <c r="AG122" s="47">
        <f t="shared" si="90"/>
        <v>0</v>
      </c>
      <c r="AH122" s="47">
        <f t="shared" si="90"/>
        <v>0</v>
      </c>
      <c r="AI122" s="47">
        <f t="shared" si="90"/>
        <v>0</v>
      </c>
      <c r="AJ122" s="47">
        <f t="shared" si="90"/>
        <v>0</v>
      </c>
      <c r="AK122" s="47">
        <v>0</v>
      </c>
      <c r="AL122" s="47">
        <v>0</v>
      </c>
      <c r="AM122" s="47">
        <v>0</v>
      </c>
      <c r="AN122" s="47">
        <v>0</v>
      </c>
      <c r="AO122" s="47">
        <v>0</v>
      </c>
      <c r="AP122" s="397"/>
      <c r="AQ122" s="96"/>
    </row>
    <row r="123" spans="1:45" s="327" customFormat="1" ht="31.5" customHeight="1" x14ac:dyDescent="0.25">
      <c r="A123" s="1372" t="s">
        <v>283</v>
      </c>
      <c r="B123" s="772" t="s">
        <v>288</v>
      </c>
      <c r="C123" s="312"/>
      <c r="D123" s="312"/>
      <c r="E123" s="312"/>
      <c r="F123" s="312"/>
      <c r="G123" s="312"/>
      <c r="H123" s="723"/>
      <c r="I123" s="1326" t="s">
        <v>20</v>
      </c>
      <c r="J123" s="730"/>
      <c r="K123" s="3"/>
      <c r="L123" s="3">
        <f t="shared" ref="L123:AJ124" si="91">L124</f>
        <v>28990</v>
      </c>
      <c r="M123" s="3">
        <f t="shared" si="91"/>
        <v>0</v>
      </c>
      <c r="N123" s="3">
        <f t="shared" si="91"/>
        <v>10150</v>
      </c>
      <c r="O123" s="3">
        <f t="shared" si="91"/>
        <v>0</v>
      </c>
      <c r="P123" s="3">
        <v>0</v>
      </c>
      <c r="Q123" s="3">
        <v>0</v>
      </c>
      <c r="R123" s="3">
        <f t="shared" si="91"/>
        <v>10000</v>
      </c>
      <c r="S123" s="3">
        <f t="shared" si="91"/>
        <v>10000</v>
      </c>
      <c r="T123" s="3">
        <f t="shared" si="91"/>
        <v>14158.333000000001</v>
      </c>
      <c r="U123" s="3">
        <f t="shared" si="91"/>
        <v>14158.333000000001</v>
      </c>
      <c r="V123" s="3">
        <f t="shared" si="91"/>
        <v>0</v>
      </c>
      <c r="W123" s="3">
        <f t="shared" si="91"/>
        <v>0</v>
      </c>
      <c r="X123" s="3">
        <f t="shared" si="91"/>
        <v>0</v>
      </c>
      <c r="Y123" s="3">
        <f t="shared" si="91"/>
        <v>0</v>
      </c>
      <c r="Z123" s="95">
        <v>0</v>
      </c>
      <c r="AA123" s="3">
        <f t="shared" si="91"/>
        <v>0</v>
      </c>
      <c r="AB123" s="3">
        <f t="shared" si="91"/>
        <v>0</v>
      </c>
      <c r="AC123" s="3">
        <f t="shared" si="91"/>
        <v>0</v>
      </c>
      <c r="AD123" s="3">
        <f t="shared" si="91"/>
        <v>0</v>
      </c>
      <c r="AE123" s="3">
        <f t="shared" si="91"/>
        <v>0</v>
      </c>
      <c r="AF123" s="3">
        <f t="shared" si="91"/>
        <v>0</v>
      </c>
      <c r="AG123" s="3">
        <f t="shared" si="91"/>
        <v>0</v>
      </c>
      <c r="AH123" s="3">
        <f t="shared" si="91"/>
        <v>0</v>
      </c>
      <c r="AI123" s="3">
        <f t="shared" si="91"/>
        <v>0</v>
      </c>
      <c r="AJ123" s="3">
        <f t="shared" si="91"/>
        <v>0</v>
      </c>
      <c r="AK123" s="3">
        <f>P123-Q123</f>
        <v>0</v>
      </c>
      <c r="AL123" s="3">
        <f>AL124</f>
        <v>0</v>
      </c>
      <c r="AM123" s="318" t="e">
        <f>ROUND((Q123*100%/P123*100),2)</f>
        <v>#DIV/0!</v>
      </c>
      <c r="AN123" s="3">
        <f>AN124</f>
        <v>0</v>
      </c>
      <c r="AO123" s="3">
        <f>AO124</f>
        <v>0</v>
      </c>
      <c r="AP123" s="633" t="s">
        <v>295</v>
      </c>
      <c r="AQ123" s="95">
        <v>0</v>
      </c>
    </row>
    <row r="124" spans="1:45" ht="17.25" hidden="1" customHeight="1" x14ac:dyDescent="0.25">
      <c r="A124" s="1639"/>
      <c r="B124" s="42" t="s">
        <v>201</v>
      </c>
      <c r="C124" s="313"/>
      <c r="D124" s="313"/>
      <c r="E124" s="313"/>
      <c r="F124" s="313"/>
      <c r="G124" s="313"/>
      <c r="H124" s="314"/>
      <c r="I124" s="1639"/>
      <c r="J124" s="72"/>
      <c r="K124" s="47"/>
      <c r="L124" s="47">
        <v>28990</v>
      </c>
      <c r="M124" s="47">
        <v>0</v>
      </c>
      <c r="N124" s="47">
        <v>10150</v>
      </c>
      <c r="O124" s="47">
        <v>0</v>
      </c>
      <c r="P124" s="47">
        <v>18840</v>
      </c>
      <c r="Q124" s="47">
        <f>Q125</f>
        <v>24158.332999999999</v>
      </c>
      <c r="R124" s="47">
        <f t="shared" si="91"/>
        <v>10000</v>
      </c>
      <c r="S124" s="47">
        <f t="shared" si="91"/>
        <v>10000</v>
      </c>
      <c r="T124" s="47">
        <f t="shared" si="91"/>
        <v>14158.333000000001</v>
      </c>
      <c r="U124" s="47">
        <f t="shared" si="91"/>
        <v>14158.333000000001</v>
      </c>
      <c r="V124" s="47">
        <f t="shared" si="91"/>
        <v>0</v>
      </c>
      <c r="W124" s="47">
        <f t="shared" si="91"/>
        <v>0</v>
      </c>
      <c r="X124" s="47">
        <f t="shared" si="91"/>
        <v>0</v>
      </c>
      <c r="Y124" s="47">
        <f t="shared" si="91"/>
        <v>0</v>
      </c>
      <c r="Z124" s="96"/>
      <c r="AA124" s="47">
        <f t="shared" si="91"/>
        <v>0</v>
      </c>
      <c r="AB124" s="47">
        <f t="shared" si="91"/>
        <v>0</v>
      </c>
      <c r="AC124" s="47">
        <f t="shared" si="91"/>
        <v>0</v>
      </c>
      <c r="AD124" s="47">
        <f t="shared" si="91"/>
        <v>0</v>
      </c>
      <c r="AE124" s="47">
        <f>AE125</f>
        <v>0</v>
      </c>
      <c r="AF124" s="47">
        <f>AF139+AJ124</f>
        <v>0</v>
      </c>
      <c r="AG124" s="47">
        <f>AG139</f>
        <v>0</v>
      </c>
      <c r="AH124" s="47">
        <f>AH139</f>
        <v>0</v>
      </c>
      <c r="AI124" s="47">
        <f>AI139</f>
        <v>0</v>
      </c>
      <c r="AJ124" s="47"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266" customFormat="1" ht="24.75" hidden="1" customHeight="1" x14ac:dyDescent="0.25">
      <c r="A125" s="539"/>
      <c r="B125" s="252" t="s">
        <v>290</v>
      </c>
      <c r="C125" s="363"/>
      <c r="D125" s="363"/>
      <c r="E125" s="363"/>
      <c r="F125" s="363"/>
      <c r="G125" s="363"/>
      <c r="H125" s="364"/>
      <c r="I125" s="614"/>
      <c r="J125" s="258"/>
      <c r="K125" s="96"/>
      <c r="L125" s="96"/>
      <c r="M125" s="96"/>
      <c r="N125" s="96"/>
      <c r="O125" s="96"/>
      <c r="P125" s="96"/>
      <c r="Q125" s="96">
        <f>S125+U125</f>
        <v>24158.332999999999</v>
      </c>
      <c r="R125" s="96">
        <f>S125</f>
        <v>10000</v>
      </c>
      <c r="S125" s="96">
        <v>10000</v>
      </c>
      <c r="T125" s="96">
        <f>U125</f>
        <v>14158.333000000001</v>
      </c>
      <c r="U125" s="96">
        <v>14158.333000000001</v>
      </c>
      <c r="V125" s="96"/>
      <c r="W125" s="96"/>
      <c r="X125" s="96"/>
      <c r="Y125" s="96"/>
      <c r="Z125" s="96"/>
      <c r="AA125" s="96">
        <f>SUM(AB125:AE125)</f>
        <v>0</v>
      </c>
      <c r="AB125" s="96"/>
      <c r="AC125" s="96"/>
      <c r="AD125" s="96"/>
      <c r="AE125" s="96">
        <v>0</v>
      </c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405"/>
      <c r="AQ125" s="96"/>
    </row>
    <row r="126" spans="1:45" ht="54" hidden="1" customHeight="1" x14ac:dyDescent="0.25">
      <c r="A126" s="1332" t="s">
        <v>60</v>
      </c>
      <c r="B126" s="1613" t="s">
        <v>45</v>
      </c>
      <c r="C126" s="1614"/>
      <c r="D126" s="1614"/>
      <c r="E126" s="1614"/>
      <c r="F126" s="1614"/>
      <c r="G126" s="1614"/>
      <c r="H126" s="1615"/>
      <c r="I126" s="23" t="s">
        <v>19</v>
      </c>
      <c r="J126" s="47">
        <v>0</v>
      </c>
      <c r="K126" s="47">
        <f>K129</f>
        <v>0</v>
      </c>
      <c r="L126" s="47">
        <f>M126+N126+O126</f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96"/>
      <c r="AA126" s="47">
        <v>0</v>
      </c>
      <c r="AB126" s="47">
        <v>0</v>
      </c>
      <c r="AC126" s="47">
        <v>0</v>
      </c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ht="42.75" hidden="1" customHeight="1" x14ac:dyDescent="0.25">
      <c r="A127" s="1333"/>
      <c r="B127" s="1616"/>
      <c r="C127" s="1617"/>
      <c r="D127" s="1617"/>
      <c r="E127" s="1617"/>
      <c r="F127" s="1617"/>
      <c r="G127" s="1617"/>
      <c r="H127" s="1618"/>
      <c r="I127" s="23" t="s">
        <v>20</v>
      </c>
      <c r="J127" s="47">
        <f>J136</f>
        <v>4106.3500000000004</v>
      </c>
      <c r="K127" s="47">
        <v>0</v>
      </c>
      <c r="L127" s="47">
        <f>L136</f>
        <v>6022.96</v>
      </c>
      <c r="M127" s="47">
        <f>M136</f>
        <v>0</v>
      </c>
      <c r="N127" s="47">
        <f t="shared" ref="N127:AO127" si="92">N136</f>
        <v>980</v>
      </c>
      <c r="O127" s="47">
        <f t="shared" si="92"/>
        <v>0</v>
      </c>
      <c r="P127" s="47">
        <f t="shared" si="92"/>
        <v>420.48</v>
      </c>
      <c r="Q127" s="47">
        <f t="shared" si="92"/>
        <v>0</v>
      </c>
      <c r="R127" s="47">
        <f t="shared" si="92"/>
        <v>0</v>
      </c>
      <c r="S127" s="47">
        <f t="shared" si="92"/>
        <v>0</v>
      </c>
      <c r="T127" s="47">
        <f t="shared" si="92"/>
        <v>980</v>
      </c>
      <c r="U127" s="47">
        <f t="shared" si="92"/>
        <v>980</v>
      </c>
      <c r="V127" s="47">
        <f t="shared" si="92"/>
        <v>0</v>
      </c>
      <c r="W127" s="47">
        <f t="shared" si="92"/>
        <v>0</v>
      </c>
      <c r="X127" s="47">
        <f t="shared" si="92"/>
        <v>0</v>
      </c>
      <c r="Y127" s="47">
        <f t="shared" si="92"/>
        <v>0</v>
      </c>
      <c r="Z127" s="96"/>
      <c r="AA127" s="47">
        <f t="shared" si="92"/>
        <v>0</v>
      </c>
      <c r="AB127" s="47">
        <f t="shared" si="92"/>
        <v>0</v>
      </c>
      <c r="AC127" s="47">
        <f t="shared" si="92"/>
        <v>0</v>
      </c>
      <c r="AD127" s="47">
        <f t="shared" si="92"/>
        <v>0</v>
      </c>
      <c r="AE127" s="47">
        <f t="shared" si="92"/>
        <v>0</v>
      </c>
      <c r="AF127" s="47">
        <f t="shared" si="92"/>
        <v>0</v>
      </c>
      <c r="AG127" s="47">
        <f t="shared" si="92"/>
        <v>0</v>
      </c>
      <c r="AH127" s="47">
        <f t="shared" si="92"/>
        <v>0</v>
      </c>
      <c r="AI127" s="47">
        <f t="shared" si="92"/>
        <v>0</v>
      </c>
      <c r="AJ127" s="47">
        <f t="shared" si="92"/>
        <v>0</v>
      </c>
      <c r="AK127" s="47">
        <f t="shared" si="92"/>
        <v>420.48</v>
      </c>
      <c r="AL127" s="47">
        <f t="shared" si="92"/>
        <v>420.48</v>
      </c>
      <c r="AM127" s="47">
        <f t="shared" si="92"/>
        <v>0</v>
      </c>
      <c r="AN127" s="47">
        <f t="shared" si="92"/>
        <v>0</v>
      </c>
      <c r="AO127" s="47">
        <f t="shared" si="92"/>
        <v>0</v>
      </c>
      <c r="AP127" s="397"/>
      <c r="AQ127" s="96"/>
    </row>
    <row r="128" spans="1:45" ht="25.5" hidden="1" x14ac:dyDescent="0.25">
      <c r="A128" s="1333"/>
      <c r="B128" s="1616"/>
      <c r="C128" s="1617"/>
      <c r="D128" s="1617"/>
      <c r="E128" s="1617"/>
      <c r="F128" s="1617"/>
      <c r="G128" s="1617"/>
      <c r="H128" s="1618"/>
      <c r="I128" s="23" t="s">
        <v>10</v>
      </c>
      <c r="J128" s="47">
        <v>0</v>
      </c>
      <c r="K128" s="47"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129" hidden="1" customHeight="1" x14ac:dyDescent="0.25">
      <c r="A129" s="1334"/>
      <c r="B129" s="1619"/>
      <c r="C129" s="1620"/>
      <c r="D129" s="1620"/>
      <c r="E129" s="1620"/>
      <c r="F129" s="1620"/>
      <c r="G129" s="1620"/>
      <c r="H129" s="1621"/>
      <c r="I129" s="23" t="s">
        <v>9</v>
      </c>
      <c r="J129" s="47">
        <v>0</v>
      </c>
      <c r="K129" s="47"/>
      <c r="L129" s="47">
        <f>M129+N129+O129</f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96"/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397"/>
      <c r="AQ129" s="96"/>
    </row>
    <row r="130" spans="1:43" s="327" customFormat="1" ht="31.5" customHeight="1" x14ac:dyDescent="0.25">
      <c r="A130" s="789"/>
      <c r="B130" s="772" t="s">
        <v>405</v>
      </c>
      <c r="C130" s="312"/>
      <c r="D130" s="312"/>
      <c r="E130" s="312"/>
      <c r="F130" s="312"/>
      <c r="G130" s="312"/>
      <c r="H130" s="723"/>
      <c r="I130" s="788"/>
      <c r="J130" s="730"/>
      <c r="K130" s="3"/>
      <c r="L130" s="3"/>
      <c r="M130" s="3"/>
      <c r="N130" s="3"/>
      <c r="O130" s="3"/>
      <c r="P130" s="3">
        <f>SUM(P131:P132)</f>
        <v>2820.43</v>
      </c>
      <c r="Q130" s="3">
        <f t="shared" ref="Q130:AA130" si="93">SUM(Q131:Q132)</f>
        <v>0</v>
      </c>
      <c r="R130" s="3">
        <f t="shared" si="93"/>
        <v>0</v>
      </c>
      <c r="S130" s="3">
        <f t="shared" si="93"/>
        <v>0</v>
      </c>
      <c r="T130" s="3">
        <f t="shared" si="93"/>
        <v>0</v>
      </c>
      <c r="U130" s="3">
        <f t="shared" si="93"/>
        <v>0</v>
      </c>
      <c r="V130" s="3">
        <f t="shared" si="93"/>
        <v>0</v>
      </c>
      <c r="W130" s="3">
        <f t="shared" si="93"/>
        <v>0</v>
      </c>
      <c r="X130" s="3">
        <f t="shared" si="93"/>
        <v>0</v>
      </c>
      <c r="Y130" s="3">
        <f t="shared" si="93"/>
        <v>0</v>
      </c>
      <c r="Z130" s="3">
        <f t="shared" si="93"/>
        <v>0</v>
      </c>
      <c r="AA130" s="3">
        <f t="shared" si="93"/>
        <v>0</v>
      </c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18"/>
      <c r="AN130" s="3"/>
      <c r="AO130" s="3"/>
      <c r="AP130" s="633"/>
      <c r="AQ130" s="95"/>
    </row>
    <row r="131" spans="1:43" ht="15.75" x14ac:dyDescent="0.25">
      <c r="A131" s="722"/>
      <c r="B131" s="42" t="s">
        <v>285</v>
      </c>
      <c r="C131" s="734"/>
      <c r="D131" s="734"/>
      <c r="E131" s="734"/>
      <c r="F131" s="734"/>
      <c r="G131" s="734"/>
      <c r="H131" s="735"/>
      <c r="I131" s="726"/>
      <c r="J131" s="4"/>
      <c r="K131" s="47"/>
      <c r="L131" s="47"/>
      <c r="M131" s="47"/>
      <c r="N131" s="47"/>
      <c r="O131" s="47"/>
      <c r="P131" s="47">
        <v>508</v>
      </c>
      <c r="Q131" s="47">
        <v>0</v>
      </c>
      <c r="R131" s="47"/>
      <c r="S131" s="47"/>
      <c r="T131" s="47"/>
      <c r="U131" s="47"/>
      <c r="V131" s="47"/>
      <c r="W131" s="47"/>
      <c r="X131" s="47"/>
      <c r="Y131" s="47"/>
      <c r="Z131" s="96"/>
      <c r="AA131" s="47">
        <v>0</v>
      </c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"/>
      <c r="AN131" s="47"/>
      <c r="AO131" s="47"/>
      <c r="AP131" s="397"/>
      <c r="AQ131" s="96"/>
    </row>
    <row r="132" spans="1:43" ht="17.25" customHeight="1" x14ac:dyDescent="0.25">
      <c r="A132" s="722"/>
      <c r="B132" s="42" t="s">
        <v>213</v>
      </c>
      <c r="C132" s="313"/>
      <c r="D132" s="313"/>
      <c r="E132" s="313"/>
      <c r="F132" s="313"/>
      <c r="G132" s="313"/>
      <c r="H132" s="740"/>
      <c r="I132" s="726"/>
      <c r="J132" s="736"/>
      <c r="K132" s="47"/>
      <c r="L132" s="47"/>
      <c r="M132" s="47"/>
      <c r="N132" s="47"/>
      <c r="O132" s="47"/>
      <c r="P132" s="47">
        <v>2312.4299999999998</v>
      </c>
      <c r="Q132" s="47">
        <v>0</v>
      </c>
      <c r="R132" s="47"/>
      <c r="S132" s="47"/>
      <c r="T132" s="47"/>
      <c r="U132" s="47"/>
      <c r="V132" s="47"/>
      <c r="W132" s="47"/>
      <c r="X132" s="47"/>
      <c r="Y132" s="47"/>
      <c r="Z132" s="96"/>
      <c r="AA132" s="47">
        <v>0</v>
      </c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397"/>
      <c r="AQ132" s="96"/>
    </row>
    <row r="133" spans="1:43" s="327" customFormat="1" ht="31.5" customHeight="1" x14ac:dyDescent="0.25">
      <c r="A133" s="789"/>
      <c r="B133" s="772" t="s">
        <v>406</v>
      </c>
      <c r="C133" s="312"/>
      <c r="D133" s="312"/>
      <c r="E133" s="312"/>
      <c r="F133" s="312"/>
      <c r="G133" s="312"/>
      <c r="H133" s="723"/>
      <c r="I133" s="788"/>
      <c r="J133" s="730"/>
      <c r="K133" s="3"/>
      <c r="L133" s="3"/>
      <c r="M133" s="3"/>
      <c r="N133" s="3"/>
      <c r="O133" s="3"/>
      <c r="P133" s="3">
        <f>SUM(P134:P135)</f>
        <v>3423.47</v>
      </c>
      <c r="Q133" s="3">
        <f t="shared" ref="Q133" si="94">SUM(Q134:Q135)</f>
        <v>0</v>
      </c>
      <c r="R133" s="3">
        <f t="shared" ref="R133" si="95">SUM(R134:R135)</f>
        <v>0</v>
      </c>
      <c r="S133" s="3">
        <f t="shared" ref="S133" si="96">SUM(S134:S135)</f>
        <v>0</v>
      </c>
      <c r="T133" s="3">
        <f t="shared" ref="T133" si="97">SUM(T134:T135)</f>
        <v>0</v>
      </c>
      <c r="U133" s="3">
        <f t="shared" ref="U133" si="98">SUM(U134:U135)</f>
        <v>0</v>
      </c>
      <c r="V133" s="3">
        <f t="shared" ref="V133" si="99">SUM(V134:V135)</f>
        <v>0</v>
      </c>
      <c r="W133" s="3">
        <f t="shared" ref="W133" si="100">SUM(W134:W135)</f>
        <v>0</v>
      </c>
      <c r="X133" s="3">
        <f t="shared" ref="X133" si="101">SUM(X134:X135)</f>
        <v>0</v>
      </c>
      <c r="Y133" s="3">
        <f t="shared" ref="Y133" si="102">SUM(Y134:Y135)</f>
        <v>0</v>
      </c>
      <c r="Z133" s="3">
        <f t="shared" ref="Z133" si="103">SUM(Z134:Z135)</f>
        <v>0</v>
      </c>
      <c r="AA133" s="3">
        <f t="shared" ref="AA133" si="104">SUM(AA134:AA135)</f>
        <v>0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18"/>
      <c r="AN133" s="3"/>
      <c r="AO133" s="3"/>
      <c r="AP133" s="633"/>
      <c r="AQ133" s="95"/>
    </row>
    <row r="134" spans="1:43" ht="15.75" x14ac:dyDescent="0.25">
      <c r="A134" s="722"/>
      <c r="B134" s="42" t="s">
        <v>285</v>
      </c>
      <c r="C134" s="734"/>
      <c r="D134" s="734"/>
      <c r="E134" s="734"/>
      <c r="F134" s="734"/>
      <c r="G134" s="734"/>
      <c r="H134" s="735"/>
      <c r="I134" s="726"/>
      <c r="J134" s="4"/>
      <c r="K134" s="47"/>
      <c r="L134" s="47"/>
      <c r="M134" s="47"/>
      <c r="N134" s="47"/>
      <c r="O134" s="47"/>
      <c r="P134" s="47">
        <v>489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"/>
      <c r="AN134" s="47"/>
      <c r="AO134" s="47"/>
      <c r="AP134" s="397"/>
      <c r="AQ134" s="96"/>
    </row>
    <row r="135" spans="1:43" ht="17.25" customHeight="1" x14ac:dyDescent="0.25">
      <c r="A135" s="722"/>
      <c r="B135" s="42" t="s">
        <v>213</v>
      </c>
      <c r="C135" s="313"/>
      <c r="D135" s="313"/>
      <c r="E135" s="313"/>
      <c r="F135" s="313"/>
      <c r="G135" s="313"/>
      <c r="H135" s="740"/>
      <c r="I135" s="726"/>
      <c r="J135" s="736"/>
      <c r="K135" s="47"/>
      <c r="L135" s="47"/>
      <c r="M135" s="47"/>
      <c r="N135" s="47"/>
      <c r="O135" s="47"/>
      <c r="P135" s="47">
        <v>2934.47</v>
      </c>
      <c r="Q135" s="47">
        <v>0</v>
      </c>
      <c r="R135" s="47"/>
      <c r="S135" s="47"/>
      <c r="T135" s="47"/>
      <c r="U135" s="47"/>
      <c r="V135" s="47"/>
      <c r="W135" s="47"/>
      <c r="X135" s="47"/>
      <c r="Y135" s="47"/>
      <c r="Z135" s="96"/>
      <c r="AA135" s="47">
        <v>0</v>
      </c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397"/>
      <c r="AQ135" s="96"/>
    </row>
    <row r="136" spans="1:43" s="327" customFormat="1" ht="30" customHeight="1" x14ac:dyDescent="0.25">
      <c r="A136" s="1372" t="s">
        <v>61</v>
      </c>
      <c r="B136" s="609" t="s">
        <v>88</v>
      </c>
      <c r="C136" s="790"/>
      <c r="D136" s="790"/>
      <c r="E136" s="790"/>
      <c r="F136" s="790"/>
      <c r="G136" s="790"/>
      <c r="H136" s="790"/>
      <c r="I136" s="1463" t="s">
        <v>20</v>
      </c>
      <c r="J136" s="1622">
        <v>4106.3500000000004</v>
      </c>
      <c r="K136" s="3">
        <v>0</v>
      </c>
      <c r="L136" s="3">
        <f>L137+L140</f>
        <v>6022.96</v>
      </c>
      <c r="M136" s="3">
        <f>M137+M140</f>
        <v>0</v>
      </c>
      <c r="N136" s="3">
        <f>N137+N140</f>
        <v>980</v>
      </c>
      <c r="O136" s="3">
        <f>O137+O140</f>
        <v>0</v>
      </c>
      <c r="P136" s="3">
        <f>P137+P140</f>
        <v>420.48</v>
      </c>
      <c r="Q136" s="3">
        <f t="shared" ref="Q136:AO136" si="105">Q137+Q140</f>
        <v>0</v>
      </c>
      <c r="R136" s="3">
        <f t="shared" si="105"/>
        <v>0</v>
      </c>
      <c r="S136" s="3">
        <f t="shared" si="105"/>
        <v>0</v>
      </c>
      <c r="T136" s="3">
        <f t="shared" si="105"/>
        <v>980</v>
      </c>
      <c r="U136" s="3">
        <f t="shared" si="105"/>
        <v>980</v>
      </c>
      <c r="V136" s="3">
        <f t="shared" si="105"/>
        <v>0</v>
      </c>
      <c r="W136" s="3">
        <f t="shared" si="105"/>
        <v>0</v>
      </c>
      <c r="X136" s="3">
        <f t="shared" si="105"/>
        <v>0</v>
      </c>
      <c r="Y136" s="3">
        <f t="shared" si="105"/>
        <v>0</v>
      </c>
      <c r="Z136" s="95">
        <v>0</v>
      </c>
      <c r="AA136" s="3">
        <f t="shared" si="105"/>
        <v>0</v>
      </c>
      <c r="AB136" s="3">
        <f>AB137+AB140</f>
        <v>0</v>
      </c>
      <c r="AC136" s="3">
        <f>AC137+AC140</f>
        <v>0</v>
      </c>
      <c r="AD136" s="3">
        <f>AD137+AD140</f>
        <v>0</v>
      </c>
      <c r="AE136" s="3">
        <f>AE137+AE140</f>
        <v>0</v>
      </c>
      <c r="AF136" s="3">
        <f t="shared" si="105"/>
        <v>0</v>
      </c>
      <c r="AG136" s="3">
        <f t="shared" si="105"/>
        <v>0</v>
      </c>
      <c r="AH136" s="3">
        <f t="shared" si="105"/>
        <v>0</v>
      </c>
      <c r="AI136" s="3">
        <f t="shared" si="105"/>
        <v>0</v>
      </c>
      <c r="AJ136" s="3">
        <f t="shared" si="105"/>
        <v>0</v>
      </c>
      <c r="AK136" s="3">
        <f>P136-Q136</f>
        <v>420.48</v>
      </c>
      <c r="AL136" s="3">
        <f>AK136</f>
        <v>420.48</v>
      </c>
      <c r="AM136" s="318">
        <f>ROUND((Q136*100%/P136*100),2)</f>
        <v>0</v>
      </c>
      <c r="AN136" s="3">
        <f t="shared" si="105"/>
        <v>0</v>
      </c>
      <c r="AO136" s="3">
        <f t="shared" si="105"/>
        <v>0</v>
      </c>
      <c r="AP136" s="633" t="s">
        <v>256</v>
      </c>
      <c r="AQ136" s="95">
        <v>0</v>
      </c>
    </row>
    <row r="137" spans="1:43" x14ac:dyDescent="0.25">
      <c r="A137" s="1382"/>
      <c r="B137" s="23" t="s">
        <v>15</v>
      </c>
      <c r="C137" s="46"/>
      <c r="D137" s="46"/>
      <c r="E137" s="46"/>
      <c r="F137" s="46"/>
      <c r="G137" s="588">
        <v>2019</v>
      </c>
      <c r="H137" s="588">
        <v>2019</v>
      </c>
      <c r="I137" s="1464"/>
      <c r="J137" s="1623"/>
      <c r="K137" s="47"/>
      <c r="L137" s="47">
        <v>1000</v>
      </c>
      <c r="M137" s="47">
        <v>0</v>
      </c>
      <c r="N137" s="47">
        <v>980</v>
      </c>
      <c r="O137" s="47">
        <v>0</v>
      </c>
      <c r="P137" s="47">
        <v>0</v>
      </c>
      <c r="Q137" s="47">
        <v>0</v>
      </c>
      <c r="R137" s="47">
        <f t="shared" ref="R137:AA137" si="106">R138+R139</f>
        <v>0</v>
      </c>
      <c r="S137" s="47">
        <f t="shared" si="106"/>
        <v>0</v>
      </c>
      <c r="T137" s="47">
        <f t="shared" si="106"/>
        <v>980</v>
      </c>
      <c r="U137" s="47">
        <f t="shared" si="106"/>
        <v>980</v>
      </c>
      <c r="V137" s="47">
        <f t="shared" si="106"/>
        <v>0</v>
      </c>
      <c r="W137" s="47">
        <f t="shared" si="106"/>
        <v>0</v>
      </c>
      <c r="X137" s="47">
        <f t="shared" si="106"/>
        <v>0</v>
      </c>
      <c r="Y137" s="47">
        <f t="shared" si="106"/>
        <v>0</v>
      </c>
      <c r="Z137" s="96"/>
      <c r="AA137" s="47">
        <f t="shared" si="106"/>
        <v>0</v>
      </c>
      <c r="AB137" s="47">
        <f>AB138+AB139</f>
        <v>0</v>
      </c>
      <c r="AC137" s="47">
        <f>AC138+AC139</f>
        <v>0</v>
      </c>
      <c r="AD137" s="47">
        <f>AD138+AD139</f>
        <v>0</v>
      </c>
      <c r="AE137" s="47">
        <f>AE138+AE139</f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397"/>
      <c r="AQ137" s="96"/>
    </row>
    <row r="138" spans="1:43" s="266" customFormat="1" hidden="1" x14ac:dyDescent="0.25">
      <c r="A138" s="1382"/>
      <c r="B138" s="443" t="s">
        <v>251</v>
      </c>
      <c r="C138" s="444"/>
      <c r="D138" s="444"/>
      <c r="E138" s="444"/>
      <c r="F138" s="444"/>
      <c r="G138" s="262"/>
      <c r="H138" s="262"/>
      <c r="I138" s="1464"/>
      <c r="J138" s="1623"/>
      <c r="K138" s="96"/>
      <c r="L138" s="96"/>
      <c r="M138" s="96"/>
      <c r="N138" s="96"/>
      <c r="O138" s="96"/>
      <c r="P138" s="96">
        <v>0</v>
      </c>
      <c r="Q138" s="96">
        <f>S138+U138</f>
        <v>980</v>
      </c>
      <c r="R138" s="96">
        <v>0</v>
      </c>
      <c r="S138" s="96">
        <v>0</v>
      </c>
      <c r="T138" s="96">
        <f>U138</f>
        <v>980</v>
      </c>
      <c r="U138" s="96">
        <v>980</v>
      </c>
      <c r="V138" s="96"/>
      <c r="W138" s="96"/>
      <c r="X138" s="96"/>
      <c r="Y138" s="96"/>
      <c r="Z138" s="96"/>
      <c r="AA138" s="96">
        <f>AB138</f>
        <v>0</v>
      </c>
      <c r="AB138" s="96">
        <v>0</v>
      </c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405"/>
      <c r="AQ138" s="96"/>
    </row>
    <row r="139" spans="1:43" s="266" customFormat="1" hidden="1" x14ac:dyDescent="0.25">
      <c r="A139" s="1382"/>
      <c r="B139" s="443" t="s">
        <v>252</v>
      </c>
      <c r="C139" s="444"/>
      <c r="D139" s="444"/>
      <c r="E139" s="444"/>
      <c r="F139" s="444"/>
      <c r="G139" s="262"/>
      <c r="H139" s="262"/>
      <c r="I139" s="1464"/>
      <c r="J139" s="1623"/>
      <c r="K139" s="96"/>
      <c r="L139" s="96"/>
      <c r="M139" s="96"/>
      <c r="N139" s="96"/>
      <c r="O139" s="96"/>
      <c r="P139" s="96"/>
      <c r="Q139" s="96">
        <f>S139</f>
        <v>0</v>
      </c>
      <c r="R139" s="96">
        <f>S139</f>
        <v>0</v>
      </c>
      <c r="S139" s="96">
        <v>0</v>
      </c>
      <c r="T139" s="96"/>
      <c r="U139" s="96"/>
      <c r="V139" s="96"/>
      <c r="W139" s="96"/>
      <c r="X139" s="96"/>
      <c r="Y139" s="96"/>
      <c r="Z139" s="96"/>
      <c r="AA139" s="96">
        <f>AB139</f>
        <v>0</v>
      </c>
      <c r="AB139" s="96">
        <v>0</v>
      </c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405"/>
      <c r="AQ139" s="96"/>
    </row>
    <row r="140" spans="1:43" x14ac:dyDescent="0.25">
      <c r="A140" s="1383"/>
      <c r="B140" s="23" t="s">
        <v>16</v>
      </c>
      <c r="C140" s="46"/>
      <c r="D140" s="46"/>
      <c r="E140" s="46"/>
      <c r="F140" s="46"/>
      <c r="G140" s="588">
        <v>2020</v>
      </c>
      <c r="H140" s="588">
        <v>2021</v>
      </c>
      <c r="I140" s="1465"/>
      <c r="J140" s="1624"/>
      <c r="K140" s="47"/>
      <c r="L140" s="47">
        <v>5022.96</v>
      </c>
      <c r="M140" s="47">
        <v>0</v>
      </c>
      <c r="N140" s="47">
        <v>0</v>
      </c>
      <c r="O140" s="47">
        <v>0</v>
      </c>
      <c r="P140" s="47">
        <v>420.48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96">
        <v>0</v>
      </c>
      <c r="Y140" s="96">
        <v>0</v>
      </c>
      <c r="Z140" s="96"/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397"/>
      <c r="AQ140" s="96"/>
    </row>
    <row r="141" spans="1:43" s="327" customFormat="1" ht="30" customHeight="1" x14ac:dyDescent="0.25">
      <c r="A141" s="1372" t="s">
        <v>61</v>
      </c>
      <c r="B141" s="609" t="s">
        <v>407</v>
      </c>
      <c r="C141" s="790"/>
      <c r="D141" s="790"/>
      <c r="E141" s="790"/>
      <c r="F141" s="790"/>
      <c r="G141" s="790"/>
      <c r="H141" s="790"/>
      <c r="I141" s="1463" t="s">
        <v>20</v>
      </c>
      <c r="J141" s="1622">
        <v>4106.3500000000004</v>
      </c>
      <c r="K141" s="3">
        <v>0</v>
      </c>
      <c r="L141" s="3">
        <f>L142+L145</f>
        <v>6022.96</v>
      </c>
      <c r="M141" s="3">
        <f>M142+M145</f>
        <v>0</v>
      </c>
      <c r="N141" s="3">
        <f>N142+N145</f>
        <v>980</v>
      </c>
      <c r="O141" s="3">
        <f>O142+O145</f>
        <v>0</v>
      </c>
      <c r="P141" s="3">
        <f>P142+P145</f>
        <v>1281.25</v>
      </c>
      <c r="Q141" s="3">
        <f t="shared" ref="Q141:Y141" si="107">Q142+Q145</f>
        <v>0</v>
      </c>
      <c r="R141" s="3">
        <f t="shared" si="107"/>
        <v>0</v>
      </c>
      <c r="S141" s="3">
        <f t="shared" si="107"/>
        <v>0</v>
      </c>
      <c r="T141" s="3">
        <f t="shared" si="107"/>
        <v>980</v>
      </c>
      <c r="U141" s="3">
        <f t="shared" si="107"/>
        <v>980</v>
      </c>
      <c r="V141" s="3">
        <f t="shared" si="107"/>
        <v>0</v>
      </c>
      <c r="W141" s="3">
        <f t="shared" si="107"/>
        <v>0</v>
      </c>
      <c r="X141" s="3">
        <f t="shared" si="107"/>
        <v>0</v>
      </c>
      <c r="Y141" s="3">
        <f t="shared" si="107"/>
        <v>0</v>
      </c>
      <c r="Z141" s="95">
        <v>0</v>
      </c>
      <c r="AA141" s="3">
        <f t="shared" ref="AA141" si="108">AA142+AA145</f>
        <v>0</v>
      </c>
      <c r="AB141" s="3">
        <f>AB142+AB145</f>
        <v>0</v>
      </c>
      <c r="AC141" s="3">
        <f>AC142+AC145</f>
        <v>0</v>
      </c>
      <c r="AD141" s="3">
        <f>AD142+AD145</f>
        <v>0</v>
      </c>
      <c r="AE141" s="3">
        <f>AE142+AE145</f>
        <v>0</v>
      </c>
      <c r="AF141" s="3">
        <f t="shared" ref="AF141:AJ141" si="109">AF142+AF145</f>
        <v>0</v>
      </c>
      <c r="AG141" s="3">
        <f t="shared" si="109"/>
        <v>0</v>
      </c>
      <c r="AH141" s="3">
        <f t="shared" si="109"/>
        <v>0</v>
      </c>
      <c r="AI141" s="3">
        <f t="shared" si="109"/>
        <v>0</v>
      </c>
      <c r="AJ141" s="3">
        <f t="shared" si="109"/>
        <v>0</v>
      </c>
      <c r="AK141" s="3">
        <f>P141-Q141</f>
        <v>1281.25</v>
      </c>
      <c r="AL141" s="3">
        <f>AK141</f>
        <v>1281.25</v>
      </c>
      <c r="AM141" s="318">
        <f>ROUND((Q141*100%/P141*100),2)</f>
        <v>0</v>
      </c>
      <c r="AN141" s="3">
        <f t="shared" ref="AN141:AO141" si="110">AN142+AN145</f>
        <v>0</v>
      </c>
      <c r="AO141" s="3">
        <f t="shared" si="110"/>
        <v>0</v>
      </c>
      <c r="AP141" s="633" t="s">
        <v>256</v>
      </c>
      <c r="AQ141" s="95">
        <v>0</v>
      </c>
    </row>
    <row r="142" spans="1:43" x14ac:dyDescent="0.25">
      <c r="A142" s="1382"/>
      <c r="B142" s="23" t="s">
        <v>15</v>
      </c>
      <c r="C142" s="46"/>
      <c r="D142" s="46"/>
      <c r="E142" s="46"/>
      <c r="F142" s="46"/>
      <c r="G142" s="720">
        <v>2019</v>
      </c>
      <c r="H142" s="720">
        <v>2019</v>
      </c>
      <c r="I142" s="1464"/>
      <c r="J142" s="1623"/>
      <c r="K142" s="47"/>
      <c r="L142" s="47">
        <v>1000</v>
      </c>
      <c r="M142" s="47">
        <v>0</v>
      </c>
      <c r="N142" s="47">
        <v>980</v>
      </c>
      <c r="O142" s="47">
        <v>0</v>
      </c>
      <c r="P142" s="47">
        <v>377.91</v>
      </c>
      <c r="Q142" s="47">
        <v>0</v>
      </c>
      <c r="R142" s="47">
        <f t="shared" ref="R142:Y142" si="111">R143+R144</f>
        <v>0</v>
      </c>
      <c r="S142" s="47">
        <f t="shared" si="111"/>
        <v>0</v>
      </c>
      <c r="T142" s="47">
        <f t="shared" si="111"/>
        <v>980</v>
      </c>
      <c r="U142" s="47">
        <f t="shared" si="111"/>
        <v>980</v>
      </c>
      <c r="V142" s="47">
        <f t="shared" si="111"/>
        <v>0</v>
      </c>
      <c r="W142" s="47">
        <f t="shared" si="111"/>
        <v>0</v>
      </c>
      <c r="X142" s="47">
        <f t="shared" si="111"/>
        <v>0</v>
      </c>
      <c r="Y142" s="47">
        <f t="shared" si="111"/>
        <v>0</v>
      </c>
      <c r="Z142" s="96"/>
      <c r="AA142" s="47">
        <f t="shared" ref="AA142" si="112">AA143+AA144</f>
        <v>0</v>
      </c>
      <c r="AB142" s="47">
        <f>AB143+AB144</f>
        <v>0</v>
      </c>
      <c r="AC142" s="47">
        <f>AC143+AC144</f>
        <v>0</v>
      </c>
      <c r="AD142" s="47">
        <f>AD143+AD144</f>
        <v>0</v>
      </c>
      <c r="AE142" s="47">
        <f>AE143+AE144</f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266" customFormat="1" hidden="1" x14ac:dyDescent="0.25">
      <c r="A143" s="1382"/>
      <c r="B143" s="443" t="s">
        <v>251</v>
      </c>
      <c r="C143" s="444"/>
      <c r="D143" s="444"/>
      <c r="E143" s="444"/>
      <c r="F143" s="444"/>
      <c r="G143" s="262"/>
      <c r="H143" s="262"/>
      <c r="I143" s="1464"/>
      <c r="J143" s="1623"/>
      <c r="K143" s="96"/>
      <c r="L143" s="96"/>
      <c r="M143" s="96"/>
      <c r="N143" s="96"/>
      <c r="O143" s="96"/>
      <c r="P143" s="96">
        <v>0</v>
      </c>
      <c r="Q143" s="96">
        <f>S143+U143</f>
        <v>980</v>
      </c>
      <c r="R143" s="96">
        <v>0</v>
      </c>
      <c r="S143" s="96">
        <v>0</v>
      </c>
      <c r="T143" s="96">
        <f>U143</f>
        <v>980</v>
      </c>
      <c r="U143" s="96">
        <v>980</v>
      </c>
      <c r="V143" s="96"/>
      <c r="W143" s="96"/>
      <c r="X143" s="96"/>
      <c r="Y143" s="96"/>
      <c r="Z143" s="96"/>
      <c r="AA143" s="96">
        <f>AB143</f>
        <v>0</v>
      </c>
      <c r="AB143" s="96">
        <v>0</v>
      </c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405"/>
      <c r="AQ143" s="96"/>
    </row>
    <row r="144" spans="1:43" s="266" customFormat="1" hidden="1" x14ac:dyDescent="0.25">
      <c r="A144" s="1382"/>
      <c r="B144" s="443" t="s">
        <v>252</v>
      </c>
      <c r="C144" s="444"/>
      <c r="D144" s="444"/>
      <c r="E144" s="444"/>
      <c r="F144" s="444"/>
      <c r="G144" s="262"/>
      <c r="H144" s="262"/>
      <c r="I144" s="1464"/>
      <c r="J144" s="1623"/>
      <c r="K144" s="96"/>
      <c r="L144" s="96"/>
      <c r="M144" s="96"/>
      <c r="N144" s="96"/>
      <c r="O144" s="96"/>
      <c r="P144" s="96"/>
      <c r="Q144" s="96">
        <f>S144</f>
        <v>0</v>
      </c>
      <c r="R144" s="96">
        <f>S144</f>
        <v>0</v>
      </c>
      <c r="S144" s="96">
        <v>0</v>
      </c>
      <c r="T144" s="96"/>
      <c r="U144" s="96"/>
      <c r="V144" s="96"/>
      <c r="W144" s="96"/>
      <c r="X144" s="96"/>
      <c r="Y144" s="96"/>
      <c r="Z144" s="96"/>
      <c r="AA144" s="96">
        <f>AB144</f>
        <v>0</v>
      </c>
      <c r="AB144" s="96">
        <v>0</v>
      </c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405"/>
      <c r="AQ144" s="96"/>
    </row>
    <row r="145" spans="1:43" x14ac:dyDescent="0.25">
      <c r="A145" s="1383"/>
      <c r="B145" s="23" t="s">
        <v>16</v>
      </c>
      <c r="C145" s="46"/>
      <c r="D145" s="46"/>
      <c r="E145" s="46"/>
      <c r="F145" s="46"/>
      <c r="G145" s="720">
        <v>2020</v>
      </c>
      <c r="H145" s="720">
        <v>2021</v>
      </c>
      <c r="I145" s="1465"/>
      <c r="J145" s="1624"/>
      <c r="K145" s="47"/>
      <c r="L145" s="47">
        <v>5022.96</v>
      </c>
      <c r="M145" s="47">
        <v>0</v>
      </c>
      <c r="N145" s="47">
        <v>0</v>
      </c>
      <c r="O145" s="47">
        <v>0</v>
      </c>
      <c r="P145" s="47">
        <v>903.34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96">
        <v>0</v>
      </c>
      <c r="Y145" s="96">
        <v>0</v>
      </c>
      <c r="Z145" s="96"/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0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397"/>
      <c r="AQ145" s="96"/>
    </row>
    <row r="146" spans="1:43" s="327" customFormat="1" ht="30" customHeight="1" x14ac:dyDescent="0.25">
      <c r="A146" s="1372" t="s">
        <v>61</v>
      </c>
      <c r="B146" s="609" t="s">
        <v>408</v>
      </c>
      <c r="C146" s="790"/>
      <c r="D146" s="790"/>
      <c r="E146" s="790"/>
      <c r="F146" s="790"/>
      <c r="G146" s="790"/>
      <c r="H146" s="790"/>
      <c r="I146" s="1463" t="s">
        <v>20</v>
      </c>
      <c r="J146" s="1622">
        <v>4106.3500000000004</v>
      </c>
      <c r="K146" s="3">
        <v>0</v>
      </c>
      <c r="L146" s="3">
        <f>L147+L150</f>
        <v>6022.96</v>
      </c>
      <c r="M146" s="3">
        <f>M147+M150</f>
        <v>0</v>
      </c>
      <c r="N146" s="3">
        <f>N147+N150</f>
        <v>980</v>
      </c>
      <c r="O146" s="3">
        <f>O147+O150</f>
        <v>0</v>
      </c>
      <c r="P146" s="3">
        <f>P147+P150</f>
        <v>1281.2539999999999</v>
      </c>
      <c r="Q146" s="3">
        <f t="shared" ref="Q146:Y146" si="113">Q147+Q150</f>
        <v>0</v>
      </c>
      <c r="R146" s="3">
        <f t="shared" si="113"/>
        <v>0</v>
      </c>
      <c r="S146" s="3">
        <f t="shared" si="113"/>
        <v>0</v>
      </c>
      <c r="T146" s="3">
        <f t="shared" si="113"/>
        <v>980</v>
      </c>
      <c r="U146" s="3">
        <f t="shared" si="113"/>
        <v>980</v>
      </c>
      <c r="V146" s="3">
        <f t="shared" si="113"/>
        <v>0</v>
      </c>
      <c r="W146" s="3">
        <f t="shared" si="113"/>
        <v>0</v>
      </c>
      <c r="X146" s="3">
        <f t="shared" si="113"/>
        <v>0</v>
      </c>
      <c r="Y146" s="3">
        <f t="shared" si="113"/>
        <v>0</v>
      </c>
      <c r="Z146" s="95">
        <v>0</v>
      </c>
      <c r="AA146" s="3">
        <f t="shared" ref="AA146" si="114">AA147+AA150</f>
        <v>0</v>
      </c>
      <c r="AB146" s="3">
        <f>AB147+AB150</f>
        <v>0</v>
      </c>
      <c r="AC146" s="3">
        <f>AC147+AC150</f>
        <v>0</v>
      </c>
      <c r="AD146" s="3">
        <f>AD147+AD150</f>
        <v>0</v>
      </c>
      <c r="AE146" s="3">
        <f>AE147+AE150</f>
        <v>0</v>
      </c>
      <c r="AF146" s="3">
        <f t="shared" ref="AF146:AJ146" si="115">AF147+AF150</f>
        <v>0</v>
      </c>
      <c r="AG146" s="3">
        <f t="shared" si="115"/>
        <v>0</v>
      </c>
      <c r="AH146" s="3">
        <f t="shared" si="115"/>
        <v>0</v>
      </c>
      <c r="AI146" s="3">
        <f t="shared" si="115"/>
        <v>0</v>
      </c>
      <c r="AJ146" s="3">
        <f t="shared" si="115"/>
        <v>0</v>
      </c>
      <c r="AK146" s="3">
        <f>P146-Q146</f>
        <v>1281.2539999999999</v>
      </c>
      <c r="AL146" s="3">
        <f>AK146</f>
        <v>1281.2539999999999</v>
      </c>
      <c r="AM146" s="318">
        <f>ROUND((Q146*100%/P146*100),2)</f>
        <v>0</v>
      </c>
      <c r="AN146" s="3">
        <f t="shared" ref="AN146:AO146" si="116">AN147+AN150</f>
        <v>0</v>
      </c>
      <c r="AO146" s="3">
        <f t="shared" si="116"/>
        <v>0</v>
      </c>
      <c r="AP146" s="633" t="s">
        <v>256</v>
      </c>
      <c r="AQ146" s="95">
        <v>0</v>
      </c>
    </row>
    <row r="147" spans="1:43" x14ac:dyDescent="0.25">
      <c r="A147" s="1382"/>
      <c r="B147" s="23" t="s">
        <v>15</v>
      </c>
      <c r="C147" s="46"/>
      <c r="D147" s="46"/>
      <c r="E147" s="46"/>
      <c r="F147" s="46"/>
      <c r="G147" s="720">
        <v>2019</v>
      </c>
      <c r="H147" s="720">
        <v>2019</v>
      </c>
      <c r="I147" s="1464"/>
      <c r="J147" s="1623"/>
      <c r="K147" s="47"/>
      <c r="L147" s="47">
        <v>1000</v>
      </c>
      <c r="M147" s="47">
        <v>0</v>
      </c>
      <c r="N147" s="47">
        <v>980</v>
      </c>
      <c r="O147" s="47">
        <v>0</v>
      </c>
      <c r="P147" s="47">
        <v>377.91399999999999</v>
      </c>
      <c r="Q147" s="47">
        <v>0</v>
      </c>
      <c r="R147" s="47">
        <f t="shared" ref="R147:Y147" si="117">R148+R149</f>
        <v>0</v>
      </c>
      <c r="S147" s="47">
        <f t="shared" si="117"/>
        <v>0</v>
      </c>
      <c r="T147" s="47">
        <f t="shared" si="117"/>
        <v>980</v>
      </c>
      <c r="U147" s="47">
        <f t="shared" si="117"/>
        <v>980</v>
      </c>
      <c r="V147" s="47">
        <f t="shared" si="117"/>
        <v>0</v>
      </c>
      <c r="W147" s="47">
        <f t="shared" si="117"/>
        <v>0</v>
      </c>
      <c r="X147" s="47">
        <f t="shared" si="117"/>
        <v>0</v>
      </c>
      <c r="Y147" s="47">
        <f t="shared" si="117"/>
        <v>0</v>
      </c>
      <c r="Z147" s="96"/>
      <c r="AA147" s="47">
        <f t="shared" ref="AA147" si="118">AA148+AA149</f>
        <v>0</v>
      </c>
      <c r="AB147" s="47">
        <f>AB148+AB149</f>
        <v>0</v>
      </c>
      <c r="AC147" s="47">
        <f>AC148+AC149</f>
        <v>0</v>
      </c>
      <c r="AD147" s="47">
        <f>AD148+AD149</f>
        <v>0</v>
      </c>
      <c r="AE147" s="47">
        <f>AE148+AE149</f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266" customFormat="1" hidden="1" x14ac:dyDescent="0.25">
      <c r="A148" s="1382"/>
      <c r="B148" s="443" t="s">
        <v>251</v>
      </c>
      <c r="C148" s="444"/>
      <c r="D148" s="444"/>
      <c r="E148" s="444"/>
      <c r="F148" s="444"/>
      <c r="G148" s="262"/>
      <c r="H148" s="262"/>
      <c r="I148" s="1464"/>
      <c r="J148" s="1623"/>
      <c r="K148" s="96"/>
      <c r="L148" s="96"/>
      <c r="M148" s="96"/>
      <c r="N148" s="96"/>
      <c r="O148" s="96"/>
      <c r="P148" s="96">
        <v>0</v>
      </c>
      <c r="Q148" s="96">
        <f>S148+U148</f>
        <v>980</v>
      </c>
      <c r="R148" s="96">
        <v>0</v>
      </c>
      <c r="S148" s="96">
        <v>0</v>
      </c>
      <c r="T148" s="96">
        <f>U148</f>
        <v>980</v>
      </c>
      <c r="U148" s="96">
        <v>980</v>
      </c>
      <c r="V148" s="96"/>
      <c r="W148" s="96"/>
      <c r="X148" s="96"/>
      <c r="Y148" s="96"/>
      <c r="Z148" s="96"/>
      <c r="AA148" s="96">
        <f>AB148</f>
        <v>0</v>
      </c>
      <c r="AB148" s="96">
        <v>0</v>
      </c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405"/>
      <c r="AQ148" s="96"/>
    </row>
    <row r="149" spans="1:43" s="266" customFormat="1" hidden="1" x14ac:dyDescent="0.25">
      <c r="A149" s="1382"/>
      <c r="B149" s="443" t="s">
        <v>252</v>
      </c>
      <c r="C149" s="444"/>
      <c r="D149" s="444"/>
      <c r="E149" s="444"/>
      <c r="F149" s="444"/>
      <c r="G149" s="262"/>
      <c r="H149" s="262"/>
      <c r="I149" s="1464"/>
      <c r="J149" s="1623"/>
      <c r="K149" s="96"/>
      <c r="L149" s="96"/>
      <c r="M149" s="96"/>
      <c r="N149" s="96"/>
      <c r="O149" s="96"/>
      <c r="P149" s="96"/>
      <c r="Q149" s="96">
        <f>S149</f>
        <v>0</v>
      </c>
      <c r="R149" s="96">
        <f>S149</f>
        <v>0</v>
      </c>
      <c r="S149" s="96">
        <v>0</v>
      </c>
      <c r="T149" s="96"/>
      <c r="U149" s="96"/>
      <c r="V149" s="96"/>
      <c r="W149" s="96"/>
      <c r="X149" s="96"/>
      <c r="Y149" s="96"/>
      <c r="Z149" s="96"/>
      <c r="AA149" s="96">
        <f>AB149</f>
        <v>0</v>
      </c>
      <c r="AB149" s="96">
        <v>0</v>
      </c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405"/>
      <c r="AQ149" s="96"/>
    </row>
    <row r="150" spans="1:43" x14ac:dyDescent="0.25">
      <c r="A150" s="1383"/>
      <c r="B150" s="23" t="s">
        <v>16</v>
      </c>
      <c r="C150" s="46"/>
      <c r="D150" s="46"/>
      <c r="E150" s="46"/>
      <c r="F150" s="46"/>
      <c r="G150" s="720">
        <v>2020</v>
      </c>
      <c r="H150" s="720">
        <v>2021</v>
      </c>
      <c r="I150" s="1465"/>
      <c r="J150" s="1624"/>
      <c r="K150" s="47"/>
      <c r="L150" s="47">
        <v>5022.96</v>
      </c>
      <c r="M150" s="47">
        <v>0</v>
      </c>
      <c r="N150" s="47">
        <v>0</v>
      </c>
      <c r="O150" s="47">
        <v>0</v>
      </c>
      <c r="P150" s="47">
        <v>903.34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96">
        <v>0</v>
      </c>
      <c r="Y150" s="96">
        <v>0</v>
      </c>
      <c r="Z150" s="96"/>
      <c r="AA150" s="47">
        <v>0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0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  <c r="AM150" s="47">
        <v>0</v>
      </c>
      <c r="AN150" s="47">
        <v>0</v>
      </c>
      <c r="AO150" s="47">
        <v>0</v>
      </c>
      <c r="AP150" s="397"/>
      <c r="AQ150" s="96"/>
    </row>
    <row r="151" spans="1:43" ht="15.75" x14ac:dyDescent="0.25">
      <c r="A151" s="733"/>
      <c r="B151" s="791"/>
      <c r="C151" s="792"/>
      <c r="D151" s="792"/>
      <c r="E151" s="792"/>
      <c r="F151" s="792"/>
      <c r="G151" s="313"/>
      <c r="H151" s="313"/>
      <c r="I151" s="793"/>
      <c r="J151" s="794"/>
      <c r="K151" s="795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7"/>
      <c r="Y151" s="797"/>
      <c r="Z151" s="797"/>
      <c r="AA151" s="796"/>
      <c r="AB151" s="796"/>
      <c r="AC151" s="796"/>
      <c r="AD151" s="796"/>
      <c r="AE151" s="796"/>
      <c r="AF151" s="796"/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8"/>
      <c r="AQ151" s="797"/>
    </row>
    <row r="152" spans="1:43" s="925" customFormat="1" ht="15.75" x14ac:dyDescent="0.25">
      <c r="A152" s="929" t="s">
        <v>13</v>
      </c>
      <c r="B152" s="926"/>
      <c r="C152" s="927"/>
      <c r="D152" s="927"/>
      <c r="E152" s="927"/>
      <c r="F152" s="927"/>
      <c r="G152" s="927"/>
      <c r="H152" s="927"/>
      <c r="I152" s="927"/>
      <c r="J152" s="927"/>
      <c r="K152" s="927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30"/>
      <c r="AQ152" s="928"/>
    </row>
    <row r="153" spans="1:43" s="934" customFormat="1" ht="12.75" x14ac:dyDescent="0.2">
      <c r="A153" s="1604" t="s">
        <v>447</v>
      </c>
      <c r="B153" s="1605"/>
      <c r="C153" s="1605"/>
      <c r="D153" s="1605"/>
      <c r="E153" s="1605"/>
      <c r="F153" s="1605"/>
      <c r="G153" s="1605"/>
      <c r="H153" s="1606"/>
      <c r="I153" s="931" t="s">
        <v>21</v>
      </c>
      <c r="J153" s="932">
        <f t="shared" ref="J153:AO153" si="119">J154+J155+J156+J157</f>
        <v>165965.11999999997</v>
      </c>
      <c r="K153" s="932">
        <f t="shared" si="119"/>
        <v>25354.1</v>
      </c>
      <c r="L153" s="932">
        <f t="shared" si="119"/>
        <v>1042119.19</v>
      </c>
      <c r="M153" s="932">
        <f t="shared" si="119"/>
        <v>571026.48</v>
      </c>
      <c r="N153" s="932">
        <f t="shared" si="119"/>
        <v>616839.18000000005</v>
      </c>
      <c r="O153" s="932">
        <f t="shared" si="119"/>
        <v>381271.67000000004</v>
      </c>
      <c r="P153" s="932">
        <f>P162+P165+P169+P178+P182+P185+P206+P211+P217+P223+P225+P236+P247+P250+P255+P258+P265+P267+P271+P276+P283+P286+P193+P196+P199+P227+P233+P240+P296+P306+P309</f>
        <v>292742.20000000007</v>
      </c>
      <c r="Q153" s="932">
        <f t="shared" ref="Q153:AA153" si="120">Q162+Q165+Q169+Q178+Q182+Q185+Q206+Q211+Q217+Q223+Q225+Q236+Q247+Q250+Q255+Q258+Q265+Q267+Q271+Q276+Q283+Q286+Q193+Q196+Q199+Q227+Q233+Q240+Q296+Q306+Q309</f>
        <v>23096.219999999998</v>
      </c>
      <c r="R153" s="932">
        <f t="shared" si="120"/>
        <v>23233.600000000002</v>
      </c>
      <c r="S153" s="932">
        <f t="shared" si="120"/>
        <v>26233.599999999999</v>
      </c>
      <c r="T153" s="932">
        <f t="shared" si="120"/>
        <v>25740.546000000002</v>
      </c>
      <c r="U153" s="932">
        <f t="shared" si="120"/>
        <v>27949.284000000003</v>
      </c>
      <c r="V153" s="932">
        <f t="shared" si="120"/>
        <v>54714.664999999994</v>
      </c>
      <c r="W153" s="932">
        <f t="shared" si="120"/>
        <v>55653.578999999998</v>
      </c>
      <c r="X153" s="932">
        <f t="shared" si="120"/>
        <v>21705.95</v>
      </c>
      <c r="Y153" s="932">
        <f t="shared" si="120"/>
        <v>21705.95</v>
      </c>
      <c r="Z153" s="932">
        <f t="shared" si="120"/>
        <v>21705.95</v>
      </c>
      <c r="AA153" s="932">
        <f t="shared" si="120"/>
        <v>23750.82</v>
      </c>
      <c r="AB153" s="932">
        <f t="shared" si="119"/>
        <v>20471.075000000001</v>
      </c>
      <c r="AC153" s="932">
        <f t="shared" si="119"/>
        <v>35341.406000000003</v>
      </c>
      <c r="AD153" s="932">
        <f t="shared" si="119"/>
        <v>69790.480890000006</v>
      </c>
      <c r="AE153" s="932">
        <f t="shared" si="119"/>
        <v>0</v>
      </c>
      <c r="AF153" s="932">
        <f t="shared" si="119"/>
        <v>0</v>
      </c>
      <c r="AG153" s="932">
        <f t="shared" si="119"/>
        <v>0</v>
      </c>
      <c r="AH153" s="932">
        <f t="shared" si="119"/>
        <v>0</v>
      </c>
      <c r="AI153" s="932">
        <f t="shared" si="119"/>
        <v>0</v>
      </c>
      <c r="AJ153" s="932">
        <f t="shared" si="119"/>
        <v>0</v>
      </c>
      <c r="AK153" s="932">
        <f t="shared" si="119"/>
        <v>147648.24</v>
      </c>
      <c r="AL153" s="932">
        <f t="shared" si="119"/>
        <v>147648.24</v>
      </c>
      <c r="AM153" s="932" t="e">
        <f t="shared" si="119"/>
        <v>#DIV/0!</v>
      </c>
      <c r="AN153" s="932">
        <f t="shared" si="119"/>
        <v>0</v>
      </c>
      <c r="AO153" s="932">
        <f t="shared" si="119"/>
        <v>0</v>
      </c>
      <c r="AP153" s="933"/>
      <c r="AQ153" s="932">
        <f>AQ162+AQ165+AQ169+AQ178+AQ182+AQ185+AQ206+AQ211+AQ217+AQ223+AQ225+AQ236+AQ247+AQ250+AQ255+AQ258+AQ265+AQ267+AQ271+AQ276+AQ283+AQ286</f>
        <v>4894.7240000000002</v>
      </c>
    </row>
    <row r="154" spans="1:43" s="615" customFormat="1" ht="58.5" hidden="1" customHeight="1" x14ac:dyDescent="0.2">
      <c r="A154" s="1607"/>
      <c r="B154" s="1608"/>
      <c r="C154" s="1608"/>
      <c r="D154" s="1608"/>
      <c r="E154" s="1608"/>
      <c r="F154" s="1608"/>
      <c r="G154" s="1608"/>
      <c r="H154" s="1609"/>
      <c r="I154" s="23" t="s">
        <v>19</v>
      </c>
      <c r="J154" s="71">
        <f t="shared" ref="J154:AO154" si="121">J158+J202+J229</f>
        <v>152888.53999999998</v>
      </c>
      <c r="K154" s="71">
        <f t="shared" si="121"/>
        <v>25354.1</v>
      </c>
      <c r="L154" s="47">
        <f t="shared" si="121"/>
        <v>193023.18</v>
      </c>
      <c r="M154" s="47">
        <f t="shared" si="121"/>
        <v>42443.12</v>
      </c>
      <c r="N154" s="47">
        <f t="shared" si="121"/>
        <v>35331.160000000003</v>
      </c>
      <c r="O154" s="47">
        <f t="shared" si="121"/>
        <v>29531.94</v>
      </c>
      <c r="P154" s="47">
        <f t="shared" si="121"/>
        <v>100162.01</v>
      </c>
      <c r="Q154" s="47">
        <f t="shared" si="121"/>
        <v>0</v>
      </c>
      <c r="R154" s="47">
        <f t="shared" si="121"/>
        <v>743.47199999999998</v>
      </c>
      <c r="S154" s="47">
        <f t="shared" si="121"/>
        <v>3743.4719999999998</v>
      </c>
      <c r="T154" s="47">
        <f t="shared" si="121"/>
        <v>31.5</v>
      </c>
      <c r="U154" s="47">
        <f t="shared" si="121"/>
        <v>2236.8380000000002</v>
      </c>
      <c r="V154" s="47">
        <f t="shared" si="121"/>
        <v>0</v>
      </c>
      <c r="W154" s="47">
        <f t="shared" si="121"/>
        <v>0</v>
      </c>
      <c r="X154" s="47">
        <f t="shared" si="121"/>
        <v>0</v>
      </c>
      <c r="Y154" s="47">
        <f t="shared" si="121"/>
        <v>0</v>
      </c>
      <c r="Z154" s="96"/>
      <c r="AA154" s="47">
        <f t="shared" si="121"/>
        <v>0</v>
      </c>
      <c r="AB154" s="47">
        <f t="shared" si="121"/>
        <v>2948.8069999999998</v>
      </c>
      <c r="AC154" s="47">
        <f t="shared" si="121"/>
        <v>0</v>
      </c>
      <c r="AD154" s="47">
        <f t="shared" si="121"/>
        <v>31.5</v>
      </c>
      <c r="AE154" s="47">
        <f t="shared" si="121"/>
        <v>0</v>
      </c>
      <c r="AF154" s="47">
        <f t="shared" si="121"/>
        <v>0</v>
      </c>
      <c r="AG154" s="47">
        <f t="shared" si="121"/>
        <v>0</v>
      </c>
      <c r="AH154" s="47">
        <f t="shared" si="121"/>
        <v>0</v>
      </c>
      <c r="AI154" s="47">
        <f t="shared" si="121"/>
        <v>0</v>
      </c>
      <c r="AJ154" s="47">
        <f t="shared" si="121"/>
        <v>0</v>
      </c>
      <c r="AK154" s="47">
        <f t="shared" si="121"/>
        <v>28946.75</v>
      </c>
      <c r="AL154" s="47">
        <f t="shared" si="121"/>
        <v>28946.75</v>
      </c>
      <c r="AM154" s="47" t="e">
        <f t="shared" si="121"/>
        <v>#DIV/0!</v>
      </c>
      <c r="AN154" s="47">
        <f t="shared" si="121"/>
        <v>0</v>
      </c>
      <c r="AO154" s="47">
        <f t="shared" si="121"/>
        <v>0</v>
      </c>
      <c r="AP154" s="397"/>
      <c r="AQ154" s="96"/>
    </row>
    <row r="155" spans="1:43" s="615" customFormat="1" ht="45.75" hidden="1" customHeight="1" x14ac:dyDescent="0.2">
      <c r="A155" s="1607"/>
      <c r="B155" s="1608"/>
      <c r="C155" s="1608"/>
      <c r="D155" s="1608"/>
      <c r="E155" s="1608"/>
      <c r="F155" s="1608"/>
      <c r="G155" s="1608"/>
      <c r="H155" s="1609"/>
      <c r="I155" s="23" t="s">
        <v>20</v>
      </c>
      <c r="J155" s="71">
        <f t="shared" ref="J155:K157" si="122">J159+J203+J230</f>
        <v>13076.579999999998</v>
      </c>
      <c r="K155" s="71">
        <f t="shared" si="122"/>
        <v>0</v>
      </c>
      <c r="L155" s="47">
        <f t="shared" ref="L155:Y155" si="123">L159+L203+L230+L244</f>
        <v>353562.91999999993</v>
      </c>
      <c r="M155" s="47">
        <f t="shared" si="123"/>
        <v>36205.620000000003</v>
      </c>
      <c r="N155" s="47">
        <f t="shared" si="123"/>
        <v>88280.380000000019</v>
      </c>
      <c r="O155" s="47">
        <f t="shared" si="123"/>
        <v>53996.09</v>
      </c>
      <c r="P155" s="47">
        <f t="shared" si="123"/>
        <v>132010.46000000002</v>
      </c>
      <c r="Q155" s="47">
        <f t="shared" si="123"/>
        <v>1290.4000000000001</v>
      </c>
      <c r="R155" s="47">
        <f t="shared" si="123"/>
        <v>784.17799999999988</v>
      </c>
      <c r="S155" s="47">
        <f t="shared" si="123"/>
        <v>784.17799999999988</v>
      </c>
      <c r="T155" s="47">
        <f t="shared" si="123"/>
        <v>4003.096</v>
      </c>
      <c r="U155" s="47">
        <f t="shared" si="123"/>
        <v>4006.4960000000001</v>
      </c>
      <c r="V155" s="47">
        <f t="shared" si="123"/>
        <v>4331.41</v>
      </c>
      <c r="W155" s="47">
        <f t="shared" si="123"/>
        <v>5270.3239999999996</v>
      </c>
      <c r="X155" s="47">
        <f t="shared" si="123"/>
        <v>0</v>
      </c>
      <c r="Y155" s="47">
        <f t="shared" si="123"/>
        <v>0</v>
      </c>
      <c r="Z155" s="96"/>
      <c r="AA155" s="47">
        <f>AA159+AA203+AA230+AA244</f>
        <v>1945</v>
      </c>
      <c r="AB155" s="47">
        <f>AB159+AB203+AB230+AB244</f>
        <v>0</v>
      </c>
      <c r="AC155" s="47">
        <f>AC159+AC203+AC230+AC244</f>
        <v>3241.61</v>
      </c>
      <c r="AD155" s="47">
        <f>AD159+AD203+AD230+AD244</f>
        <v>69758.980890000006</v>
      </c>
      <c r="AE155" s="47">
        <f>AE159+AE203+AE230+AE244</f>
        <v>0</v>
      </c>
      <c r="AF155" s="47">
        <f t="shared" ref="AF155:AO155" si="124">AF159+AF203+AF230</f>
        <v>0</v>
      </c>
      <c r="AG155" s="47">
        <f t="shared" si="124"/>
        <v>0</v>
      </c>
      <c r="AH155" s="47">
        <f t="shared" si="124"/>
        <v>0</v>
      </c>
      <c r="AI155" s="47">
        <f t="shared" si="124"/>
        <v>0</v>
      </c>
      <c r="AJ155" s="47">
        <f t="shared" si="124"/>
        <v>0</v>
      </c>
      <c r="AK155" s="47">
        <f t="shared" si="124"/>
        <v>118701.49</v>
      </c>
      <c r="AL155" s="47">
        <f t="shared" si="124"/>
        <v>118701.49</v>
      </c>
      <c r="AM155" s="47" t="e">
        <f t="shared" si="124"/>
        <v>#DIV/0!</v>
      </c>
      <c r="AN155" s="47">
        <f t="shared" si="124"/>
        <v>0</v>
      </c>
      <c r="AO155" s="47">
        <f t="shared" si="124"/>
        <v>0</v>
      </c>
      <c r="AP155" s="397"/>
      <c r="AQ155" s="96"/>
    </row>
    <row r="156" spans="1:43" s="615" customFormat="1" ht="2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10</v>
      </c>
      <c r="J156" s="71">
        <f t="shared" si="122"/>
        <v>0</v>
      </c>
      <c r="K156" s="71">
        <f t="shared" si="122"/>
        <v>0</v>
      </c>
      <c r="L156" s="47">
        <f t="shared" ref="L156:Y156" si="125">L160+L204+L231+L245</f>
        <v>495533.09</v>
      </c>
      <c r="M156" s="47">
        <f t="shared" si="125"/>
        <v>492377.74</v>
      </c>
      <c r="N156" s="47">
        <f t="shared" si="125"/>
        <v>493227.64</v>
      </c>
      <c r="O156" s="47">
        <f t="shared" si="125"/>
        <v>297742.64</v>
      </c>
      <c r="P156" s="47">
        <f t="shared" si="125"/>
        <v>0</v>
      </c>
      <c r="Q156" s="47">
        <f t="shared" si="125"/>
        <v>21805.82</v>
      </c>
      <c r="R156" s="47">
        <f t="shared" si="125"/>
        <v>21705.95</v>
      </c>
      <c r="S156" s="47">
        <f t="shared" si="125"/>
        <v>21705.95</v>
      </c>
      <c r="T156" s="47">
        <f t="shared" si="125"/>
        <v>21705.95</v>
      </c>
      <c r="U156" s="47">
        <f t="shared" si="125"/>
        <v>21705.95</v>
      </c>
      <c r="V156" s="47">
        <f t="shared" si="125"/>
        <v>50383.255000000005</v>
      </c>
      <c r="W156" s="47">
        <f t="shared" si="125"/>
        <v>50383.255000000005</v>
      </c>
      <c r="X156" s="47">
        <f t="shared" si="125"/>
        <v>21705.95</v>
      </c>
      <c r="Y156" s="47">
        <f t="shared" si="125"/>
        <v>21705.95</v>
      </c>
      <c r="Z156" s="96"/>
      <c r="AA156" s="47">
        <f>AA160+AA204+AA231+AA245</f>
        <v>21805.82</v>
      </c>
      <c r="AB156" s="47">
        <f>AB160+AB204+AB231+AB245</f>
        <v>17522.268</v>
      </c>
      <c r="AC156" s="47">
        <f>AC160+AC204+AC231+AC245</f>
        <v>32099.796000000002</v>
      </c>
      <c r="AD156" s="47">
        <f>AD160+AD204+AD231</f>
        <v>0</v>
      </c>
      <c r="AE156" s="47">
        <f>AE160+AE204+AE231</f>
        <v>0</v>
      </c>
      <c r="AF156" s="47">
        <f t="shared" ref="AF156:AO156" si="126">AF160+AF204+AF231</f>
        <v>0</v>
      </c>
      <c r="AG156" s="47">
        <f t="shared" si="126"/>
        <v>0</v>
      </c>
      <c r="AH156" s="47">
        <f t="shared" si="126"/>
        <v>0</v>
      </c>
      <c r="AI156" s="47">
        <f t="shared" si="126"/>
        <v>0</v>
      </c>
      <c r="AJ156" s="47">
        <f t="shared" si="126"/>
        <v>0</v>
      </c>
      <c r="AK156" s="47">
        <f t="shared" si="126"/>
        <v>0</v>
      </c>
      <c r="AL156" s="47">
        <f t="shared" si="126"/>
        <v>0</v>
      </c>
      <c r="AM156" s="47">
        <f t="shared" si="126"/>
        <v>0</v>
      </c>
      <c r="AN156" s="47">
        <f t="shared" si="126"/>
        <v>0</v>
      </c>
      <c r="AO156" s="47">
        <f t="shared" si="126"/>
        <v>0</v>
      </c>
      <c r="AP156" s="397"/>
      <c r="AQ156" s="96"/>
    </row>
    <row r="157" spans="1:43" s="615" customFormat="1" ht="25.5" hidden="1" customHeight="1" x14ac:dyDescent="0.2">
      <c r="A157" s="1610"/>
      <c r="B157" s="1611"/>
      <c r="C157" s="1611"/>
      <c r="D157" s="1611"/>
      <c r="E157" s="1611"/>
      <c r="F157" s="1611"/>
      <c r="G157" s="1611"/>
      <c r="H157" s="1612"/>
      <c r="I157" s="23" t="s">
        <v>9</v>
      </c>
      <c r="J157" s="71">
        <f t="shared" si="122"/>
        <v>0</v>
      </c>
      <c r="K157" s="71">
        <f t="shared" si="122"/>
        <v>0</v>
      </c>
      <c r="L157" s="47">
        <v>0</v>
      </c>
      <c r="M157" s="47">
        <f>M161+M205+M232</f>
        <v>0</v>
      </c>
      <c r="N157" s="47">
        <f>N161+N205+N232</f>
        <v>0</v>
      </c>
      <c r="O157" s="47">
        <f>O161+O205+O232</f>
        <v>1</v>
      </c>
      <c r="P157" s="47">
        <f>P161+P205+P232</f>
        <v>0</v>
      </c>
      <c r="Q157" s="47">
        <f t="shared" ref="Q157:AO157" si="127">Q161+Q205+Q232</f>
        <v>0</v>
      </c>
      <c r="R157" s="47">
        <f t="shared" si="127"/>
        <v>0</v>
      </c>
      <c r="S157" s="47">
        <f t="shared" si="127"/>
        <v>0</v>
      </c>
      <c r="T157" s="47">
        <f t="shared" si="127"/>
        <v>0</v>
      </c>
      <c r="U157" s="47">
        <f t="shared" si="127"/>
        <v>0</v>
      </c>
      <c r="V157" s="47">
        <f t="shared" si="127"/>
        <v>0</v>
      </c>
      <c r="W157" s="47">
        <f t="shared" si="127"/>
        <v>0</v>
      </c>
      <c r="X157" s="47">
        <f t="shared" si="127"/>
        <v>0</v>
      </c>
      <c r="Y157" s="47">
        <f t="shared" si="127"/>
        <v>0</v>
      </c>
      <c r="Z157" s="96"/>
      <c r="AA157" s="47">
        <f t="shared" si="127"/>
        <v>0</v>
      </c>
      <c r="AB157" s="47">
        <f t="shared" si="127"/>
        <v>0</v>
      </c>
      <c r="AC157" s="47">
        <f t="shared" si="127"/>
        <v>0</v>
      </c>
      <c r="AD157" s="47">
        <f t="shared" si="127"/>
        <v>0</v>
      </c>
      <c r="AE157" s="47">
        <f t="shared" si="127"/>
        <v>0</v>
      </c>
      <c r="AF157" s="47">
        <f t="shared" si="127"/>
        <v>0</v>
      </c>
      <c r="AG157" s="47">
        <f>AG161+AG205+AG232</f>
        <v>0</v>
      </c>
      <c r="AH157" s="47">
        <f>AH161+AH205+AH232</f>
        <v>0</v>
      </c>
      <c r="AI157" s="47">
        <f>AI161+AI205+AI232</f>
        <v>0</v>
      </c>
      <c r="AJ157" s="47">
        <f>AJ161+AJ205+AJ232</f>
        <v>0</v>
      </c>
      <c r="AK157" s="47">
        <f t="shared" si="127"/>
        <v>0</v>
      </c>
      <c r="AL157" s="47">
        <f t="shared" si="127"/>
        <v>0</v>
      </c>
      <c r="AM157" s="47">
        <f t="shared" si="127"/>
        <v>0</v>
      </c>
      <c r="AN157" s="47">
        <f t="shared" si="127"/>
        <v>0</v>
      </c>
      <c r="AO157" s="47">
        <f t="shared" si="127"/>
        <v>0</v>
      </c>
      <c r="AP157" s="397"/>
      <c r="AQ157" s="96"/>
    </row>
    <row r="158" spans="1:43" ht="51.75" hidden="1" customHeight="1" x14ac:dyDescent="0.25">
      <c r="A158" s="1332" t="s">
        <v>27</v>
      </c>
      <c r="B158" s="1613" t="s">
        <v>214</v>
      </c>
      <c r="C158" s="1614"/>
      <c r="D158" s="1614"/>
      <c r="E158" s="1614"/>
      <c r="F158" s="1614"/>
      <c r="G158" s="1614"/>
      <c r="H158" s="1615"/>
      <c r="I158" s="23" t="s">
        <v>19</v>
      </c>
      <c r="J158" s="47">
        <f>J162+J165+J169</f>
        <v>152888.53999999998</v>
      </c>
      <c r="K158" s="47">
        <f>K162+K165+K169</f>
        <v>25354.1</v>
      </c>
      <c r="L158" s="47">
        <f>L162+L165+L169+L178+L182+L186</f>
        <v>193023.18</v>
      </c>
      <c r="M158" s="47">
        <f>M162+M165+M169+M178+M182+M186</f>
        <v>42443.12</v>
      </c>
      <c r="N158" s="47">
        <f>N162+N165+N169+N178+N182+N186</f>
        <v>35331.160000000003</v>
      </c>
      <c r="O158" s="47">
        <f>O162+O165+O169+O178+O182+O185</f>
        <v>29530.94</v>
      </c>
      <c r="P158" s="47">
        <f>P162+P165+P169+P178+P182+P186</f>
        <v>100162.01</v>
      </c>
      <c r="Q158" s="47">
        <f>Q162+Q165+Q169+Q178+Q182+Q185</f>
        <v>0</v>
      </c>
      <c r="R158" s="47">
        <f t="shared" ref="R158:AA158" si="128">R162+R165+R169+R178+R182+R185</f>
        <v>743.47199999999998</v>
      </c>
      <c r="S158" s="47">
        <f t="shared" si="128"/>
        <v>3743.4719999999998</v>
      </c>
      <c r="T158" s="47">
        <f t="shared" si="128"/>
        <v>31.5</v>
      </c>
      <c r="U158" s="47">
        <f t="shared" si="128"/>
        <v>2236.8380000000002</v>
      </c>
      <c r="V158" s="47">
        <f t="shared" si="128"/>
        <v>0</v>
      </c>
      <c r="W158" s="47">
        <f t="shared" si="128"/>
        <v>0</v>
      </c>
      <c r="X158" s="47">
        <f t="shared" si="128"/>
        <v>0</v>
      </c>
      <c r="Y158" s="47">
        <f t="shared" si="128"/>
        <v>0</v>
      </c>
      <c r="Z158" s="96"/>
      <c r="AA158" s="47">
        <f t="shared" si="128"/>
        <v>0</v>
      </c>
      <c r="AB158" s="47">
        <f>AB162+AB165+AB169+AB178+AB182+AB185</f>
        <v>2948.8069999999998</v>
      </c>
      <c r="AC158" s="47">
        <f>AC162+AC165+AC169+AC178+AC182+AC185</f>
        <v>0</v>
      </c>
      <c r="AD158" s="47">
        <f>AD162+AD165+AD169+AD178+AD182+AD185</f>
        <v>31.5</v>
      </c>
      <c r="AE158" s="47">
        <f>AE162+AE165+AE169+AE178+AE182+AE185</f>
        <v>0</v>
      </c>
      <c r="AF158" s="47">
        <f t="shared" ref="AF158:AO158" si="129">AF162+AF165+AF169</f>
        <v>0</v>
      </c>
      <c r="AG158" s="47">
        <f t="shared" si="129"/>
        <v>0</v>
      </c>
      <c r="AH158" s="47">
        <f t="shared" si="129"/>
        <v>0</v>
      </c>
      <c r="AI158" s="47">
        <f t="shared" si="129"/>
        <v>0</v>
      </c>
      <c r="AJ158" s="47">
        <f t="shared" si="129"/>
        <v>0</v>
      </c>
      <c r="AK158" s="47">
        <f t="shared" si="129"/>
        <v>28946.75</v>
      </c>
      <c r="AL158" s="47">
        <f t="shared" si="129"/>
        <v>28946.75</v>
      </c>
      <c r="AM158" s="47" t="e">
        <f t="shared" si="129"/>
        <v>#DIV/0!</v>
      </c>
      <c r="AN158" s="47">
        <f t="shared" si="129"/>
        <v>0</v>
      </c>
      <c r="AO158" s="47">
        <f t="shared" si="129"/>
        <v>0</v>
      </c>
      <c r="AP158" s="397"/>
      <c r="AQ158" s="96"/>
    </row>
    <row r="159" spans="1:43" ht="47.25" hidden="1" customHeight="1" x14ac:dyDescent="0.25">
      <c r="A159" s="1333"/>
      <c r="B159" s="1616"/>
      <c r="C159" s="1617"/>
      <c r="D159" s="1617"/>
      <c r="E159" s="1617"/>
      <c r="F159" s="1617"/>
      <c r="G159" s="1617"/>
      <c r="H159" s="1618"/>
      <c r="I159" s="23" t="s">
        <v>20</v>
      </c>
      <c r="J159" s="47">
        <v>0</v>
      </c>
      <c r="K159" s="47">
        <v>0</v>
      </c>
      <c r="L159" s="47">
        <f>M159+N159+O159</f>
        <v>0</v>
      </c>
      <c r="M159" s="47">
        <v>0</v>
      </c>
      <c r="N159" s="47">
        <v>0</v>
      </c>
      <c r="O159" s="47">
        <v>0</v>
      </c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96"/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7">
        <v>0</v>
      </c>
      <c r="AK159" s="47">
        <v>0</v>
      </c>
      <c r="AL159" s="47">
        <v>0</v>
      </c>
      <c r="AM159" s="47">
        <v>0</v>
      </c>
      <c r="AN159" s="47">
        <v>0</v>
      </c>
      <c r="AO159" s="47">
        <v>0</v>
      </c>
      <c r="AP159" s="397"/>
      <c r="AQ159" s="96"/>
    </row>
    <row r="160" spans="1:43" ht="28.5" hidden="1" customHeight="1" x14ac:dyDescent="0.25">
      <c r="A160" s="1333"/>
      <c r="B160" s="1616"/>
      <c r="C160" s="1617"/>
      <c r="D160" s="1617"/>
      <c r="E160" s="1617"/>
      <c r="F160" s="1617"/>
      <c r="G160" s="1617"/>
      <c r="H160" s="1618"/>
      <c r="I160" s="23" t="s">
        <v>10</v>
      </c>
      <c r="J160" s="47">
        <v>0</v>
      </c>
      <c r="K160" s="47">
        <v>0</v>
      </c>
      <c r="L160" s="47">
        <f>L192</f>
        <v>195485</v>
      </c>
      <c r="M160" s="47">
        <f>M192</f>
        <v>195485</v>
      </c>
      <c r="N160" s="47">
        <f>N192</f>
        <v>195485</v>
      </c>
      <c r="O160" s="47">
        <v>0</v>
      </c>
      <c r="P160" s="47">
        <f>P192</f>
        <v>0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0</v>
      </c>
      <c r="Y160" s="47">
        <v>0</v>
      </c>
      <c r="Z160" s="96"/>
      <c r="AA160" s="47">
        <v>0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0</v>
      </c>
      <c r="AJ160" s="47">
        <v>0</v>
      </c>
      <c r="AK160" s="47">
        <v>0</v>
      </c>
      <c r="AL160" s="47">
        <v>0</v>
      </c>
      <c r="AM160" s="47">
        <v>0</v>
      </c>
      <c r="AN160" s="47">
        <v>0</v>
      </c>
      <c r="AO160" s="47">
        <v>0</v>
      </c>
      <c r="AP160" s="397"/>
      <c r="AQ160" s="96"/>
    </row>
    <row r="161" spans="1:43" ht="25.5" hidden="1" customHeight="1" x14ac:dyDescent="0.25">
      <c r="A161" s="1334"/>
      <c r="B161" s="1619"/>
      <c r="C161" s="1620"/>
      <c r="D161" s="1620"/>
      <c r="E161" s="1620"/>
      <c r="F161" s="1620"/>
      <c r="G161" s="1620"/>
      <c r="H161" s="1621"/>
      <c r="I161" s="23" t="s">
        <v>9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s="327" customFormat="1" ht="27.75" customHeight="1" x14ac:dyDescent="0.25">
      <c r="A162" s="1473" t="s">
        <v>34</v>
      </c>
      <c r="B162" s="780" t="s">
        <v>441</v>
      </c>
      <c r="C162" s="1332"/>
      <c r="D162" s="1332"/>
      <c r="E162" s="1332"/>
      <c r="F162" s="1644">
        <v>220000</v>
      </c>
      <c r="G162" s="1473">
        <v>2018</v>
      </c>
      <c r="H162" s="1473">
        <v>2021</v>
      </c>
      <c r="I162" s="1463" t="s">
        <v>19</v>
      </c>
      <c r="J162" s="1627">
        <v>66036</v>
      </c>
      <c r="K162" s="1627">
        <v>16509</v>
      </c>
      <c r="L162" s="804">
        <f t="shared" ref="L162:O162" si="130">L163</f>
        <v>67541.3</v>
      </c>
      <c r="M162" s="804">
        <f t="shared" si="130"/>
        <v>16509</v>
      </c>
      <c r="N162" s="804">
        <f t="shared" si="130"/>
        <v>800</v>
      </c>
      <c r="O162" s="804">
        <f t="shared" si="130"/>
        <v>6409</v>
      </c>
      <c r="P162" s="804">
        <v>27314.3</v>
      </c>
      <c r="Q162" s="804">
        <v>0</v>
      </c>
      <c r="R162" s="804">
        <f t="shared" ref="R162:AO163" si="131">R163</f>
        <v>36</v>
      </c>
      <c r="S162" s="804">
        <f t="shared" si="131"/>
        <v>36</v>
      </c>
      <c r="T162" s="804">
        <f t="shared" si="131"/>
        <v>31.5</v>
      </c>
      <c r="U162" s="804">
        <f t="shared" si="131"/>
        <v>31.5</v>
      </c>
      <c r="V162" s="804">
        <f t="shared" si="131"/>
        <v>0</v>
      </c>
      <c r="W162" s="804">
        <f t="shared" si="131"/>
        <v>0</v>
      </c>
      <c r="X162" s="804">
        <f t="shared" si="131"/>
        <v>0</v>
      </c>
      <c r="Y162" s="804">
        <f t="shared" si="131"/>
        <v>0</v>
      </c>
      <c r="Z162" s="805">
        <v>0</v>
      </c>
      <c r="AA162" s="804">
        <v>0</v>
      </c>
      <c r="AB162" s="804">
        <f t="shared" si="131"/>
        <v>36</v>
      </c>
      <c r="AC162" s="804">
        <f t="shared" si="131"/>
        <v>0</v>
      </c>
      <c r="AD162" s="804">
        <f t="shared" si="131"/>
        <v>31.5</v>
      </c>
      <c r="AE162" s="804">
        <f t="shared" si="131"/>
        <v>0</v>
      </c>
      <c r="AF162" s="804">
        <f t="shared" si="131"/>
        <v>0</v>
      </c>
      <c r="AG162" s="804">
        <f t="shared" si="131"/>
        <v>0</v>
      </c>
      <c r="AH162" s="804">
        <f t="shared" si="131"/>
        <v>0</v>
      </c>
      <c r="AI162" s="804">
        <f t="shared" si="131"/>
        <v>0</v>
      </c>
      <c r="AJ162" s="804">
        <f t="shared" si="131"/>
        <v>0</v>
      </c>
      <c r="AK162" s="3">
        <f>P162-Q162</f>
        <v>27314.3</v>
      </c>
      <c r="AL162" s="3">
        <f>AK162</f>
        <v>27314.3</v>
      </c>
      <c r="AM162" s="318">
        <f>ROUND((Q162*100%/P162*100),2)</f>
        <v>0</v>
      </c>
      <c r="AN162" s="804">
        <f t="shared" si="131"/>
        <v>0</v>
      </c>
      <c r="AO162" s="804">
        <f t="shared" si="131"/>
        <v>0</v>
      </c>
      <c r="AP162" s="806"/>
      <c r="AQ162" s="805">
        <v>0</v>
      </c>
    </row>
    <row r="163" spans="1:43" ht="18" hidden="1" customHeight="1" x14ac:dyDescent="0.25">
      <c r="A163" s="1474"/>
      <c r="B163" s="586" t="s">
        <v>39</v>
      </c>
      <c r="C163" s="1334"/>
      <c r="D163" s="1334"/>
      <c r="E163" s="1334"/>
      <c r="F163" s="1472"/>
      <c r="G163" s="1474"/>
      <c r="H163" s="1474"/>
      <c r="I163" s="1465"/>
      <c r="J163" s="1629"/>
      <c r="K163" s="1629"/>
      <c r="L163" s="72">
        <v>67541.3</v>
      </c>
      <c r="M163" s="83">
        <v>16509</v>
      </c>
      <c r="N163" s="83">
        <v>800</v>
      </c>
      <c r="O163" s="83">
        <v>6409</v>
      </c>
      <c r="P163" s="83">
        <v>6409</v>
      </c>
      <c r="Q163" s="83">
        <f>Q164</f>
        <v>67.5</v>
      </c>
      <c r="R163" s="83">
        <f t="shared" si="131"/>
        <v>36</v>
      </c>
      <c r="S163" s="83">
        <f t="shared" si="131"/>
        <v>36</v>
      </c>
      <c r="T163" s="83">
        <f t="shared" si="131"/>
        <v>31.5</v>
      </c>
      <c r="U163" s="83">
        <f t="shared" si="131"/>
        <v>31.5</v>
      </c>
      <c r="V163" s="83">
        <f t="shared" si="131"/>
        <v>0</v>
      </c>
      <c r="W163" s="83">
        <f t="shared" si="131"/>
        <v>0</v>
      </c>
      <c r="X163" s="83">
        <f t="shared" si="131"/>
        <v>0</v>
      </c>
      <c r="Y163" s="83">
        <f t="shared" si="131"/>
        <v>0</v>
      </c>
      <c r="Z163" s="259"/>
      <c r="AA163" s="83">
        <f t="shared" si="131"/>
        <v>67.5</v>
      </c>
      <c r="AB163" s="83">
        <f t="shared" si="131"/>
        <v>36</v>
      </c>
      <c r="AC163" s="83">
        <f t="shared" si="131"/>
        <v>0</v>
      </c>
      <c r="AD163" s="83">
        <f t="shared" si="131"/>
        <v>31.5</v>
      </c>
      <c r="AE163" s="83">
        <f t="shared" si="131"/>
        <v>0</v>
      </c>
      <c r="AF163" s="83">
        <f t="shared" si="131"/>
        <v>0</v>
      </c>
      <c r="AG163" s="83">
        <f t="shared" si="131"/>
        <v>0</v>
      </c>
      <c r="AH163" s="83">
        <f t="shared" si="131"/>
        <v>0</v>
      </c>
      <c r="AI163" s="83">
        <f t="shared" si="131"/>
        <v>0</v>
      </c>
      <c r="AJ163" s="83">
        <f t="shared" si="131"/>
        <v>0</v>
      </c>
      <c r="AK163" s="83">
        <f t="shared" si="131"/>
        <v>0</v>
      </c>
      <c r="AL163" s="83">
        <v>0</v>
      </c>
      <c r="AM163" s="83">
        <v>0</v>
      </c>
      <c r="AN163" s="83">
        <v>0</v>
      </c>
      <c r="AO163" s="83">
        <v>0</v>
      </c>
      <c r="AP163" s="409"/>
      <c r="AQ163" s="259"/>
    </row>
    <row r="164" spans="1:43" s="266" customFormat="1" ht="26.25" hidden="1" customHeight="1" x14ac:dyDescent="0.25">
      <c r="A164" s="616"/>
      <c r="B164" s="537" t="s">
        <v>300</v>
      </c>
      <c r="C164" s="647"/>
      <c r="D164" s="647"/>
      <c r="E164" s="647"/>
      <c r="F164" s="539"/>
      <c r="G164" s="540"/>
      <c r="H164" s="540"/>
      <c r="I164" s="370"/>
      <c r="J164" s="648"/>
      <c r="K164" s="648"/>
      <c r="L164" s="258"/>
      <c r="M164" s="259"/>
      <c r="N164" s="259"/>
      <c r="O164" s="259"/>
      <c r="P164" s="259"/>
      <c r="Q164" s="259">
        <f>S164+U164</f>
        <v>67.5</v>
      </c>
      <c r="R164" s="259">
        <f>S164</f>
        <v>36</v>
      </c>
      <c r="S164" s="259">
        <v>36</v>
      </c>
      <c r="T164" s="259">
        <f>U164</f>
        <v>31.5</v>
      </c>
      <c r="U164" s="259">
        <v>31.5</v>
      </c>
      <c r="V164" s="259"/>
      <c r="W164" s="259"/>
      <c r="X164" s="259"/>
      <c r="Y164" s="259"/>
      <c r="Z164" s="259"/>
      <c r="AA164" s="259">
        <f>AB164+AD164</f>
        <v>67.5</v>
      </c>
      <c r="AB164" s="259">
        <v>36</v>
      </c>
      <c r="AC164" s="259"/>
      <c r="AD164" s="259">
        <v>31.5</v>
      </c>
      <c r="AE164" s="259"/>
      <c r="AF164" s="259"/>
      <c r="AG164" s="259"/>
      <c r="AH164" s="259"/>
      <c r="AI164" s="259"/>
      <c r="AJ164" s="259"/>
      <c r="AK164" s="259"/>
      <c r="AL164" s="259"/>
      <c r="AM164" s="543"/>
      <c r="AN164" s="259"/>
      <c r="AO164" s="259"/>
      <c r="AP164" s="411"/>
      <c r="AQ164" s="259"/>
    </row>
    <row r="165" spans="1:43" s="327" customFormat="1" ht="24" customHeight="1" x14ac:dyDescent="0.25">
      <c r="A165" s="1473" t="s">
        <v>42</v>
      </c>
      <c r="B165" s="780" t="s">
        <v>205</v>
      </c>
      <c r="C165" s="807"/>
      <c r="D165" s="807"/>
      <c r="E165" s="807"/>
      <c r="F165" s="1644">
        <v>2400</v>
      </c>
      <c r="G165" s="807"/>
      <c r="H165" s="807"/>
      <c r="I165" s="1463" t="s">
        <v>19</v>
      </c>
      <c r="J165" s="25">
        <v>12351.86</v>
      </c>
      <c r="K165" s="25">
        <f t="shared" ref="K165:P165" si="132">K166+K168</f>
        <v>8845.1</v>
      </c>
      <c r="L165" s="3">
        <f t="shared" si="132"/>
        <v>25182.28</v>
      </c>
      <c r="M165" s="3">
        <f t="shared" si="132"/>
        <v>1753.38</v>
      </c>
      <c r="N165" s="3">
        <f t="shared" si="132"/>
        <v>1168.92</v>
      </c>
      <c r="O165" s="3">
        <f t="shared" si="132"/>
        <v>997.45</v>
      </c>
      <c r="P165" s="3">
        <f t="shared" si="132"/>
        <v>1632.45</v>
      </c>
      <c r="Q165" s="3">
        <f t="shared" ref="Q165:AO165" si="133">Q168+Q166</f>
        <v>0</v>
      </c>
      <c r="R165" s="3">
        <f t="shared" si="133"/>
        <v>707.47199999999998</v>
      </c>
      <c r="S165" s="3">
        <f t="shared" si="133"/>
        <v>707.47199999999998</v>
      </c>
      <c r="T165" s="3">
        <f t="shared" si="133"/>
        <v>0</v>
      </c>
      <c r="U165" s="3">
        <f t="shared" si="133"/>
        <v>0</v>
      </c>
      <c r="V165" s="3">
        <f t="shared" si="133"/>
        <v>0</v>
      </c>
      <c r="W165" s="3">
        <f t="shared" si="133"/>
        <v>0</v>
      </c>
      <c r="X165" s="3">
        <f t="shared" si="133"/>
        <v>0</v>
      </c>
      <c r="Y165" s="3">
        <f t="shared" si="133"/>
        <v>0</v>
      </c>
      <c r="Z165" s="95">
        <v>0</v>
      </c>
      <c r="AA165" s="3">
        <f t="shared" si="133"/>
        <v>0</v>
      </c>
      <c r="AB165" s="3">
        <f t="shared" si="133"/>
        <v>707.47</v>
      </c>
      <c r="AC165" s="3">
        <f t="shared" si="133"/>
        <v>0</v>
      </c>
      <c r="AD165" s="3">
        <f t="shared" si="133"/>
        <v>0</v>
      </c>
      <c r="AE165" s="3">
        <f t="shared" si="133"/>
        <v>0</v>
      </c>
      <c r="AF165" s="3">
        <f t="shared" si="133"/>
        <v>0</v>
      </c>
      <c r="AG165" s="3">
        <f t="shared" si="133"/>
        <v>0</v>
      </c>
      <c r="AH165" s="3">
        <f t="shared" si="133"/>
        <v>0</v>
      </c>
      <c r="AI165" s="3">
        <f t="shared" si="133"/>
        <v>0</v>
      </c>
      <c r="AJ165" s="3">
        <f t="shared" si="133"/>
        <v>0</v>
      </c>
      <c r="AK165" s="3">
        <f>P165-Q165</f>
        <v>1632.45</v>
      </c>
      <c r="AL165" s="3">
        <f>AK165</f>
        <v>1632.45</v>
      </c>
      <c r="AM165" s="318">
        <f>ROUND((Q165*100%/P165*100),2)</f>
        <v>0</v>
      </c>
      <c r="AN165" s="3">
        <f t="shared" si="133"/>
        <v>0</v>
      </c>
      <c r="AO165" s="3">
        <f t="shared" si="133"/>
        <v>0</v>
      </c>
      <c r="AP165" s="808"/>
      <c r="AQ165" s="95">
        <v>0</v>
      </c>
    </row>
    <row r="166" spans="1:43" ht="16.5" customHeight="1" x14ac:dyDescent="0.25">
      <c r="A166" s="1643"/>
      <c r="B166" s="1" t="s">
        <v>15</v>
      </c>
      <c r="C166" s="48"/>
      <c r="D166" s="48"/>
      <c r="E166" s="48"/>
      <c r="F166" s="1645"/>
      <c r="G166" s="597">
        <v>2018</v>
      </c>
      <c r="H166" s="597">
        <v>2018</v>
      </c>
      <c r="I166" s="1464"/>
      <c r="J166" s="634">
        <v>1815.76</v>
      </c>
      <c r="K166" s="634">
        <v>1815.76</v>
      </c>
      <c r="L166" s="47">
        <v>2458.14</v>
      </c>
      <c r="M166" s="47">
        <v>0</v>
      </c>
      <c r="N166" s="47">
        <v>412.99</v>
      </c>
      <c r="O166" s="47">
        <v>0</v>
      </c>
      <c r="P166" s="47">
        <v>246.67</v>
      </c>
      <c r="Q166" s="83">
        <v>0</v>
      </c>
      <c r="R166" s="83">
        <f t="shared" ref="R166:AG166" si="134">R167</f>
        <v>707.47199999999998</v>
      </c>
      <c r="S166" s="83">
        <f t="shared" si="134"/>
        <v>707.47199999999998</v>
      </c>
      <c r="T166" s="83">
        <f t="shared" si="134"/>
        <v>0</v>
      </c>
      <c r="U166" s="83">
        <f t="shared" si="134"/>
        <v>0</v>
      </c>
      <c r="V166" s="83">
        <f t="shared" si="134"/>
        <v>0</v>
      </c>
      <c r="W166" s="83">
        <f t="shared" si="134"/>
        <v>0</v>
      </c>
      <c r="X166" s="83">
        <f t="shared" si="134"/>
        <v>0</v>
      </c>
      <c r="Y166" s="83">
        <f t="shared" si="134"/>
        <v>0</v>
      </c>
      <c r="Z166" s="259"/>
      <c r="AA166" s="83">
        <v>0</v>
      </c>
      <c r="AB166" s="83">
        <f t="shared" si="134"/>
        <v>707.47</v>
      </c>
      <c r="AC166" s="83">
        <f t="shared" si="134"/>
        <v>0</v>
      </c>
      <c r="AD166" s="83">
        <f t="shared" si="134"/>
        <v>0</v>
      </c>
      <c r="AE166" s="83">
        <f t="shared" si="134"/>
        <v>0</v>
      </c>
      <c r="AF166" s="83">
        <f t="shared" si="134"/>
        <v>0</v>
      </c>
      <c r="AG166" s="83">
        <f t="shared" si="134"/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0</v>
      </c>
      <c r="AM166" s="47">
        <v>0</v>
      </c>
      <c r="AN166" s="47">
        <v>0</v>
      </c>
      <c r="AO166" s="47">
        <v>0</v>
      </c>
      <c r="AP166" s="617"/>
      <c r="AQ166" s="259"/>
    </row>
    <row r="167" spans="1:43" s="266" customFormat="1" ht="27" hidden="1" customHeight="1" x14ac:dyDescent="0.25">
      <c r="A167" s="1643"/>
      <c r="B167" s="537" t="s">
        <v>301</v>
      </c>
      <c r="C167" s="544"/>
      <c r="D167" s="544"/>
      <c r="E167" s="544"/>
      <c r="F167" s="1645"/>
      <c r="G167" s="104"/>
      <c r="H167" s="104"/>
      <c r="I167" s="1464"/>
      <c r="J167" s="636"/>
      <c r="K167" s="636"/>
      <c r="L167" s="96"/>
      <c r="M167" s="96"/>
      <c r="N167" s="96"/>
      <c r="O167" s="96"/>
      <c r="P167" s="96"/>
      <c r="Q167" s="259">
        <f>S167</f>
        <v>707.47199999999998</v>
      </c>
      <c r="R167" s="259">
        <f>S167</f>
        <v>707.47199999999998</v>
      </c>
      <c r="S167" s="259">
        <v>707.47199999999998</v>
      </c>
      <c r="T167" s="259"/>
      <c r="U167" s="259"/>
      <c r="V167" s="259"/>
      <c r="W167" s="259"/>
      <c r="X167" s="259"/>
      <c r="Y167" s="259"/>
      <c r="Z167" s="259"/>
      <c r="AA167" s="259">
        <f>AB167</f>
        <v>707.47</v>
      </c>
      <c r="AB167" s="259">
        <v>707.47</v>
      </c>
      <c r="AC167" s="259"/>
      <c r="AD167" s="259"/>
      <c r="AE167" s="259"/>
      <c r="AF167" s="259"/>
      <c r="AG167" s="259"/>
      <c r="AH167" s="96"/>
      <c r="AI167" s="96"/>
      <c r="AJ167" s="96"/>
      <c r="AK167" s="96"/>
      <c r="AL167" s="96"/>
      <c r="AM167" s="96"/>
      <c r="AN167" s="96"/>
      <c r="AO167" s="96"/>
      <c r="AP167" s="618"/>
      <c r="AQ167" s="259"/>
    </row>
    <row r="168" spans="1:43" ht="14.25" customHeight="1" x14ac:dyDescent="0.25">
      <c r="A168" s="1474"/>
      <c r="B168" s="1" t="s">
        <v>32</v>
      </c>
      <c r="C168" s="48"/>
      <c r="D168" s="48"/>
      <c r="E168" s="48"/>
      <c r="F168" s="1328"/>
      <c r="G168" s="597">
        <v>2018</v>
      </c>
      <c r="H168" s="597">
        <v>2021</v>
      </c>
      <c r="I168" s="1465"/>
      <c r="J168" s="634">
        <v>10536.1</v>
      </c>
      <c r="K168" s="634">
        <v>7029.34</v>
      </c>
      <c r="L168" s="47">
        <v>22724.14</v>
      </c>
      <c r="M168" s="47">
        <v>1753.38</v>
      </c>
      <c r="N168" s="47">
        <v>755.93</v>
      </c>
      <c r="O168" s="47">
        <v>997.45</v>
      </c>
      <c r="P168" s="47">
        <v>1385.78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0</v>
      </c>
      <c r="Z168" s="96"/>
      <c r="AA168" s="47">
        <v>0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397"/>
      <c r="AQ168" s="96"/>
    </row>
    <row r="169" spans="1:43" s="327" customFormat="1" ht="30.75" customHeight="1" x14ac:dyDescent="0.25">
      <c r="A169" s="1398" t="s">
        <v>63</v>
      </c>
      <c r="B169" s="780" t="s">
        <v>66</v>
      </c>
      <c r="C169" s="1471"/>
      <c r="D169" s="1471"/>
      <c r="E169" s="1471"/>
      <c r="F169" s="1466"/>
      <c r="G169" s="1489">
        <v>2019</v>
      </c>
      <c r="H169" s="1469">
        <v>2021</v>
      </c>
      <c r="I169" s="1466" t="s">
        <v>19</v>
      </c>
      <c r="J169" s="1648">
        <f>K169+L169</f>
        <v>74500.679999999993</v>
      </c>
      <c r="K169" s="1646">
        <v>0</v>
      </c>
      <c r="L169" s="70">
        <f t="shared" ref="L169:Q169" si="135">L170</f>
        <v>74500.679999999993</v>
      </c>
      <c r="M169" s="70">
        <f t="shared" si="135"/>
        <v>24180.74</v>
      </c>
      <c r="N169" s="70">
        <f t="shared" si="135"/>
        <v>24180.74</v>
      </c>
      <c r="O169" s="70">
        <f t="shared" si="135"/>
        <v>13819.52</v>
      </c>
      <c r="P169" s="70">
        <v>0</v>
      </c>
      <c r="Q169" s="804">
        <f t="shared" si="135"/>
        <v>0</v>
      </c>
      <c r="R169" s="804">
        <f t="shared" ref="R169:W169" si="136">R170</f>
        <v>0</v>
      </c>
      <c r="S169" s="804">
        <f t="shared" si="136"/>
        <v>0</v>
      </c>
      <c r="T169" s="804">
        <f t="shared" si="136"/>
        <v>0</v>
      </c>
      <c r="U169" s="804">
        <f t="shared" si="136"/>
        <v>0</v>
      </c>
      <c r="V169" s="804">
        <f t="shared" si="136"/>
        <v>0</v>
      </c>
      <c r="W169" s="804">
        <f t="shared" si="136"/>
        <v>0</v>
      </c>
      <c r="X169" s="804">
        <f>X170</f>
        <v>0</v>
      </c>
      <c r="Y169" s="804">
        <f>Y170</f>
        <v>0</v>
      </c>
      <c r="Z169" s="805">
        <v>0</v>
      </c>
      <c r="AA169" s="804">
        <f>AA170</f>
        <v>0</v>
      </c>
      <c r="AB169" s="804">
        <f>AB170</f>
        <v>0</v>
      </c>
      <c r="AC169" s="804">
        <f>AC170</f>
        <v>0</v>
      </c>
      <c r="AD169" s="804">
        <f t="shared" ref="AD169:AO169" si="137">AD170</f>
        <v>0</v>
      </c>
      <c r="AE169" s="804">
        <f t="shared" si="137"/>
        <v>0</v>
      </c>
      <c r="AF169" s="804">
        <f t="shared" si="137"/>
        <v>0</v>
      </c>
      <c r="AG169" s="804">
        <f t="shared" si="137"/>
        <v>0</v>
      </c>
      <c r="AH169" s="804">
        <f t="shared" si="137"/>
        <v>0</v>
      </c>
      <c r="AI169" s="804">
        <f t="shared" si="137"/>
        <v>0</v>
      </c>
      <c r="AJ169" s="804">
        <f t="shared" si="137"/>
        <v>0</v>
      </c>
      <c r="AK169" s="3">
        <v>0</v>
      </c>
      <c r="AL169" s="3">
        <f>AK169</f>
        <v>0</v>
      </c>
      <c r="AM169" s="318" t="e">
        <f>ROUND((Q169*100%/P169*100),2)</f>
        <v>#DIV/0!</v>
      </c>
      <c r="AN169" s="804">
        <f t="shared" si="137"/>
        <v>0</v>
      </c>
      <c r="AO169" s="804">
        <f t="shared" si="137"/>
        <v>0</v>
      </c>
      <c r="AP169" s="806" t="s">
        <v>295</v>
      </c>
      <c r="AQ169" s="805">
        <v>0</v>
      </c>
    </row>
    <row r="170" spans="1:43" ht="18" hidden="1" customHeight="1" x14ac:dyDescent="0.25">
      <c r="A170" s="1488"/>
      <c r="B170" s="1" t="s">
        <v>16</v>
      </c>
      <c r="C170" s="1471"/>
      <c r="D170" s="1471"/>
      <c r="E170" s="1471"/>
      <c r="F170" s="1466"/>
      <c r="G170" s="1489"/>
      <c r="H170" s="1470"/>
      <c r="I170" s="1466"/>
      <c r="J170" s="1648"/>
      <c r="K170" s="1647"/>
      <c r="L170" s="72">
        <v>74500.679999999993</v>
      </c>
      <c r="M170" s="83">
        <v>24180.74</v>
      </c>
      <c r="N170" s="83">
        <v>24180.74</v>
      </c>
      <c r="O170" s="83">
        <v>13819.52</v>
      </c>
      <c r="P170" s="83">
        <v>26139.200000000001</v>
      </c>
      <c r="Q170" s="83">
        <v>0</v>
      </c>
      <c r="R170" s="83">
        <f t="shared" ref="R170:W170" si="138">SUM(R171:R177)</f>
        <v>0</v>
      </c>
      <c r="S170" s="83">
        <f t="shared" si="138"/>
        <v>0</v>
      </c>
      <c r="T170" s="83">
        <f t="shared" si="138"/>
        <v>0</v>
      </c>
      <c r="U170" s="83">
        <f t="shared" si="138"/>
        <v>0</v>
      </c>
      <c r="V170" s="83">
        <f t="shared" si="138"/>
        <v>0</v>
      </c>
      <c r="W170" s="83">
        <f t="shared" si="138"/>
        <v>0</v>
      </c>
      <c r="X170" s="83">
        <v>0</v>
      </c>
      <c r="Y170" s="83">
        <f t="shared" ref="Y170:AE170" si="139">SUM(Y171:Y177)</f>
        <v>0</v>
      </c>
      <c r="Z170" s="259"/>
      <c r="AA170" s="83">
        <f t="shared" si="139"/>
        <v>0</v>
      </c>
      <c r="AB170" s="83">
        <f t="shared" si="139"/>
        <v>0</v>
      </c>
      <c r="AC170" s="83">
        <f t="shared" si="139"/>
        <v>0</v>
      </c>
      <c r="AD170" s="83">
        <f t="shared" si="139"/>
        <v>0</v>
      </c>
      <c r="AE170" s="83">
        <f t="shared" si="139"/>
        <v>0</v>
      </c>
      <c r="AF170" s="83">
        <f>SUM(AG170:AI170)</f>
        <v>0</v>
      </c>
      <c r="AG170" s="83">
        <f>SUM(AG171:AG177)</f>
        <v>0</v>
      </c>
      <c r="AH170" s="83">
        <f>SUM(AH171:AH177)</f>
        <v>0</v>
      </c>
      <c r="AI170" s="83">
        <v>0</v>
      </c>
      <c r="AJ170" s="83">
        <v>0</v>
      </c>
      <c r="AK170" s="83">
        <f>SUM(AK171:AK177)</f>
        <v>0</v>
      </c>
      <c r="AL170" s="83">
        <f>SUM(AL171:AL177)</f>
        <v>0</v>
      </c>
      <c r="AM170" s="83">
        <f>SUM(AM171:AM177)</f>
        <v>0</v>
      </c>
      <c r="AN170" s="83">
        <f>SUM(AN171:AN177)</f>
        <v>0</v>
      </c>
      <c r="AO170" s="83">
        <f>SUM(AO171:AO177)</f>
        <v>0</v>
      </c>
      <c r="AP170" s="409"/>
      <c r="AQ170" s="259"/>
    </row>
    <row r="171" spans="1:43" s="266" customFormat="1" ht="18" hidden="1" customHeight="1" x14ac:dyDescent="0.25">
      <c r="A171" s="324"/>
      <c r="B171" s="252" t="s">
        <v>152</v>
      </c>
      <c r="C171" s="253"/>
      <c r="D171" s="253"/>
      <c r="E171" s="253"/>
      <c r="F171" s="363"/>
      <c r="G171" s="255"/>
      <c r="H171" s="256"/>
      <c r="I171" s="104"/>
      <c r="J171" s="533"/>
      <c r="K171" s="534"/>
      <c r="L171" s="258"/>
      <c r="M171" s="259"/>
      <c r="N171" s="259"/>
      <c r="O171" s="259"/>
      <c r="P171" s="83"/>
      <c r="Q171" s="259">
        <f>S171+U171</f>
        <v>0</v>
      </c>
      <c r="R171" s="259">
        <f>S171</f>
        <v>0</v>
      </c>
      <c r="S171" s="259">
        <v>0</v>
      </c>
      <c r="T171" s="259">
        <v>0</v>
      </c>
      <c r="U171" s="259">
        <v>0</v>
      </c>
      <c r="V171" s="259"/>
      <c r="W171" s="259"/>
      <c r="X171" s="259"/>
      <c r="Y171" s="259"/>
      <c r="Z171" s="259"/>
      <c r="AA171" s="259">
        <v>0</v>
      </c>
      <c r="AB171" s="259"/>
      <c r="AC171" s="259"/>
      <c r="AD171" s="259"/>
      <c r="AE171" s="259"/>
      <c r="AF171" s="259">
        <f>SUM(AG171:AG171)</f>
        <v>0</v>
      </c>
      <c r="AG171" s="259"/>
      <c r="AH171" s="259"/>
      <c r="AI171" s="259"/>
      <c r="AJ171" s="259"/>
      <c r="AK171" s="259"/>
      <c r="AL171" s="259"/>
      <c r="AM171" s="259"/>
      <c r="AN171" s="259"/>
      <c r="AO171" s="259"/>
      <c r="AP171" s="411"/>
      <c r="AQ171" s="259"/>
    </row>
    <row r="172" spans="1:43" s="266" customFormat="1" ht="18" hidden="1" customHeight="1" x14ac:dyDescent="0.25">
      <c r="A172" s="324"/>
      <c r="B172" s="252" t="s">
        <v>156</v>
      </c>
      <c r="C172" s="253"/>
      <c r="D172" s="253"/>
      <c r="E172" s="253"/>
      <c r="F172" s="363"/>
      <c r="G172" s="255"/>
      <c r="H172" s="256"/>
      <c r="I172" s="104"/>
      <c r="J172" s="533"/>
      <c r="K172" s="534"/>
      <c r="L172" s="258"/>
      <c r="M172" s="259"/>
      <c r="N172" s="259"/>
      <c r="O172" s="259"/>
      <c r="P172" s="83"/>
      <c r="Q172" s="259">
        <f>S172+U172+W172</f>
        <v>0</v>
      </c>
      <c r="R172" s="259"/>
      <c r="S172" s="259"/>
      <c r="T172" s="259"/>
      <c r="U172" s="259"/>
      <c r="V172" s="259">
        <v>0</v>
      </c>
      <c r="W172" s="259">
        <v>0</v>
      </c>
      <c r="X172" s="259"/>
      <c r="Y172" s="259"/>
      <c r="Z172" s="259"/>
      <c r="AA172" s="259">
        <v>0</v>
      </c>
      <c r="AB172" s="259">
        <v>0</v>
      </c>
      <c r="AC172" s="259"/>
      <c r="AD172" s="259"/>
      <c r="AE172" s="259"/>
      <c r="AF172" s="259">
        <f>SUM(AG172:AG172)</f>
        <v>0</v>
      </c>
      <c r="AG172" s="259"/>
      <c r="AH172" s="259"/>
      <c r="AI172" s="259"/>
      <c r="AJ172" s="259"/>
      <c r="AK172" s="259"/>
      <c r="AL172" s="259"/>
      <c r="AM172" s="259"/>
      <c r="AN172" s="259"/>
      <c r="AO172" s="259"/>
      <c r="AP172" s="411"/>
      <c r="AQ172" s="259"/>
    </row>
    <row r="173" spans="1:43" s="266" customFormat="1" ht="26.25" hidden="1" customHeight="1" x14ac:dyDescent="0.25">
      <c r="A173" s="324"/>
      <c r="B173" s="252" t="s">
        <v>229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S173+U173+W173+Y173</f>
        <v>0</v>
      </c>
      <c r="R173" s="259"/>
      <c r="S173" s="259"/>
      <c r="T173" s="259"/>
      <c r="U173" s="259"/>
      <c r="V173" s="259"/>
      <c r="W173" s="259"/>
      <c r="X173" s="259">
        <v>0</v>
      </c>
      <c r="Y173" s="259">
        <v>0</v>
      </c>
      <c r="Z173" s="259"/>
      <c r="AA173" s="259">
        <v>0</v>
      </c>
      <c r="AB173" s="259">
        <v>0</v>
      </c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230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S174+U174+W174+Y174</f>
        <v>0</v>
      </c>
      <c r="R174" s="259">
        <f>S174</f>
        <v>0</v>
      </c>
      <c r="S174" s="259">
        <v>0</v>
      </c>
      <c r="T174" s="259">
        <v>0</v>
      </c>
      <c r="U174" s="259">
        <v>0</v>
      </c>
      <c r="V174" s="259"/>
      <c r="W174" s="259">
        <v>0</v>
      </c>
      <c r="X174" s="259">
        <v>0</v>
      </c>
      <c r="Y174" s="259">
        <v>0</v>
      </c>
      <c r="Z174" s="259"/>
      <c r="AA174" s="259">
        <f>AB174+AC174</f>
        <v>0</v>
      </c>
      <c r="AB174" s="259">
        <v>0</v>
      </c>
      <c r="AC174" s="259">
        <v>0</v>
      </c>
      <c r="AD174" s="259">
        <v>0</v>
      </c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18" hidden="1" customHeight="1" x14ac:dyDescent="0.25">
      <c r="A175" s="324"/>
      <c r="B175" s="252" t="s">
        <v>231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>
        <v>0</v>
      </c>
      <c r="U175" s="259">
        <v>0</v>
      </c>
      <c r="V175" s="259"/>
      <c r="W175" s="259"/>
      <c r="X175" s="259">
        <v>0</v>
      </c>
      <c r="Y175" s="259">
        <v>0</v>
      </c>
      <c r="Z175" s="259"/>
      <c r="AA175" s="259">
        <f>AB175+AC175</f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259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v>0</v>
      </c>
      <c r="R176" s="259"/>
      <c r="S176" s="259"/>
      <c r="T176" s="259">
        <v>0</v>
      </c>
      <c r="U176" s="259">
        <v>0</v>
      </c>
      <c r="V176" s="259"/>
      <c r="W176" s="259"/>
      <c r="X176" s="259"/>
      <c r="Y176" s="259"/>
      <c r="Z176" s="259"/>
      <c r="AA176" s="259">
        <f>AB176+AC176</f>
        <v>0</v>
      </c>
      <c r="AB176" s="259"/>
      <c r="AC176" s="259">
        <v>0</v>
      </c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153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>
        <f>S177</f>
        <v>0</v>
      </c>
      <c r="S177" s="259">
        <v>0</v>
      </c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327" customFormat="1" ht="42" customHeight="1" x14ac:dyDescent="0.25">
      <c r="A178" s="1398" t="s">
        <v>167</v>
      </c>
      <c r="B178" s="772" t="s">
        <v>168</v>
      </c>
      <c r="C178" s="809"/>
      <c r="D178" s="809"/>
      <c r="E178" s="809"/>
      <c r="F178" s="312"/>
      <c r="G178" s="775"/>
      <c r="H178" s="810"/>
      <c r="I178" s="1326" t="s">
        <v>19</v>
      </c>
      <c r="J178" s="283"/>
      <c r="K178" s="811"/>
      <c r="L178" s="753">
        <f>L179</f>
        <v>7644.31</v>
      </c>
      <c r="M178" s="753">
        <f>M179</f>
        <v>0</v>
      </c>
      <c r="N178" s="753">
        <f t="shared" ref="N178:AO178" si="140">N179</f>
        <v>377.26</v>
      </c>
      <c r="O178" s="753">
        <f t="shared" si="140"/>
        <v>0</v>
      </c>
      <c r="P178" s="753">
        <f>P179+P181</f>
        <v>70000</v>
      </c>
      <c r="Q178" s="753">
        <f>Q179+Q181</f>
        <v>0</v>
      </c>
      <c r="R178" s="753">
        <f t="shared" ref="R178:AA178" si="141">R179+R181</f>
        <v>0</v>
      </c>
      <c r="S178" s="753">
        <f t="shared" si="141"/>
        <v>0</v>
      </c>
      <c r="T178" s="753">
        <f t="shared" si="141"/>
        <v>0</v>
      </c>
      <c r="U178" s="753">
        <f t="shared" si="141"/>
        <v>0</v>
      </c>
      <c r="V178" s="753">
        <f t="shared" si="141"/>
        <v>0</v>
      </c>
      <c r="W178" s="753">
        <f t="shared" si="141"/>
        <v>0</v>
      </c>
      <c r="X178" s="753">
        <f t="shared" si="141"/>
        <v>0</v>
      </c>
      <c r="Y178" s="753">
        <f t="shared" si="141"/>
        <v>0</v>
      </c>
      <c r="Z178" s="753">
        <f t="shared" si="141"/>
        <v>0</v>
      </c>
      <c r="AA178" s="753">
        <f t="shared" si="141"/>
        <v>0</v>
      </c>
      <c r="AB178" s="753">
        <f t="shared" si="140"/>
        <v>0</v>
      </c>
      <c r="AC178" s="753">
        <f t="shared" si="140"/>
        <v>0</v>
      </c>
      <c r="AD178" s="753">
        <f t="shared" si="140"/>
        <v>0</v>
      </c>
      <c r="AE178" s="753">
        <f t="shared" si="140"/>
        <v>0</v>
      </c>
      <c r="AF178" s="753">
        <f t="shared" si="140"/>
        <v>0</v>
      </c>
      <c r="AG178" s="753">
        <f t="shared" si="140"/>
        <v>0</v>
      </c>
      <c r="AH178" s="753">
        <f t="shared" si="140"/>
        <v>0</v>
      </c>
      <c r="AI178" s="753">
        <f t="shared" si="140"/>
        <v>0</v>
      </c>
      <c r="AJ178" s="753">
        <f t="shared" si="140"/>
        <v>0</v>
      </c>
      <c r="AK178" s="753">
        <f t="shared" si="140"/>
        <v>0</v>
      </c>
      <c r="AL178" s="753">
        <f t="shared" si="140"/>
        <v>0</v>
      </c>
      <c r="AM178" s="753">
        <f t="shared" si="140"/>
        <v>0</v>
      </c>
      <c r="AN178" s="753">
        <f t="shared" si="140"/>
        <v>0</v>
      </c>
      <c r="AO178" s="753">
        <f t="shared" si="140"/>
        <v>0</v>
      </c>
      <c r="AP178" s="806" t="s">
        <v>244</v>
      </c>
      <c r="AQ178" s="812">
        <v>0</v>
      </c>
    </row>
    <row r="179" spans="1:43" ht="18" customHeight="1" x14ac:dyDescent="0.25">
      <c r="A179" s="1488"/>
      <c r="B179" s="42" t="s">
        <v>15</v>
      </c>
      <c r="C179" s="334"/>
      <c r="D179" s="334"/>
      <c r="E179" s="334"/>
      <c r="F179" s="313"/>
      <c r="G179" s="335"/>
      <c r="H179" s="336"/>
      <c r="I179" s="1328"/>
      <c r="J179" s="639"/>
      <c r="K179" s="649"/>
      <c r="L179" s="72">
        <v>7644.31</v>
      </c>
      <c r="M179" s="83">
        <v>0</v>
      </c>
      <c r="N179" s="83">
        <v>377.26</v>
      </c>
      <c r="O179" s="83">
        <v>0</v>
      </c>
      <c r="P179" s="83">
        <v>7000</v>
      </c>
      <c r="Q179" s="83">
        <v>0</v>
      </c>
      <c r="R179" s="83">
        <v>0</v>
      </c>
      <c r="S179" s="83">
        <v>0</v>
      </c>
      <c r="T179" s="83">
        <f>SUM(T180:T181)</f>
        <v>0</v>
      </c>
      <c r="U179" s="83">
        <f>SUM(U180:U181)</f>
        <v>0</v>
      </c>
      <c r="V179" s="83">
        <f t="shared" ref="V179:AE179" si="142">SUM(V180:V181)</f>
        <v>0</v>
      </c>
      <c r="W179" s="83">
        <f t="shared" si="142"/>
        <v>0</v>
      </c>
      <c r="X179" s="83">
        <f t="shared" si="142"/>
        <v>0</v>
      </c>
      <c r="Y179" s="83">
        <f t="shared" si="142"/>
        <v>0</v>
      </c>
      <c r="Z179" s="259"/>
      <c r="AA179" s="83">
        <f t="shared" si="142"/>
        <v>0</v>
      </c>
      <c r="AB179" s="83">
        <f t="shared" si="142"/>
        <v>0</v>
      </c>
      <c r="AC179" s="83">
        <f t="shared" si="142"/>
        <v>0</v>
      </c>
      <c r="AD179" s="83">
        <f t="shared" si="142"/>
        <v>0</v>
      </c>
      <c r="AE179" s="83">
        <f t="shared" si="142"/>
        <v>0</v>
      </c>
      <c r="AF179" s="83">
        <v>0</v>
      </c>
      <c r="AG179" s="83">
        <v>0</v>
      </c>
      <c r="AH179" s="83">
        <v>0</v>
      </c>
      <c r="AI179" s="83">
        <v>0</v>
      </c>
      <c r="AJ179" s="83">
        <v>0</v>
      </c>
      <c r="AK179" s="83">
        <v>0</v>
      </c>
      <c r="AL179" s="83">
        <v>0</v>
      </c>
      <c r="AM179" s="83">
        <v>0</v>
      </c>
      <c r="AN179" s="83">
        <v>0</v>
      </c>
      <c r="AO179" s="83">
        <v>0</v>
      </c>
      <c r="AP179" s="409"/>
      <c r="AQ179" s="259"/>
    </row>
    <row r="180" spans="1:43" s="266" customFormat="1" ht="18" hidden="1" customHeight="1" x14ac:dyDescent="0.25">
      <c r="A180" s="366"/>
      <c r="B180" s="252" t="s">
        <v>232</v>
      </c>
      <c r="C180" s="253"/>
      <c r="D180" s="253"/>
      <c r="E180" s="253"/>
      <c r="F180" s="363"/>
      <c r="G180" s="255"/>
      <c r="H180" s="256"/>
      <c r="I180" s="367"/>
      <c r="J180" s="533"/>
      <c r="K180" s="534"/>
      <c r="L180" s="258"/>
      <c r="M180" s="259"/>
      <c r="N180" s="259"/>
      <c r="O180" s="259"/>
      <c r="P180" s="83"/>
      <c r="Q180" s="259"/>
      <c r="R180" s="259"/>
      <c r="S180" s="259"/>
      <c r="T180" s="259"/>
      <c r="U180" s="259"/>
      <c r="V180" s="259"/>
      <c r="W180" s="259"/>
      <c r="X180" s="83"/>
      <c r="Y180" s="83"/>
      <c r="Z180" s="259"/>
      <c r="AA180" s="259"/>
      <c r="AB180" s="259"/>
      <c r="AC180" s="259"/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411"/>
      <c r="AQ180" s="259"/>
    </row>
    <row r="181" spans="1:43" ht="18" customHeight="1" x14ac:dyDescent="0.25">
      <c r="A181" s="746"/>
      <c r="B181" s="42" t="s">
        <v>32</v>
      </c>
      <c r="C181" s="334"/>
      <c r="D181" s="334"/>
      <c r="E181" s="334"/>
      <c r="F181" s="313"/>
      <c r="G181" s="335"/>
      <c r="H181" s="336"/>
      <c r="I181" s="744"/>
      <c r="J181" s="767"/>
      <c r="K181" s="649"/>
      <c r="L181" s="760"/>
      <c r="M181" s="83"/>
      <c r="N181" s="83"/>
      <c r="O181" s="83"/>
      <c r="P181" s="83">
        <v>63000</v>
      </c>
      <c r="Q181" s="83">
        <f>S181+U181</f>
        <v>0</v>
      </c>
      <c r="R181" s="83"/>
      <c r="S181" s="83"/>
      <c r="T181" s="83">
        <v>0</v>
      </c>
      <c r="U181" s="83">
        <v>0</v>
      </c>
      <c r="V181" s="83"/>
      <c r="W181" s="83"/>
      <c r="X181" s="83"/>
      <c r="Y181" s="83"/>
      <c r="Z181" s="83"/>
      <c r="AA181" s="83">
        <f>SUM(AB181:AC181)</f>
        <v>0</v>
      </c>
      <c r="AB181" s="83"/>
      <c r="AC181" s="83">
        <v>0</v>
      </c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409"/>
      <c r="AQ181" s="83"/>
    </row>
    <row r="182" spans="1:43" s="327" customFormat="1" ht="26.25" customHeight="1" x14ac:dyDescent="0.25">
      <c r="A182" s="1398" t="s">
        <v>169</v>
      </c>
      <c r="B182" s="772" t="s">
        <v>170</v>
      </c>
      <c r="C182" s="809"/>
      <c r="D182" s="809"/>
      <c r="E182" s="809"/>
      <c r="F182" s="312"/>
      <c r="G182" s="775"/>
      <c r="H182" s="810"/>
      <c r="I182" s="1326" t="s">
        <v>19</v>
      </c>
      <c r="J182" s="283"/>
      <c r="K182" s="811"/>
      <c r="L182" s="753">
        <f>L183</f>
        <v>8790.08</v>
      </c>
      <c r="M182" s="753">
        <f>M183</f>
        <v>0</v>
      </c>
      <c r="N182" s="753">
        <f t="shared" ref="N182:AO183" si="143">N183</f>
        <v>612.4</v>
      </c>
      <c r="O182" s="753">
        <f t="shared" si="143"/>
        <v>7188.28</v>
      </c>
      <c r="P182" s="753">
        <v>1215.26</v>
      </c>
      <c r="Q182" s="753">
        <v>0</v>
      </c>
      <c r="R182" s="753">
        <f t="shared" si="143"/>
        <v>0</v>
      </c>
      <c r="S182" s="753">
        <f t="shared" si="143"/>
        <v>0</v>
      </c>
      <c r="T182" s="753">
        <f t="shared" si="143"/>
        <v>0</v>
      </c>
      <c r="U182" s="753">
        <f t="shared" si="143"/>
        <v>2205.3380000000002</v>
      </c>
      <c r="V182" s="753">
        <f t="shared" si="143"/>
        <v>0</v>
      </c>
      <c r="W182" s="753">
        <f t="shared" si="143"/>
        <v>0</v>
      </c>
      <c r="X182" s="753">
        <f t="shared" si="143"/>
        <v>0</v>
      </c>
      <c r="Y182" s="753">
        <f t="shared" si="143"/>
        <v>0</v>
      </c>
      <c r="Z182" s="753">
        <v>0</v>
      </c>
      <c r="AA182" s="753">
        <v>0</v>
      </c>
      <c r="AB182" s="753">
        <f>AB183</f>
        <v>2205.337</v>
      </c>
      <c r="AC182" s="753">
        <f>AC183</f>
        <v>0</v>
      </c>
      <c r="AD182" s="753">
        <f>AD183</f>
        <v>0</v>
      </c>
      <c r="AE182" s="753">
        <f>AE183</f>
        <v>0</v>
      </c>
      <c r="AF182" s="753">
        <f t="shared" si="143"/>
        <v>0</v>
      </c>
      <c r="AG182" s="753">
        <f t="shared" si="143"/>
        <v>0</v>
      </c>
      <c r="AH182" s="753">
        <f t="shared" si="143"/>
        <v>0</v>
      </c>
      <c r="AI182" s="753">
        <f t="shared" si="143"/>
        <v>0</v>
      </c>
      <c r="AJ182" s="753">
        <f t="shared" si="143"/>
        <v>0</v>
      </c>
      <c r="AK182" s="753">
        <f t="shared" si="143"/>
        <v>0</v>
      </c>
      <c r="AL182" s="753">
        <f t="shared" si="143"/>
        <v>0</v>
      </c>
      <c r="AM182" s="753">
        <f t="shared" si="143"/>
        <v>0</v>
      </c>
      <c r="AN182" s="753">
        <f t="shared" si="143"/>
        <v>0</v>
      </c>
      <c r="AO182" s="753">
        <f t="shared" si="143"/>
        <v>0</v>
      </c>
      <c r="AP182" s="806"/>
      <c r="AQ182" s="753">
        <v>0</v>
      </c>
    </row>
    <row r="183" spans="1:43" ht="24" hidden="1" customHeight="1" x14ac:dyDescent="0.25">
      <c r="A183" s="1488"/>
      <c r="B183" s="42" t="s">
        <v>15</v>
      </c>
      <c r="C183" s="334"/>
      <c r="D183" s="334"/>
      <c r="E183" s="334"/>
      <c r="F183" s="313"/>
      <c r="G183" s="335"/>
      <c r="H183" s="336"/>
      <c r="I183" s="1328"/>
      <c r="J183" s="639"/>
      <c r="K183" s="649"/>
      <c r="L183" s="72">
        <v>8790.08</v>
      </c>
      <c r="M183" s="83">
        <v>0</v>
      </c>
      <c r="N183" s="83">
        <v>612.4</v>
      </c>
      <c r="O183" s="83">
        <v>7188.28</v>
      </c>
      <c r="P183" s="83">
        <v>8177.68</v>
      </c>
      <c r="Q183" s="83">
        <f>Q184</f>
        <v>2205.3380000000002</v>
      </c>
      <c r="R183" s="83">
        <f t="shared" si="143"/>
        <v>0</v>
      </c>
      <c r="S183" s="83">
        <f t="shared" si="143"/>
        <v>0</v>
      </c>
      <c r="T183" s="83">
        <f t="shared" si="143"/>
        <v>0</v>
      </c>
      <c r="U183" s="83">
        <f t="shared" si="143"/>
        <v>2205.3380000000002</v>
      </c>
      <c r="V183" s="83">
        <f t="shared" si="143"/>
        <v>0</v>
      </c>
      <c r="W183" s="83">
        <f t="shared" si="143"/>
        <v>0</v>
      </c>
      <c r="X183" s="83">
        <f t="shared" si="143"/>
        <v>0</v>
      </c>
      <c r="Y183" s="83">
        <f t="shared" si="143"/>
        <v>0</v>
      </c>
      <c r="Z183" s="259"/>
      <c r="AA183" s="83">
        <f t="shared" si="143"/>
        <v>2205.337</v>
      </c>
      <c r="AB183" s="83">
        <f t="shared" si="143"/>
        <v>2205.337</v>
      </c>
      <c r="AC183" s="83">
        <f t="shared" si="143"/>
        <v>0</v>
      </c>
      <c r="AD183" s="83">
        <f>AD184</f>
        <v>0</v>
      </c>
      <c r="AE183" s="83">
        <f>AE184</f>
        <v>0</v>
      </c>
      <c r="AF183" s="83">
        <f t="shared" si="143"/>
        <v>0</v>
      </c>
      <c r="AG183" s="83">
        <f t="shared" si="143"/>
        <v>0</v>
      </c>
      <c r="AH183" s="83">
        <v>0</v>
      </c>
      <c r="AI183" s="83">
        <v>0</v>
      </c>
      <c r="AJ183" s="83">
        <v>0</v>
      </c>
      <c r="AK183" s="83">
        <v>0</v>
      </c>
      <c r="AL183" s="83">
        <v>0</v>
      </c>
      <c r="AM183" s="83">
        <v>0</v>
      </c>
      <c r="AN183" s="83">
        <v>0</v>
      </c>
      <c r="AO183" s="83">
        <v>0</v>
      </c>
      <c r="AP183" s="409"/>
      <c r="AQ183" s="259"/>
    </row>
    <row r="184" spans="1:43" s="266" customFormat="1" ht="27" hidden="1" customHeight="1" x14ac:dyDescent="0.25">
      <c r="A184" s="366"/>
      <c r="B184" s="252" t="s">
        <v>302</v>
      </c>
      <c r="C184" s="253"/>
      <c r="D184" s="253"/>
      <c r="E184" s="253"/>
      <c r="F184" s="363"/>
      <c r="G184" s="255"/>
      <c r="H184" s="256"/>
      <c r="I184" s="367"/>
      <c r="J184" s="533"/>
      <c r="K184" s="534"/>
      <c r="L184" s="258"/>
      <c r="M184" s="259"/>
      <c r="N184" s="259"/>
      <c r="O184" s="259"/>
      <c r="P184" s="259"/>
      <c r="Q184" s="259">
        <f>S184+U184</f>
        <v>2205.3380000000002</v>
      </c>
      <c r="R184" s="259"/>
      <c r="S184" s="259"/>
      <c r="T184" s="259"/>
      <c r="U184" s="259">
        <v>2205.3380000000002</v>
      </c>
      <c r="V184" s="259"/>
      <c r="W184" s="259"/>
      <c r="X184" s="259"/>
      <c r="Y184" s="259"/>
      <c r="Z184" s="259"/>
      <c r="AA184" s="259">
        <f>AB184</f>
        <v>2205.337</v>
      </c>
      <c r="AB184" s="259">
        <v>2205.337</v>
      </c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411"/>
      <c r="AQ184" s="259"/>
    </row>
    <row r="185" spans="1:43" s="327" customFormat="1" ht="43.5" customHeight="1" x14ac:dyDescent="0.25">
      <c r="A185" s="1398" t="s">
        <v>171</v>
      </c>
      <c r="B185" s="772" t="s">
        <v>172</v>
      </c>
      <c r="C185" s="809"/>
      <c r="D185" s="809"/>
      <c r="E185" s="809"/>
      <c r="F185" s="312"/>
      <c r="G185" s="775"/>
      <c r="H185" s="810"/>
      <c r="I185" s="1326" t="s">
        <v>19</v>
      </c>
      <c r="J185" s="283"/>
      <c r="K185" s="811"/>
      <c r="L185" s="753">
        <f>L186+L192</f>
        <v>204849.53</v>
      </c>
      <c r="M185" s="753">
        <f>M186+M192</f>
        <v>195485</v>
      </c>
      <c r="N185" s="753">
        <f>N186+N192</f>
        <v>203676.84</v>
      </c>
      <c r="O185" s="753">
        <f t="shared" ref="O185:AO185" si="144">O186</f>
        <v>1116.69</v>
      </c>
      <c r="P185" s="753">
        <f>P186+P192</f>
        <v>0</v>
      </c>
      <c r="Q185" s="753">
        <f t="shared" si="144"/>
        <v>0</v>
      </c>
      <c r="R185" s="753">
        <f t="shared" si="144"/>
        <v>0</v>
      </c>
      <c r="S185" s="753">
        <f t="shared" si="144"/>
        <v>3000</v>
      </c>
      <c r="T185" s="753">
        <f t="shared" si="144"/>
        <v>0</v>
      </c>
      <c r="U185" s="753">
        <f t="shared" si="144"/>
        <v>0</v>
      </c>
      <c r="V185" s="753">
        <f t="shared" si="144"/>
        <v>0</v>
      </c>
      <c r="W185" s="753">
        <f t="shared" si="144"/>
        <v>0</v>
      </c>
      <c r="X185" s="753">
        <f t="shared" si="144"/>
        <v>0</v>
      </c>
      <c r="Y185" s="753">
        <f t="shared" si="144"/>
        <v>0</v>
      </c>
      <c r="Z185" s="812">
        <v>0</v>
      </c>
      <c r="AA185" s="753">
        <f t="shared" si="144"/>
        <v>0</v>
      </c>
      <c r="AB185" s="753">
        <f t="shared" si="144"/>
        <v>0</v>
      </c>
      <c r="AC185" s="753">
        <f t="shared" si="144"/>
        <v>0</v>
      </c>
      <c r="AD185" s="753">
        <f t="shared" si="144"/>
        <v>0</v>
      </c>
      <c r="AE185" s="753">
        <f t="shared" si="144"/>
        <v>0</v>
      </c>
      <c r="AF185" s="753">
        <f t="shared" si="144"/>
        <v>0</v>
      </c>
      <c r="AG185" s="753">
        <f t="shared" si="144"/>
        <v>0</v>
      </c>
      <c r="AH185" s="753">
        <f t="shared" si="144"/>
        <v>0</v>
      </c>
      <c r="AI185" s="753">
        <f t="shared" si="144"/>
        <v>0</v>
      </c>
      <c r="AJ185" s="753">
        <f t="shared" si="144"/>
        <v>0</v>
      </c>
      <c r="AK185" s="753">
        <f t="shared" si="144"/>
        <v>0</v>
      </c>
      <c r="AL185" s="753">
        <f t="shared" si="144"/>
        <v>0</v>
      </c>
      <c r="AM185" s="753">
        <f t="shared" si="144"/>
        <v>0</v>
      </c>
      <c r="AN185" s="753">
        <f t="shared" si="144"/>
        <v>0</v>
      </c>
      <c r="AO185" s="753">
        <f t="shared" si="144"/>
        <v>0</v>
      </c>
      <c r="AP185" s="813" t="s">
        <v>295</v>
      </c>
      <c r="AQ185" s="812">
        <v>0</v>
      </c>
    </row>
    <row r="186" spans="1:43" x14ac:dyDescent="0.25">
      <c r="A186" s="1488"/>
      <c r="B186" s="42" t="s">
        <v>15</v>
      </c>
      <c r="C186" s="334"/>
      <c r="D186" s="334"/>
      <c r="E186" s="334"/>
      <c r="F186" s="313"/>
      <c r="G186" s="335"/>
      <c r="H186" s="336"/>
      <c r="I186" s="1328"/>
      <c r="J186" s="639"/>
      <c r="K186" s="649"/>
      <c r="L186" s="72">
        <v>9364.5300000000007</v>
      </c>
      <c r="M186" s="83">
        <v>0</v>
      </c>
      <c r="N186" s="83">
        <v>8191.84</v>
      </c>
      <c r="O186" s="83">
        <v>1116.69</v>
      </c>
      <c r="P186" s="83">
        <v>0</v>
      </c>
      <c r="Q186" s="83">
        <v>0</v>
      </c>
      <c r="R186" s="83">
        <f>P186</f>
        <v>0</v>
      </c>
      <c r="S186" s="83">
        <f>SUM(S187:S191)</f>
        <v>3000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259"/>
      <c r="AA186" s="83">
        <f>SUM(AA187:AA191)</f>
        <v>0</v>
      </c>
      <c r="AB186" s="83">
        <f t="shared" ref="AB186:AJ186" si="145">SUM(AB187:AB189)</f>
        <v>0</v>
      </c>
      <c r="AC186" s="83">
        <f t="shared" si="145"/>
        <v>0</v>
      </c>
      <c r="AD186" s="83">
        <f t="shared" si="145"/>
        <v>0</v>
      </c>
      <c r="AE186" s="83">
        <f>SUM(AE187:AE191)</f>
        <v>0</v>
      </c>
      <c r="AF186" s="83">
        <f t="shared" si="145"/>
        <v>0</v>
      </c>
      <c r="AG186" s="83">
        <f t="shared" si="145"/>
        <v>0</v>
      </c>
      <c r="AH186" s="83">
        <f t="shared" si="145"/>
        <v>0</v>
      </c>
      <c r="AI186" s="83">
        <f t="shared" si="145"/>
        <v>0</v>
      </c>
      <c r="AJ186" s="83">
        <f t="shared" si="145"/>
        <v>0</v>
      </c>
      <c r="AK186" s="83">
        <v>0</v>
      </c>
      <c r="AL186" s="83">
        <v>0</v>
      </c>
      <c r="AM186" s="83">
        <v>0</v>
      </c>
      <c r="AN186" s="83">
        <v>0</v>
      </c>
      <c r="AO186" s="83">
        <v>0</v>
      </c>
      <c r="AP186" s="409"/>
      <c r="AQ186" s="259"/>
    </row>
    <row r="187" spans="1:43" s="266" customFormat="1" ht="15.75" hidden="1" x14ac:dyDescent="0.25">
      <c r="A187" s="324"/>
      <c r="B187" s="252" t="s">
        <v>233</v>
      </c>
      <c r="C187" s="253"/>
      <c r="D187" s="253"/>
      <c r="E187" s="253"/>
      <c r="F187" s="363"/>
      <c r="G187" s="255"/>
      <c r="H187" s="256"/>
      <c r="I187" s="368"/>
      <c r="J187" s="533"/>
      <c r="K187" s="534"/>
      <c r="L187" s="258"/>
      <c r="M187" s="259"/>
      <c r="N187" s="259"/>
      <c r="O187" s="259"/>
      <c r="P187" s="83"/>
      <c r="Q187" s="259">
        <f>Y187</f>
        <v>0</v>
      </c>
      <c r="R187" s="259"/>
      <c r="S187" s="259"/>
      <c r="T187" s="259"/>
      <c r="U187" s="259"/>
      <c r="V187" s="259"/>
      <c r="W187" s="259"/>
      <c r="X187" s="259">
        <f>Y187</f>
        <v>0</v>
      </c>
      <c r="Y187" s="83"/>
      <c r="Z187" s="259"/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/>
      <c r="AM187" s="259"/>
      <c r="AN187" s="259"/>
      <c r="AO187" s="259"/>
      <c r="AP187" s="411"/>
      <c r="AQ187" s="259"/>
    </row>
    <row r="188" spans="1:43" s="266" customFormat="1" ht="15.75" hidden="1" x14ac:dyDescent="0.25">
      <c r="A188" s="324"/>
      <c r="B188" s="252" t="s">
        <v>262</v>
      </c>
      <c r="C188" s="253"/>
      <c r="D188" s="253"/>
      <c r="E188" s="253"/>
      <c r="F188" s="363"/>
      <c r="G188" s="255"/>
      <c r="H188" s="256"/>
      <c r="I188" s="368"/>
      <c r="J188" s="533"/>
      <c r="K188" s="534"/>
      <c r="L188" s="258"/>
      <c r="M188" s="259"/>
      <c r="N188" s="259"/>
      <c r="O188" s="259"/>
      <c r="P188" s="259"/>
      <c r="Q188" s="259">
        <f>S188+U188+W188</f>
        <v>3000</v>
      </c>
      <c r="R188" s="259">
        <f>S188</f>
        <v>3000</v>
      </c>
      <c r="S188" s="259">
        <v>3000</v>
      </c>
      <c r="T188" s="259">
        <f>U188</f>
        <v>0</v>
      </c>
      <c r="U188" s="259">
        <v>0</v>
      </c>
      <c r="V188" s="259"/>
      <c r="W188" s="259">
        <v>0</v>
      </c>
      <c r="X188" s="259"/>
      <c r="Y188" s="259"/>
      <c r="Z188" s="259"/>
      <c r="AA188" s="259">
        <f>SUM(AB188:AC188)</f>
        <v>0</v>
      </c>
      <c r="AB188" s="259"/>
      <c r="AC188" s="259">
        <v>0</v>
      </c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411"/>
      <c r="AQ188" s="259"/>
    </row>
    <row r="189" spans="1:43" s="266" customFormat="1" ht="15.75" hidden="1" x14ac:dyDescent="0.25">
      <c r="A189" s="324"/>
      <c r="B189" s="252" t="s">
        <v>263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259"/>
      <c r="Q189" s="259">
        <v>0</v>
      </c>
      <c r="R189" s="259">
        <v>0</v>
      </c>
      <c r="S189" s="259">
        <v>0</v>
      </c>
      <c r="T189" s="259">
        <v>0</v>
      </c>
      <c r="U189" s="259">
        <v>0</v>
      </c>
      <c r="V189" s="259"/>
      <c r="W189" s="259"/>
      <c r="X189" s="259"/>
      <c r="Y189" s="259"/>
      <c r="Z189" s="259"/>
      <c r="AA189" s="259">
        <f>SUM(AB189:AC189)</f>
        <v>0</v>
      </c>
      <c r="AB189" s="259"/>
      <c r="AC189" s="259">
        <v>0</v>
      </c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292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Y190</f>
        <v>0</v>
      </c>
      <c r="R190" s="259"/>
      <c r="S190" s="259"/>
      <c r="T190" s="259"/>
      <c r="U190" s="259"/>
      <c r="V190" s="259"/>
      <c r="W190" s="259"/>
      <c r="X190" s="259">
        <f>Y190</f>
        <v>0</v>
      </c>
      <c r="Y190" s="259">
        <v>0</v>
      </c>
      <c r="Z190" s="259"/>
      <c r="AA190" s="259">
        <f>SUM(AB190:AE190)</f>
        <v>0</v>
      </c>
      <c r="AB190" s="259"/>
      <c r="AC190" s="259"/>
      <c r="AD190" s="259"/>
      <c r="AE190" s="259">
        <v>0</v>
      </c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293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f>Y191</f>
        <v>0</v>
      </c>
      <c r="R191" s="259"/>
      <c r="S191" s="259"/>
      <c r="T191" s="259"/>
      <c r="U191" s="259"/>
      <c r="V191" s="259"/>
      <c r="W191" s="259"/>
      <c r="X191" s="259">
        <f>Y191</f>
        <v>0</v>
      </c>
      <c r="Y191" s="259">
        <v>0</v>
      </c>
      <c r="Z191" s="259"/>
      <c r="AA191" s="259">
        <f>SUM(AB191:AE191)</f>
        <v>0</v>
      </c>
      <c r="AB191" s="259"/>
      <c r="AC191" s="259"/>
      <c r="AD191" s="259"/>
      <c r="AE191" s="259">
        <v>0</v>
      </c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ht="17.25" customHeight="1" x14ac:dyDescent="0.25">
      <c r="A192" s="592"/>
      <c r="B192" s="42" t="s">
        <v>32</v>
      </c>
      <c r="C192" s="334"/>
      <c r="D192" s="334"/>
      <c r="E192" s="334"/>
      <c r="F192" s="313"/>
      <c r="G192" s="335"/>
      <c r="H192" s="336"/>
      <c r="I192" s="594" t="s">
        <v>10</v>
      </c>
      <c r="J192" s="639"/>
      <c r="K192" s="649"/>
      <c r="L192" s="72">
        <v>195485</v>
      </c>
      <c r="M192" s="72">
        <v>195485</v>
      </c>
      <c r="N192" s="72">
        <v>195485</v>
      </c>
      <c r="O192" s="72">
        <v>195485</v>
      </c>
      <c r="P192" s="72">
        <v>0</v>
      </c>
      <c r="Q192" s="83"/>
      <c r="R192" s="83"/>
      <c r="S192" s="83"/>
      <c r="T192" s="83"/>
      <c r="U192" s="83"/>
      <c r="V192" s="83"/>
      <c r="W192" s="83"/>
      <c r="X192" s="83"/>
      <c r="Y192" s="83"/>
      <c r="Z192" s="259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409"/>
      <c r="AQ192" s="259"/>
    </row>
    <row r="193" spans="1:43" s="327" customFormat="1" ht="25.5" x14ac:dyDescent="0.25">
      <c r="A193" s="814"/>
      <c r="B193" s="772" t="s">
        <v>409</v>
      </c>
      <c r="C193" s="809"/>
      <c r="D193" s="809"/>
      <c r="E193" s="809"/>
      <c r="F193" s="312"/>
      <c r="G193" s="775"/>
      <c r="H193" s="810"/>
      <c r="I193" s="815"/>
      <c r="J193" s="283"/>
      <c r="K193" s="811"/>
      <c r="L193" s="753"/>
      <c r="M193" s="753"/>
      <c r="N193" s="753"/>
      <c r="O193" s="753"/>
      <c r="P193" s="753">
        <f>P194+P195</f>
        <v>12759.949999999999</v>
      </c>
      <c r="Q193" s="816">
        <v>0</v>
      </c>
      <c r="R193" s="816"/>
      <c r="S193" s="816"/>
      <c r="T193" s="816"/>
      <c r="U193" s="816"/>
      <c r="V193" s="816"/>
      <c r="W193" s="816"/>
      <c r="X193" s="816"/>
      <c r="Y193" s="816"/>
      <c r="Z193" s="817"/>
      <c r="AA193" s="816">
        <v>0</v>
      </c>
      <c r="AB193" s="816"/>
      <c r="AC193" s="816"/>
      <c r="AD193" s="816"/>
      <c r="AE193" s="816"/>
      <c r="AF193" s="816"/>
      <c r="AG193" s="816"/>
      <c r="AH193" s="816"/>
      <c r="AI193" s="816"/>
      <c r="AJ193" s="816"/>
      <c r="AK193" s="816"/>
      <c r="AL193" s="816"/>
      <c r="AM193" s="816"/>
      <c r="AN193" s="816"/>
      <c r="AO193" s="816"/>
      <c r="AP193" s="818"/>
      <c r="AQ193" s="817"/>
    </row>
    <row r="194" spans="1:43" ht="15.75" x14ac:dyDescent="0.25">
      <c r="A194" s="747"/>
      <c r="B194" s="42" t="s">
        <v>39</v>
      </c>
      <c r="C194" s="334"/>
      <c r="D194" s="334"/>
      <c r="E194" s="334"/>
      <c r="F194" s="313"/>
      <c r="G194" s="335"/>
      <c r="H194" s="336"/>
      <c r="I194" s="750"/>
      <c r="J194" s="767"/>
      <c r="K194" s="649"/>
      <c r="L194" s="760"/>
      <c r="M194" s="760"/>
      <c r="N194" s="760"/>
      <c r="O194" s="760"/>
      <c r="P194" s="760">
        <v>1652.72</v>
      </c>
      <c r="Q194" s="83">
        <v>0</v>
      </c>
      <c r="R194" s="83"/>
      <c r="S194" s="83"/>
      <c r="T194" s="83"/>
      <c r="U194" s="83"/>
      <c r="V194" s="83"/>
      <c r="W194" s="83"/>
      <c r="X194" s="83"/>
      <c r="Y194" s="83"/>
      <c r="Z194" s="259"/>
      <c r="AA194" s="83">
        <v>0</v>
      </c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ht="15.75" x14ac:dyDescent="0.25">
      <c r="A195" s="747"/>
      <c r="B195" s="42" t="s">
        <v>32</v>
      </c>
      <c r="C195" s="334"/>
      <c r="D195" s="334"/>
      <c r="E195" s="334"/>
      <c r="F195" s="313"/>
      <c r="G195" s="335"/>
      <c r="H195" s="336"/>
      <c r="I195" s="743"/>
      <c r="J195" s="767"/>
      <c r="K195" s="649"/>
      <c r="L195" s="760"/>
      <c r="M195" s="83"/>
      <c r="N195" s="83"/>
      <c r="O195" s="83"/>
      <c r="P195" s="83">
        <v>11107.23</v>
      </c>
      <c r="Q195" s="83">
        <v>0</v>
      </c>
      <c r="R195" s="83"/>
      <c r="S195" s="83"/>
      <c r="T195" s="83"/>
      <c r="U195" s="83"/>
      <c r="V195" s="83"/>
      <c r="W195" s="83"/>
      <c r="X195" s="83"/>
      <c r="Y195" s="83"/>
      <c r="Z195" s="83"/>
      <c r="AA195" s="83">
        <v>0</v>
      </c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409"/>
      <c r="AQ195" s="83"/>
    </row>
    <row r="196" spans="1:43" s="327" customFormat="1" ht="15.75" x14ac:dyDescent="0.25">
      <c r="A196" s="814"/>
      <c r="B196" s="772" t="s">
        <v>410</v>
      </c>
      <c r="C196" s="809"/>
      <c r="D196" s="809"/>
      <c r="E196" s="809"/>
      <c r="F196" s="312"/>
      <c r="G196" s="775"/>
      <c r="H196" s="810"/>
      <c r="I196" s="815"/>
      <c r="J196" s="283"/>
      <c r="K196" s="811"/>
      <c r="L196" s="753"/>
      <c r="M196" s="753"/>
      <c r="N196" s="753"/>
      <c r="O196" s="753"/>
      <c r="P196" s="862">
        <f>P197+P198</f>
        <v>21627.71</v>
      </c>
      <c r="Q196" s="816">
        <v>0</v>
      </c>
      <c r="R196" s="816"/>
      <c r="S196" s="816"/>
      <c r="T196" s="816"/>
      <c r="U196" s="816"/>
      <c r="V196" s="816"/>
      <c r="W196" s="816"/>
      <c r="X196" s="816"/>
      <c r="Y196" s="816"/>
      <c r="Z196" s="817"/>
      <c r="AA196" s="816">
        <v>0</v>
      </c>
      <c r="AB196" s="816"/>
      <c r="AC196" s="816"/>
      <c r="AD196" s="816"/>
      <c r="AE196" s="816"/>
      <c r="AF196" s="816"/>
      <c r="AG196" s="816"/>
      <c r="AH196" s="816"/>
      <c r="AI196" s="816"/>
      <c r="AJ196" s="816"/>
      <c r="AK196" s="816"/>
      <c r="AL196" s="816"/>
      <c r="AM196" s="816"/>
      <c r="AN196" s="816"/>
      <c r="AO196" s="816"/>
      <c r="AP196" s="818"/>
      <c r="AQ196" s="817"/>
    </row>
    <row r="197" spans="1:43" ht="15.75" x14ac:dyDescent="0.25">
      <c r="A197" s="747"/>
      <c r="B197" s="42" t="s">
        <v>39</v>
      </c>
      <c r="C197" s="334"/>
      <c r="D197" s="334"/>
      <c r="E197" s="334"/>
      <c r="F197" s="313"/>
      <c r="G197" s="335"/>
      <c r="H197" s="336"/>
      <c r="I197" s="750"/>
      <c r="J197" s="767"/>
      <c r="K197" s="649"/>
      <c r="L197" s="760"/>
      <c r="M197" s="760"/>
      <c r="N197" s="760"/>
      <c r="O197" s="760"/>
      <c r="P197" s="760">
        <v>1821.34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259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259"/>
    </row>
    <row r="198" spans="1:43" ht="15.75" x14ac:dyDescent="0.25">
      <c r="A198" s="747"/>
      <c r="B198" s="42" t="s">
        <v>16</v>
      </c>
      <c r="C198" s="334"/>
      <c r="D198" s="334"/>
      <c r="E198" s="334"/>
      <c r="F198" s="313"/>
      <c r="G198" s="335"/>
      <c r="H198" s="336"/>
      <c r="I198" s="743"/>
      <c r="J198" s="767"/>
      <c r="K198" s="649"/>
      <c r="L198" s="760"/>
      <c r="M198" s="83"/>
      <c r="N198" s="83"/>
      <c r="O198" s="83"/>
      <c r="P198" s="83">
        <v>19806.37</v>
      </c>
      <c r="Q198" s="83">
        <v>0</v>
      </c>
      <c r="R198" s="83"/>
      <c r="S198" s="83"/>
      <c r="T198" s="83"/>
      <c r="U198" s="83"/>
      <c r="V198" s="83"/>
      <c r="W198" s="83"/>
      <c r="X198" s="83"/>
      <c r="Y198" s="83"/>
      <c r="Z198" s="83"/>
      <c r="AA198" s="83">
        <v>0</v>
      </c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409"/>
      <c r="AQ198" s="83"/>
    </row>
    <row r="199" spans="1:43" s="327" customFormat="1" ht="25.5" x14ac:dyDescent="0.25">
      <c r="A199" s="814"/>
      <c r="B199" s="772" t="s">
        <v>411</v>
      </c>
      <c r="C199" s="809"/>
      <c r="D199" s="809"/>
      <c r="E199" s="809"/>
      <c r="F199" s="312"/>
      <c r="G199" s="775"/>
      <c r="H199" s="810"/>
      <c r="I199" s="815"/>
      <c r="J199" s="283"/>
      <c r="K199" s="811"/>
      <c r="L199" s="753"/>
      <c r="M199" s="753"/>
      <c r="N199" s="753"/>
      <c r="O199" s="753"/>
      <c r="P199" s="862">
        <f>P200+P201</f>
        <v>12759.59</v>
      </c>
      <c r="Q199" s="816">
        <v>0</v>
      </c>
      <c r="R199" s="816"/>
      <c r="S199" s="816"/>
      <c r="T199" s="816"/>
      <c r="U199" s="816"/>
      <c r="V199" s="816"/>
      <c r="W199" s="816"/>
      <c r="X199" s="816"/>
      <c r="Y199" s="816"/>
      <c r="Z199" s="817"/>
      <c r="AA199" s="816">
        <v>0</v>
      </c>
      <c r="AB199" s="816"/>
      <c r="AC199" s="816"/>
      <c r="AD199" s="816"/>
      <c r="AE199" s="816"/>
      <c r="AF199" s="816"/>
      <c r="AG199" s="816"/>
      <c r="AH199" s="816"/>
      <c r="AI199" s="816"/>
      <c r="AJ199" s="816"/>
      <c r="AK199" s="816"/>
      <c r="AL199" s="816"/>
      <c r="AM199" s="816"/>
      <c r="AN199" s="816"/>
      <c r="AO199" s="816"/>
      <c r="AP199" s="818"/>
      <c r="AQ199" s="817"/>
    </row>
    <row r="200" spans="1:43" ht="15.75" x14ac:dyDescent="0.25">
      <c r="A200" s="747"/>
      <c r="B200" s="42" t="s">
        <v>39</v>
      </c>
      <c r="C200" s="334"/>
      <c r="D200" s="334"/>
      <c r="E200" s="334"/>
      <c r="F200" s="313"/>
      <c r="G200" s="335"/>
      <c r="H200" s="336"/>
      <c r="I200" s="750"/>
      <c r="J200" s="767"/>
      <c r="K200" s="649"/>
      <c r="L200" s="760"/>
      <c r="M200" s="760"/>
      <c r="N200" s="760"/>
      <c r="O200" s="760"/>
      <c r="P200" s="863">
        <v>1652.36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259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259"/>
    </row>
    <row r="201" spans="1:43" ht="15.75" x14ac:dyDescent="0.25">
      <c r="A201" s="747"/>
      <c r="B201" s="42" t="s">
        <v>32</v>
      </c>
      <c r="C201" s="334"/>
      <c r="D201" s="334"/>
      <c r="E201" s="334"/>
      <c r="F201" s="313"/>
      <c r="G201" s="335"/>
      <c r="H201" s="336"/>
      <c r="I201" s="743"/>
      <c r="J201" s="767"/>
      <c r="K201" s="649"/>
      <c r="L201" s="760"/>
      <c r="M201" s="83"/>
      <c r="N201" s="83"/>
      <c r="O201" s="83"/>
      <c r="P201" s="83">
        <v>11107.23</v>
      </c>
      <c r="Q201" s="83">
        <v>0</v>
      </c>
      <c r="R201" s="83"/>
      <c r="S201" s="83"/>
      <c r="T201" s="83"/>
      <c r="U201" s="83"/>
      <c r="V201" s="83"/>
      <c r="W201" s="83"/>
      <c r="X201" s="83"/>
      <c r="Y201" s="83"/>
      <c r="Z201" s="83"/>
      <c r="AA201" s="83">
        <v>0</v>
      </c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409"/>
      <c r="AQ201" s="83"/>
    </row>
    <row r="202" spans="1:43" ht="43.5" hidden="1" customHeight="1" x14ac:dyDescent="0.25">
      <c r="A202" s="1535" t="s">
        <v>24</v>
      </c>
      <c r="B202" s="1613" t="s">
        <v>206</v>
      </c>
      <c r="C202" s="1614"/>
      <c r="D202" s="1614"/>
      <c r="E202" s="1614"/>
      <c r="F202" s="1614"/>
      <c r="G202" s="1614"/>
      <c r="H202" s="1615"/>
      <c r="I202" s="23" t="s">
        <v>19</v>
      </c>
      <c r="J202" s="639">
        <v>0</v>
      </c>
      <c r="K202" s="639">
        <v>0</v>
      </c>
      <c r="L202" s="47">
        <v>0</v>
      </c>
      <c r="M202" s="47">
        <v>0</v>
      </c>
      <c r="N202" s="47">
        <v>0</v>
      </c>
      <c r="O202" s="47">
        <v>1</v>
      </c>
      <c r="P202" s="47">
        <v>0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96"/>
      <c r="AA202" s="47">
        <v>0</v>
      </c>
      <c r="AB202" s="47">
        <v>0</v>
      </c>
      <c r="AC202" s="47">
        <v>0</v>
      </c>
      <c r="AD202" s="47">
        <v>0</v>
      </c>
      <c r="AE202" s="47">
        <v>0</v>
      </c>
      <c r="AF202" s="47">
        <v>0</v>
      </c>
      <c r="AG202" s="47">
        <v>0</v>
      </c>
      <c r="AH202" s="47">
        <v>0</v>
      </c>
      <c r="AI202" s="47">
        <v>0</v>
      </c>
      <c r="AJ202" s="47">
        <v>0</v>
      </c>
      <c r="AK202" s="47">
        <v>0</v>
      </c>
      <c r="AL202" s="47">
        <v>0</v>
      </c>
      <c r="AM202" s="47">
        <v>0</v>
      </c>
      <c r="AN202" s="47">
        <v>0</v>
      </c>
      <c r="AO202" s="47">
        <v>0</v>
      </c>
      <c r="AP202" s="397"/>
      <c r="AQ202" s="96"/>
    </row>
    <row r="203" spans="1:43" ht="41.25" hidden="1" customHeight="1" x14ac:dyDescent="0.25">
      <c r="A203" s="1535"/>
      <c r="B203" s="1616"/>
      <c r="C203" s="1617"/>
      <c r="D203" s="1617"/>
      <c r="E203" s="1617"/>
      <c r="F203" s="1617"/>
      <c r="G203" s="1617"/>
      <c r="H203" s="1618"/>
      <c r="I203" s="23" t="s">
        <v>20</v>
      </c>
      <c r="J203" s="639">
        <f>J206</f>
        <v>6379.79</v>
      </c>
      <c r="K203" s="639">
        <f>K206</f>
        <v>0</v>
      </c>
      <c r="L203" s="47">
        <f t="shared" ref="L203:Q203" si="146">L206+L211+L217</f>
        <v>13097.62</v>
      </c>
      <c r="M203" s="47">
        <f t="shared" si="146"/>
        <v>4269.0300000000007</v>
      </c>
      <c r="N203" s="47">
        <f t="shared" si="146"/>
        <v>5370.84</v>
      </c>
      <c r="O203" s="47">
        <f t="shared" si="146"/>
        <v>3372.5</v>
      </c>
      <c r="P203" s="47">
        <f t="shared" si="146"/>
        <v>78556.570000000007</v>
      </c>
      <c r="Q203" s="47">
        <f t="shared" si="146"/>
        <v>0</v>
      </c>
      <c r="R203" s="47">
        <f t="shared" ref="R203:AK203" si="147">R206+R211+R217</f>
        <v>0</v>
      </c>
      <c r="S203" s="47">
        <f t="shared" si="147"/>
        <v>0</v>
      </c>
      <c r="T203" s="47">
        <f t="shared" si="147"/>
        <v>753.46</v>
      </c>
      <c r="U203" s="47">
        <f t="shared" si="147"/>
        <v>753.46</v>
      </c>
      <c r="V203" s="47">
        <f t="shared" si="147"/>
        <v>4173.82</v>
      </c>
      <c r="W203" s="47">
        <f t="shared" si="147"/>
        <v>4173.82</v>
      </c>
      <c r="X203" s="47">
        <f t="shared" si="147"/>
        <v>0</v>
      </c>
      <c r="Y203" s="47">
        <f t="shared" si="147"/>
        <v>0</v>
      </c>
      <c r="Z203" s="96"/>
      <c r="AA203" s="47">
        <f t="shared" si="147"/>
        <v>0</v>
      </c>
      <c r="AB203" s="47">
        <f t="shared" si="147"/>
        <v>0</v>
      </c>
      <c r="AC203" s="47">
        <f t="shared" si="147"/>
        <v>753.46</v>
      </c>
      <c r="AD203" s="47">
        <f t="shared" si="147"/>
        <v>4900</v>
      </c>
      <c r="AE203" s="47">
        <f t="shared" si="147"/>
        <v>0</v>
      </c>
      <c r="AF203" s="47">
        <f t="shared" si="147"/>
        <v>0</v>
      </c>
      <c r="AG203" s="47">
        <f t="shared" si="147"/>
        <v>0</v>
      </c>
      <c r="AH203" s="47">
        <f t="shared" si="147"/>
        <v>0</v>
      </c>
      <c r="AI203" s="47">
        <f t="shared" si="147"/>
        <v>0</v>
      </c>
      <c r="AJ203" s="47">
        <f t="shared" si="147"/>
        <v>0</v>
      </c>
      <c r="AK203" s="47">
        <f t="shared" si="147"/>
        <v>78556.570000000007</v>
      </c>
      <c r="AL203" s="47">
        <f>AL206</f>
        <v>78556.570000000007</v>
      </c>
      <c r="AM203" s="47">
        <f>AM206</f>
        <v>0</v>
      </c>
      <c r="AN203" s="47">
        <f>AN206</f>
        <v>0</v>
      </c>
      <c r="AO203" s="47">
        <f>AO206</f>
        <v>0</v>
      </c>
      <c r="AP203" s="397"/>
      <c r="AQ203" s="96"/>
    </row>
    <row r="204" spans="1:43" ht="38.25" hidden="1" customHeight="1" x14ac:dyDescent="0.25">
      <c r="A204" s="1535"/>
      <c r="B204" s="1616"/>
      <c r="C204" s="1617"/>
      <c r="D204" s="1617"/>
      <c r="E204" s="1617"/>
      <c r="F204" s="1617"/>
      <c r="G204" s="1617"/>
      <c r="H204" s="1618"/>
      <c r="I204" s="23" t="s">
        <v>10</v>
      </c>
      <c r="J204" s="639">
        <v>0</v>
      </c>
      <c r="K204" s="639">
        <v>0</v>
      </c>
      <c r="L204" s="47">
        <f>L223+L225</f>
        <v>2305.4499999999998</v>
      </c>
      <c r="M204" s="47">
        <f>M223+M225</f>
        <v>1650.1</v>
      </c>
      <c r="N204" s="47">
        <f t="shared" ref="N204:AJ204" si="148">N223+N225</f>
        <v>0</v>
      </c>
      <c r="O204" s="47">
        <f t="shared" si="148"/>
        <v>0</v>
      </c>
      <c r="P204" s="47">
        <f t="shared" si="148"/>
        <v>0</v>
      </c>
      <c r="Q204" s="47">
        <f t="shared" si="148"/>
        <v>99.9</v>
      </c>
      <c r="R204" s="47">
        <f t="shared" si="148"/>
        <v>0</v>
      </c>
      <c r="S204" s="47">
        <f t="shared" si="148"/>
        <v>0</v>
      </c>
      <c r="T204" s="47">
        <f t="shared" si="148"/>
        <v>0</v>
      </c>
      <c r="U204" s="47">
        <f t="shared" si="148"/>
        <v>0</v>
      </c>
      <c r="V204" s="47">
        <f t="shared" si="148"/>
        <v>0</v>
      </c>
      <c r="W204" s="47">
        <f t="shared" si="148"/>
        <v>0</v>
      </c>
      <c r="X204" s="47">
        <f t="shared" si="148"/>
        <v>0</v>
      </c>
      <c r="Y204" s="47">
        <f t="shared" si="148"/>
        <v>0</v>
      </c>
      <c r="Z204" s="96"/>
      <c r="AA204" s="47">
        <f t="shared" si="148"/>
        <v>99.9</v>
      </c>
      <c r="AB204" s="47">
        <f t="shared" si="148"/>
        <v>0</v>
      </c>
      <c r="AC204" s="47">
        <f t="shared" si="148"/>
        <v>0</v>
      </c>
      <c r="AD204" s="47">
        <f t="shared" si="148"/>
        <v>0</v>
      </c>
      <c r="AE204" s="47">
        <f t="shared" si="148"/>
        <v>0</v>
      </c>
      <c r="AF204" s="47">
        <f t="shared" si="148"/>
        <v>0</v>
      </c>
      <c r="AG204" s="47">
        <f t="shared" si="148"/>
        <v>0</v>
      </c>
      <c r="AH204" s="47">
        <f t="shared" si="148"/>
        <v>0</v>
      </c>
      <c r="AI204" s="47">
        <f t="shared" si="148"/>
        <v>0</v>
      </c>
      <c r="AJ204" s="47">
        <f t="shared" si="148"/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25.5" hidden="1" x14ac:dyDescent="0.25">
      <c r="A205" s="1535"/>
      <c r="B205" s="1619"/>
      <c r="C205" s="1620"/>
      <c r="D205" s="1620"/>
      <c r="E205" s="1620"/>
      <c r="F205" s="1620"/>
      <c r="G205" s="1620"/>
      <c r="H205" s="1621"/>
      <c r="I205" s="23" t="s">
        <v>9</v>
      </c>
      <c r="J205" s="639">
        <v>0</v>
      </c>
      <c r="K205" s="639">
        <v>0</v>
      </c>
      <c r="L205" s="47">
        <v>0</v>
      </c>
      <c r="M205" s="47">
        <v>0</v>
      </c>
      <c r="N205" s="47">
        <v>0</v>
      </c>
      <c r="O205" s="47">
        <v>1</v>
      </c>
      <c r="P205" s="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96"/>
      <c r="AA205" s="47">
        <v>0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7">
        <v>0</v>
      </c>
      <c r="AJ205" s="47">
        <v>0</v>
      </c>
      <c r="AK205" s="47">
        <v>0</v>
      </c>
      <c r="AL205" s="47">
        <v>0</v>
      </c>
      <c r="AM205" s="47">
        <v>0</v>
      </c>
      <c r="AN205" s="47">
        <v>0</v>
      </c>
      <c r="AO205" s="47">
        <v>0</v>
      </c>
      <c r="AP205" s="397"/>
      <c r="AQ205" s="96"/>
    </row>
    <row r="206" spans="1:43" s="327" customFormat="1" ht="33" customHeight="1" x14ac:dyDescent="0.25">
      <c r="A206" s="1450" t="s">
        <v>30</v>
      </c>
      <c r="B206" s="780" t="s">
        <v>173</v>
      </c>
      <c r="C206" s="1326">
        <v>300</v>
      </c>
      <c r="D206" s="1326">
        <v>570</v>
      </c>
      <c r="E206" s="1326"/>
      <c r="F206" s="1326"/>
      <c r="G206" s="778"/>
      <c r="H206" s="778"/>
      <c r="I206" s="1463" t="s">
        <v>20</v>
      </c>
      <c r="J206" s="1622">
        <v>6379.79</v>
      </c>
      <c r="K206" s="3">
        <v>0</v>
      </c>
      <c r="L206" s="3">
        <f t="shared" ref="L206:AJ206" si="149">L207+L210</f>
        <v>5597.58</v>
      </c>
      <c r="M206" s="3">
        <f t="shared" si="149"/>
        <v>0</v>
      </c>
      <c r="N206" s="3">
        <f t="shared" si="149"/>
        <v>5370.84</v>
      </c>
      <c r="O206" s="3">
        <f t="shared" si="149"/>
        <v>3372.5</v>
      </c>
      <c r="P206" s="3">
        <f t="shared" si="149"/>
        <v>78556.570000000007</v>
      </c>
      <c r="Q206" s="3">
        <f t="shared" si="149"/>
        <v>0</v>
      </c>
      <c r="R206" s="3">
        <f t="shared" si="149"/>
        <v>0</v>
      </c>
      <c r="S206" s="3">
        <f t="shared" si="149"/>
        <v>0</v>
      </c>
      <c r="T206" s="3">
        <f t="shared" si="149"/>
        <v>753.46</v>
      </c>
      <c r="U206" s="3">
        <f t="shared" si="149"/>
        <v>753.46</v>
      </c>
      <c r="V206" s="3">
        <f t="shared" si="149"/>
        <v>4173.82</v>
      </c>
      <c r="W206" s="3">
        <f t="shared" si="149"/>
        <v>4173.82</v>
      </c>
      <c r="X206" s="3">
        <f t="shared" si="149"/>
        <v>0</v>
      </c>
      <c r="Y206" s="3">
        <f t="shared" si="149"/>
        <v>0</v>
      </c>
      <c r="Z206" s="95">
        <v>0</v>
      </c>
      <c r="AA206" s="3">
        <f t="shared" si="149"/>
        <v>0</v>
      </c>
      <c r="AB206" s="3">
        <f t="shared" si="149"/>
        <v>0</v>
      </c>
      <c r="AC206" s="3">
        <f t="shared" si="149"/>
        <v>753.46</v>
      </c>
      <c r="AD206" s="3">
        <f t="shared" si="149"/>
        <v>4900</v>
      </c>
      <c r="AE206" s="3">
        <f t="shared" si="149"/>
        <v>0</v>
      </c>
      <c r="AF206" s="3">
        <f t="shared" si="149"/>
        <v>0</v>
      </c>
      <c r="AG206" s="3">
        <f t="shared" si="149"/>
        <v>0</v>
      </c>
      <c r="AH206" s="3">
        <f t="shared" si="149"/>
        <v>0</v>
      </c>
      <c r="AI206" s="3">
        <f t="shared" si="149"/>
        <v>0</v>
      </c>
      <c r="AJ206" s="3">
        <f t="shared" si="149"/>
        <v>0</v>
      </c>
      <c r="AK206" s="3">
        <f>P206-Q206</f>
        <v>78556.570000000007</v>
      </c>
      <c r="AL206" s="3">
        <f>AK206</f>
        <v>78556.570000000007</v>
      </c>
      <c r="AM206" s="318">
        <f>ROUND((Q206*100%/P206*100),2)</f>
        <v>0</v>
      </c>
      <c r="AN206" s="3">
        <f>AN207+AN210</f>
        <v>0</v>
      </c>
      <c r="AO206" s="3">
        <f>AO207+AO210</f>
        <v>0</v>
      </c>
      <c r="AP206" s="633" t="s">
        <v>245</v>
      </c>
      <c r="AQ206" s="95">
        <v>0</v>
      </c>
    </row>
    <row r="207" spans="1:43" x14ac:dyDescent="0.25">
      <c r="A207" s="1399"/>
      <c r="B207" s="1" t="s">
        <v>15</v>
      </c>
      <c r="C207" s="1327"/>
      <c r="D207" s="1327"/>
      <c r="E207" s="1327"/>
      <c r="F207" s="1327"/>
      <c r="G207" s="597">
        <v>2019</v>
      </c>
      <c r="H207" s="597">
        <v>2019</v>
      </c>
      <c r="I207" s="1464"/>
      <c r="J207" s="1623"/>
      <c r="K207" s="47"/>
      <c r="L207" s="47">
        <v>5597.58</v>
      </c>
      <c r="M207" s="50">
        <v>0</v>
      </c>
      <c r="N207" s="50">
        <v>5370.84</v>
      </c>
      <c r="O207" s="50">
        <v>0</v>
      </c>
      <c r="P207" s="447">
        <v>89.08</v>
      </c>
      <c r="Q207" s="447">
        <v>0</v>
      </c>
      <c r="R207" s="447">
        <f t="shared" ref="R207:AD207" si="150">SUM(R208:R209)</f>
        <v>0</v>
      </c>
      <c r="S207" s="447">
        <f t="shared" si="150"/>
        <v>0</v>
      </c>
      <c r="T207" s="447">
        <f t="shared" si="150"/>
        <v>753.46</v>
      </c>
      <c r="U207" s="447">
        <f t="shared" si="150"/>
        <v>753.46</v>
      </c>
      <c r="V207" s="447">
        <f t="shared" si="150"/>
        <v>4173.82</v>
      </c>
      <c r="W207" s="447">
        <f t="shared" si="150"/>
        <v>4173.82</v>
      </c>
      <c r="X207" s="447">
        <f t="shared" si="150"/>
        <v>0</v>
      </c>
      <c r="Y207" s="447">
        <f t="shared" si="150"/>
        <v>0</v>
      </c>
      <c r="Z207" s="584"/>
      <c r="AA207" s="447">
        <v>0</v>
      </c>
      <c r="AB207" s="447">
        <f t="shared" si="150"/>
        <v>0</v>
      </c>
      <c r="AC207" s="447">
        <f t="shared" si="150"/>
        <v>753.46</v>
      </c>
      <c r="AD207" s="447">
        <f t="shared" si="150"/>
        <v>4900</v>
      </c>
      <c r="AE207" s="50">
        <f t="shared" ref="AE207:AO207" si="151">SUM(AE209)</f>
        <v>0</v>
      </c>
      <c r="AF207" s="50">
        <f>SUM(AF209)</f>
        <v>0</v>
      </c>
      <c r="AG207" s="50">
        <f>SUM(AG209)</f>
        <v>0</v>
      </c>
      <c r="AH207" s="50">
        <f>SUM(AH209)</f>
        <v>0</v>
      </c>
      <c r="AI207" s="50">
        <f>SUM(AI209)</f>
        <v>0</v>
      </c>
      <c r="AJ207" s="50">
        <f>SUM(AJ209)</f>
        <v>0</v>
      </c>
      <c r="AK207" s="50">
        <f t="shared" si="151"/>
        <v>0</v>
      </c>
      <c r="AL207" s="50">
        <f t="shared" si="151"/>
        <v>0</v>
      </c>
      <c r="AM207" s="50">
        <f t="shared" si="151"/>
        <v>0</v>
      </c>
      <c r="AN207" s="50">
        <f t="shared" si="151"/>
        <v>0</v>
      </c>
      <c r="AO207" s="50">
        <f t="shared" si="151"/>
        <v>0</v>
      </c>
      <c r="AP207" s="412"/>
      <c r="AQ207" s="584"/>
    </row>
    <row r="208" spans="1:43" s="266" customFormat="1" hidden="1" x14ac:dyDescent="0.25">
      <c r="A208" s="1399"/>
      <c r="B208" s="92" t="s">
        <v>322</v>
      </c>
      <c r="C208" s="1327"/>
      <c r="D208" s="1327"/>
      <c r="E208" s="1327"/>
      <c r="F208" s="1327"/>
      <c r="G208" s="104"/>
      <c r="H208" s="104"/>
      <c r="I208" s="1464"/>
      <c r="J208" s="1623"/>
      <c r="K208" s="96"/>
      <c r="L208" s="96"/>
      <c r="M208" s="263"/>
      <c r="N208" s="263"/>
      <c r="O208" s="263"/>
      <c r="P208" s="584"/>
      <c r="Q208" s="584">
        <f>V208</f>
        <v>4173.82</v>
      </c>
      <c r="R208" s="584"/>
      <c r="S208" s="584"/>
      <c r="T208" s="584"/>
      <c r="U208" s="584"/>
      <c r="V208" s="584">
        <f>W208</f>
        <v>4173.82</v>
      </c>
      <c r="W208" s="584">
        <v>4173.82</v>
      </c>
      <c r="X208" s="584"/>
      <c r="Y208" s="584"/>
      <c r="Z208" s="584"/>
      <c r="AA208" s="584">
        <f>AD208</f>
        <v>4900</v>
      </c>
      <c r="AB208" s="584"/>
      <c r="AC208" s="584"/>
      <c r="AD208" s="584">
        <v>4900</v>
      </c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413"/>
      <c r="AQ208" s="584"/>
    </row>
    <row r="209" spans="1:43" s="266" customFormat="1" hidden="1" x14ac:dyDescent="0.25">
      <c r="A209" s="1399"/>
      <c r="B209" s="92" t="s">
        <v>267</v>
      </c>
      <c r="C209" s="1327"/>
      <c r="D209" s="1327"/>
      <c r="E209" s="1327"/>
      <c r="F209" s="1327"/>
      <c r="G209" s="104"/>
      <c r="H209" s="104"/>
      <c r="I209" s="1464"/>
      <c r="J209" s="1623"/>
      <c r="K209" s="96"/>
      <c r="L209" s="96"/>
      <c r="M209" s="263"/>
      <c r="N209" s="263"/>
      <c r="O209" s="263"/>
      <c r="P209" s="263"/>
      <c r="Q209" s="263">
        <f>S209+U209</f>
        <v>753.46</v>
      </c>
      <c r="R209" s="263"/>
      <c r="S209" s="263"/>
      <c r="T209" s="263">
        <f>U209</f>
        <v>753.46</v>
      </c>
      <c r="U209" s="263">
        <f>ROUND((904.153/1.2),2)</f>
        <v>753.46</v>
      </c>
      <c r="V209" s="263"/>
      <c r="W209" s="263"/>
      <c r="X209" s="263"/>
      <c r="Y209" s="263"/>
      <c r="Z209" s="263"/>
      <c r="AA209" s="263">
        <f>AC209</f>
        <v>753.46</v>
      </c>
      <c r="AB209" s="263"/>
      <c r="AC209" s="263">
        <v>753.46</v>
      </c>
      <c r="AD209" s="263"/>
      <c r="AE209" s="263"/>
      <c r="AF209" s="263">
        <f>SUM(AG209:AG209)</f>
        <v>0</v>
      </c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413"/>
      <c r="AQ209" s="263"/>
    </row>
    <row r="210" spans="1:43" ht="15.75" customHeight="1" x14ac:dyDescent="0.25">
      <c r="A210" s="1488"/>
      <c r="B210" s="585" t="s">
        <v>16</v>
      </c>
      <c r="C210" s="1328"/>
      <c r="D210" s="1328"/>
      <c r="E210" s="1328"/>
      <c r="F210" s="1328"/>
      <c r="G210" s="597">
        <v>2021</v>
      </c>
      <c r="H210" s="597">
        <v>2021</v>
      </c>
      <c r="I210" s="1465"/>
      <c r="J210" s="1624"/>
      <c r="K210" s="47"/>
      <c r="L210" s="47">
        <v>0</v>
      </c>
      <c r="M210" s="50">
        <v>0</v>
      </c>
      <c r="N210" s="50">
        <v>0</v>
      </c>
      <c r="O210" s="50">
        <v>3372.5</v>
      </c>
      <c r="P210" s="50">
        <v>78467.490000000005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263"/>
      <c r="AA210" s="50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12"/>
      <c r="AQ210" s="263"/>
    </row>
    <row r="211" spans="1:43" s="327" customFormat="1" ht="42" customHeight="1" x14ac:dyDescent="0.25">
      <c r="A211" s="1649" t="s">
        <v>174</v>
      </c>
      <c r="B211" s="780" t="s">
        <v>175</v>
      </c>
      <c r="C211" s="133"/>
      <c r="D211" s="133"/>
      <c r="E211" s="133"/>
      <c r="F211" s="133"/>
      <c r="G211" s="778"/>
      <c r="H211" s="778"/>
      <c r="I211" s="1651" t="s">
        <v>20</v>
      </c>
      <c r="J211" s="752"/>
      <c r="K211" s="3"/>
      <c r="L211" s="3">
        <f>L212</f>
        <v>3750.02</v>
      </c>
      <c r="M211" s="3">
        <f>M212</f>
        <v>1639</v>
      </c>
      <c r="N211" s="3">
        <f t="shared" ref="N211:AO211" si="152">N212</f>
        <v>0</v>
      </c>
      <c r="O211" s="3">
        <f t="shared" si="152"/>
        <v>0</v>
      </c>
      <c r="P211" s="3">
        <f t="shared" si="152"/>
        <v>0</v>
      </c>
      <c r="Q211" s="3">
        <f t="shared" si="152"/>
        <v>0</v>
      </c>
      <c r="R211" s="3">
        <f t="shared" si="152"/>
        <v>0</v>
      </c>
      <c r="S211" s="3">
        <f t="shared" si="152"/>
        <v>0</v>
      </c>
      <c r="T211" s="3">
        <f t="shared" si="152"/>
        <v>0</v>
      </c>
      <c r="U211" s="3">
        <f t="shared" si="152"/>
        <v>0</v>
      </c>
      <c r="V211" s="3">
        <f t="shared" si="152"/>
        <v>0</v>
      </c>
      <c r="W211" s="3">
        <f t="shared" si="152"/>
        <v>0</v>
      </c>
      <c r="X211" s="3">
        <f t="shared" si="152"/>
        <v>0</v>
      </c>
      <c r="Y211" s="3">
        <f t="shared" si="152"/>
        <v>0</v>
      </c>
      <c r="Z211" s="95">
        <v>0</v>
      </c>
      <c r="AA211" s="3">
        <f t="shared" si="152"/>
        <v>0</v>
      </c>
      <c r="AB211" s="3">
        <f t="shared" si="152"/>
        <v>0</v>
      </c>
      <c r="AC211" s="3">
        <f t="shared" si="152"/>
        <v>0</v>
      </c>
      <c r="AD211" s="3">
        <f t="shared" si="152"/>
        <v>0</v>
      </c>
      <c r="AE211" s="3">
        <f t="shared" si="152"/>
        <v>0</v>
      </c>
      <c r="AF211" s="3">
        <f t="shared" si="152"/>
        <v>0</v>
      </c>
      <c r="AG211" s="3">
        <f t="shared" si="152"/>
        <v>0</v>
      </c>
      <c r="AH211" s="3">
        <f t="shared" si="152"/>
        <v>0</v>
      </c>
      <c r="AI211" s="3">
        <f t="shared" si="152"/>
        <v>0</v>
      </c>
      <c r="AJ211" s="3">
        <f t="shared" si="152"/>
        <v>0</v>
      </c>
      <c r="AK211" s="3">
        <f t="shared" si="152"/>
        <v>0</v>
      </c>
      <c r="AL211" s="3">
        <f t="shared" si="152"/>
        <v>0</v>
      </c>
      <c r="AM211" s="3">
        <f t="shared" si="152"/>
        <v>0</v>
      </c>
      <c r="AN211" s="3">
        <f t="shared" si="152"/>
        <v>0</v>
      </c>
      <c r="AO211" s="3">
        <f t="shared" si="152"/>
        <v>0</v>
      </c>
      <c r="AP211" s="633" t="s">
        <v>256</v>
      </c>
      <c r="AQ211" s="95">
        <v>0</v>
      </c>
    </row>
    <row r="212" spans="1:43" s="327" customFormat="1" ht="15.75" hidden="1" customHeight="1" x14ac:dyDescent="0.25">
      <c r="A212" s="1650"/>
      <c r="B212" s="772" t="s">
        <v>15</v>
      </c>
      <c r="C212" s="133"/>
      <c r="D212" s="133"/>
      <c r="E212" s="133"/>
      <c r="F212" s="133"/>
      <c r="G212" s="312"/>
      <c r="H212" s="742"/>
      <c r="I212" s="1652"/>
      <c r="J212" s="752"/>
      <c r="K212" s="318"/>
      <c r="L212" s="3">
        <v>3750.02</v>
      </c>
      <c r="M212" s="3">
        <v>1639</v>
      </c>
      <c r="N212" s="3">
        <v>0</v>
      </c>
      <c r="O212" s="3">
        <v>0</v>
      </c>
      <c r="P212" s="3">
        <v>0</v>
      </c>
      <c r="Q212" s="819">
        <f>SUM(Q213:Q216)</f>
        <v>0</v>
      </c>
      <c r="R212" s="819">
        <f t="shared" ref="R212:AJ212" si="153">SUM(R213:R216)</f>
        <v>0</v>
      </c>
      <c r="S212" s="819">
        <f t="shared" si="153"/>
        <v>0</v>
      </c>
      <c r="T212" s="819">
        <f t="shared" si="153"/>
        <v>0</v>
      </c>
      <c r="U212" s="819">
        <f t="shared" si="153"/>
        <v>0</v>
      </c>
      <c r="V212" s="819">
        <f t="shared" si="153"/>
        <v>0</v>
      </c>
      <c r="W212" s="819">
        <f t="shared" si="153"/>
        <v>0</v>
      </c>
      <c r="X212" s="3">
        <v>0</v>
      </c>
      <c r="Y212" s="819">
        <f t="shared" si="153"/>
        <v>0</v>
      </c>
      <c r="Z212" s="820"/>
      <c r="AA212" s="819">
        <f t="shared" si="153"/>
        <v>0</v>
      </c>
      <c r="AB212" s="819">
        <f t="shared" si="153"/>
        <v>0</v>
      </c>
      <c r="AC212" s="819">
        <f t="shared" si="153"/>
        <v>0</v>
      </c>
      <c r="AD212" s="819">
        <f t="shared" si="153"/>
        <v>0</v>
      </c>
      <c r="AE212" s="819">
        <f t="shared" si="153"/>
        <v>0</v>
      </c>
      <c r="AF212" s="819">
        <f t="shared" si="153"/>
        <v>0</v>
      </c>
      <c r="AG212" s="819">
        <f t="shared" si="153"/>
        <v>0</v>
      </c>
      <c r="AH212" s="819">
        <f t="shared" si="153"/>
        <v>0</v>
      </c>
      <c r="AI212" s="819">
        <f t="shared" si="153"/>
        <v>0</v>
      </c>
      <c r="AJ212" s="819">
        <f t="shared" si="153"/>
        <v>0</v>
      </c>
      <c r="AK212" s="819">
        <f>SUM(AK213:AK216)</f>
        <v>0</v>
      </c>
      <c r="AL212" s="819">
        <f>SUM(AL213:AL216)</f>
        <v>0</v>
      </c>
      <c r="AM212" s="819">
        <f>SUM(AM213:AM216)</f>
        <v>0</v>
      </c>
      <c r="AN212" s="819">
        <f>SUM(AN213:AN216)</f>
        <v>0</v>
      </c>
      <c r="AO212" s="819">
        <f>SUM(AO213:AO216)</f>
        <v>0</v>
      </c>
      <c r="AP212" s="821"/>
      <c r="AQ212" s="820"/>
    </row>
    <row r="213" spans="1:43" s="827" customFormat="1" ht="15.75" hidden="1" customHeight="1" x14ac:dyDescent="0.25">
      <c r="A213" s="822"/>
      <c r="B213" s="823" t="s">
        <v>234</v>
      </c>
      <c r="C213" s="369"/>
      <c r="D213" s="369"/>
      <c r="E213" s="369"/>
      <c r="F213" s="369"/>
      <c r="G213" s="254"/>
      <c r="H213" s="824"/>
      <c r="I213" s="825"/>
      <c r="J213" s="371"/>
      <c r="K213" s="372"/>
      <c r="L213" s="95"/>
      <c r="M213" s="95"/>
      <c r="N213" s="95"/>
      <c r="O213" s="95"/>
      <c r="P213" s="3"/>
      <c r="Q213" s="820">
        <f>Y213</f>
        <v>0</v>
      </c>
      <c r="R213" s="820"/>
      <c r="S213" s="820"/>
      <c r="T213" s="820"/>
      <c r="U213" s="820"/>
      <c r="V213" s="820"/>
      <c r="W213" s="820"/>
      <c r="X213" s="820">
        <v>0</v>
      </c>
      <c r="Y213" s="820">
        <v>0</v>
      </c>
      <c r="Z213" s="820"/>
      <c r="AA213" s="820">
        <v>0</v>
      </c>
      <c r="AB213" s="820">
        <v>0</v>
      </c>
      <c r="AC213" s="820"/>
      <c r="AD213" s="820"/>
      <c r="AE213" s="820"/>
      <c r="AF213" s="820"/>
      <c r="AG213" s="820"/>
      <c r="AH213" s="820"/>
      <c r="AI213" s="820"/>
      <c r="AJ213" s="820"/>
      <c r="AK213" s="820"/>
      <c r="AL213" s="820"/>
      <c r="AM213" s="820"/>
      <c r="AN213" s="820"/>
      <c r="AO213" s="820"/>
      <c r="AP213" s="826"/>
      <c r="AQ213" s="820"/>
    </row>
    <row r="214" spans="1:43" s="827" customFormat="1" ht="15.75" hidden="1" customHeight="1" x14ac:dyDescent="0.25">
      <c r="A214" s="822"/>
      <c r="B214" s="823" t="s">
        <v>235</v>
      </c>
      <c r="C214" s="369"/>
      <c r="D214" s="369"/>
      <c r="E214" s="369"/>
      <c r="F214" s="369"/>
      <c r="G214" s="254"/>
      <c r="H214" s="824"/>
      <c r="I214" s="825"/>
      <c r="J214" s="371"/>
      <c r="K214" s="372"/>
      <c r="L214" s="95"/>
      <c r="M214" s="95"/>
      <c r="N214" s="95"/>
      <c r="O214" s="95"/>
      <c r="P214" s="3"/>
      <c r="Q214" s="820">
        <f>Y214</f>
        <v>0</v>
      </c>
      <c r="R214" s="820"/>
      <c r="S214" s="820"/>
      <c r="T214" s="820"/>
      <c r="U214" s="820"/>
      <c r="V214" s="820"/>
      <c r="W214" s="820"/>
      <c r="X214" s="820">
        <v>0</v>
      </c>
      <c r="Y214" s="820">
        <v>0</v>
      </c>
      <c r="Z214" s="820"/>
      <c r="AA214" s="820">
        <v>0</v>
      </c>
      <c r="AB214" s="820">
        <v>0</v>
      </c>
      <c r="AC214" s="820"/>
      <c r="AD214" s="820"/>
      <c r="AE214" s="820"/>
      <c r="AF214" s="820"/>
      <c r="AG214" s="820"/>
      <c r="AH214" s="820"/>
      <c r="AI214" s="820"/>
      <c r="AJ214" s="820"/>
      <c r="AK214" s="820"/>
      <c r="AL214" s="820"/>
      <c r="AM214" s="820"/>
      <c r="AN214" s="820"/>
      <c r="AO214" s="820"/>
      <c r="AP214" s="826"/>
      <c r="AQ214" s="820"/>
    </row>
    <row r="215" spans="1:43" s="827" customFormat="1" ht="15.75" hidden="1" customHeight="1" x14ac:dyDescent="0.25">
      <c r="A215" s="822"/>
      <c r="B215" s="823" t="s">
        <v>236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237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327" customFormat="1" ht="40.5" customHeight="1" x14ac:dyDescent="0.25">
      <c r="A217" s="828" t="s">
        <v>176</v>
      </c>
      <c r="B217" s="780" t="s">
        <v>177</v>
      </c>
      <c r="C217" s="133"/>
      <c r="D217" s="133"/>
      <c r="E217" s="133"/>
      <c r="F217" s="133"/>
      <c r="G217" s="778"/>
      <c r="H217" s="778"/>
      <c r="I217" s="1463" t="s">
        <v>20</v>
      </c>
      <c r="J217" s="752"/>
      <c r="K217" s="3"/>
      <c r="L217" s="3">
        <f>L218</f>
        <v>3750.02</v>
      </c>
      <c r="M217" s="3">
        <f>M218</f>
        <v>2630.03</v>
      </c>
      <c r="N217" s="3">
        <f t="shared" ref="N217:AO217" si="154">N218</f>
        <v>0</v>
      </c>
      <c r="O217" s="3">
        <f t="shared" si="154"/>
        <v>0</v>
      </c>
      <c r="P217" s="3">
        <f t="shared" si="154"/>
        <v>0</v>
      </c>
      <c r="Q217" s="3">
        <f t="shared" si="154"/>
        <v>0</v>
      </c>
      <c r="R217" s="3">
        <f t="shared" si="154"/>
        <v>0</v>
      </c>
      <c r="S217" s="3">
        <f t="shared" si="154"/>
        <v>0</v>
      </c>
      <c r="T217" s="3">
        <f t="shared" si="154"/>
        <v>0</v>
      </c>
      <c r="U217" s="3">
        <f t="shared" si="154"/>
        <v>0</v>
      </c>
      <c r="V217" s="3">
        <f t="shared" si="154"/>
        <v>0</v>
      </c>
      <c r="W217" s="3">
        <f t="shared" si="154"/>
        <v>0</v>
      </c>
      <c r="X217" s="3">
        <f t="shared" si="154"/>
        <v>0</v>
      </c>
      <c r="Y217" s="3">
        <f t="shared" si="154"/>
        <v>0</v>
      </c>
      <c r="Z217" s="95">
        <v>0</v>
      </c>
      <c r="AA217" s="3">
        <f t="shared" si="154"/>
        <v>0</v>
      </c>
      <c r="AB217" s="3">
        <f t="shared" si="154"/>
        <v>0</v>
      </c>
      <c r="AC217" s="3">
        <f t="shared" si="154"/>
        <v>0</v>
      </c>
      <c r="AD217" s="3">
        <f t="shared" si="154"/>
        <v>0</v>
      </c>
      <c r="AE217" s="3">
        <f t="shared" si="154"/>
        <v>0</v>
      </c>
      <c r="AF217" s="3">
        <f t="shared" si="154"/>
        <v>0</v>
      </c>
      <c r="AG217" s="3">
        <f t="shared" si="154"/>
        <v>0</v>
      </c>
      <c r="AH217" s="3">
        <f t="shared" si="154"/>
        <v>0</v>
      </c>
      <c r="AI217" s="3">
        <f t="shared" si="154"/>
        <v>0</v>
      </c>
      <c r="AJ217" s="3">
        <f t="shared" si="154"/>
        <v>0</v>
      </c>
      <c r="AK217" s="3">
        <f t="shared" si="154"/>
        <v>0</v>
      </c>
      <c r="AL217" s="3">
        <f t="shared" si="154"/>
        <v>0</v>
      </c>
      <c r="AM217" s="3">
        <f t="shared" si="154"/>
        <v>0</v>
      </c>
      <c r="AN217" s="3">
        <f t="shared" si="154"/>
        <v>0</v>
      </c>
      <c r="AO217" s="3">
        <f t="shared" si="154"/>
        <v>0</v>
      </c>
      <c r="AP217" s="633" t="s">
        <v>256</v>
      </c>
      <c r="AQ217" s="95">
        <v>0</v>
      </c>
    </row>
    <row r="218" spans="1:43" ht="15.75" hidden="1" customHeight="1" x14ac:dyDescent="0.25">
      <c r="A218" s="591"/>
      <c r="B218" s="42" t="s">
        <v>15</v>
      </c>
      <c r="C218" s="341"/>
      <c r="D218" s="341"/>
      <c r="E218" s="341"/>
      <c r="F218" s="341"/>
      <c r="G218" s="313"/>
      <c r="H218" s="314"/>
      <c r="I218" s="1465"/>
      <c r="J218" s="650"/>
      <c r="K218" s="4"/>
      <c r="L218" s="47">
        <v>3750.02</v>
      </c>
      <c r="M218" s="47">
        <v>2630.03</v>
      </c>
      <c r="N218" s="47">
        <v>0</v>
      </c>
      <c r="O218" s="47">
        <v>0</v>
      </c>
      <c r="P218" s="47">
        <v>0</v>
      </c>
      <c r="Q218" s="50">
        <f>SUM(Q219:Q222)</f>
        <v>0</v>
      </c>
      <c r="R218" s="50">
        <f t="shared" ref="R218:W218" si="155">SUM(R219:R222)</f>
        <v>0</v>
      </c>
      <c r="S218" s="50">
        <f t="shared" si="155"/>
        <v>0</v>
      </c>
      <c r="T218" s="50">
        <f t="shared" si="155"/>
        <v>0</v>
      </c>
      <c r="U218" s="50">
        <f t="shared" si="155"/>
        <v>0</v>
      </c>
      <c r="V218" s="50">
        <f t="shared" si="155"/>
        <v>0</v>
      </c>
      <c r="W218" s="50">
        <f t="shared" si="155"/>
        <v>0</v>
      </c>
      <c r="X218" s="47">
        <v>0</v>
      </c>
      <c r="Y218" s="50">
        <f t="shared" ref="Y218:AJ218" si="156">SUM(Y219:Y222)</f>
        <v>0</v>
      </c>
      <c r="Z218" s="263"/>
      <c r="AA218" s="50">
        <f t="shared" si="156"/>
        <v>0</v>
      </c>
      <c r="AB218" s="50">
        <f t="shared" si="156"/>
        <v>0</v>
      </c>
      <c r="AC218" s="50">
        <f t="shared" si="156"/>
        <v>0</v>
      </c>
      <c r="AD218" s="50">
        <f t="shared" si="156"/>
        <v>0</v>
      </c>
      <c r="AE218" s="50">
        <f t="shared" si="156"/>
        <v>0</v>
      </c>
      <c r="AF218" s="50">
        <f t="shared" si="156"/>
        <v>0</v>
      </c>
      <c r="AG218" s="50">
        <f t="shared" si="156"/>
        <v>0</v>
      </c>
      <c r="AH218" s="50">
        <f t="shared" si="156"/>
        <v>0</v>
      </c>
      <c r="AI218" s="50">
        <f t="shared" si="156"/>
        <v>0</v>
      </c>
      <c r="AJ218" s="50">
        <f t="shared" si="156"/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412"/>
      <c r="AQ218" s="263"/>
    </row>
    <row r="219" spans="1:43" s="266" customFormat="1" ht="15.75" hidden="1" customHeight="1" x14ac:dyDescent="0.25">
      <c r="A219" s="366"/>
      <c r="B219" s="252" t="s">
        <v>238</v>
      </c>
      <c r="C219" s="453"/>
      <c r="D219" s="453"/>
      <c r="E219" s="453"/>
      <c r="F219" s="453"/>
      <c r="G219" s="363"/>
      <c r="H219" s="364"/>
      <c r="I219" s="370"/>
      <c r="J219" s="651"/>
      <c r="K219" s="268"/>
      <c r="L219" s="96"/>
      <c r="M219" s="96"/>
      <c r="N219" s="96"/>
      <c r="O219" s="96"/>
      <c r="P219" s="47"/>
      <c r="Q219" s="263">
        <f>Y219</f>
        <v>0</v>
      </c>
      <c r="R219" s="263"/>
      <c r="S219" s="263"/>
      <c r="T219" s="263"/>
      <c r="U219" s="263"/>
      <c r="V219" s="263"/>
      <c r="W219" s="263"/>
      <c r="X219" s="263">
        <v>0</v>
      </c>
      <c r="Y219" s="263">
        <v>0</v>
      </c>
      <c r="Z219" s="263"/>
      <c r="AA219" s="263">
        <v>0</v>
      </c>
      <c r="AB219" s="263">
        <v>0</v>
      </c>
      <c r="AC219" s="263"/>
      <c r="AD219" s="263"/>
      <c r="AE219" s="263"/>
      <c r="AF219" s="263"/>
      <c r="AG219" s="263"/>
      <c r="AH219" s="263"/>
      <c r="AI219" s="263"/>
      <c r="AJ219" s="263"/>
      <c r="AK219" s="263"/>
      <c r="AL219" s="263"/>
      <c r="AM219" s="263"/>
      <c r="AN219" s="263"/>
      <c r="AO219" s="263"/>
      <c r="AP219" s="413"/>
      <c r="AQ219" s="263"/>
    </row>
    <row r="220" spans="1:43" s="266" customFormat="1" ht="15.75" hidden="1" customHeight="1" x14ac:dyDescent="0.25">
      <c r="A220" s="366"/>
      <c r="B220" s="252" t="s">
        <v>239</v>
      </c>
      <c r="C220" s="453"/>
      <c r="D220" s="453"/>
      <c r="E220" s="453"/>
      <c r="F220" s="453"/>
      <c r="G220" s="363"/>
      <c r="H220" s="364"/>
      <c r="I220" s="370"/>
      <c r="J220" s="651"/>
      <c r="K220" s="268"/>
      <c r="L220" s="96"/>
      <c r="M220" s="96"/>
      <c r="N220" s="96"/>
      <c r="O220" s="96"/>
      <c r="P220" s="47"/>
      <c r="Q220" s="263">
        <f>Y220</f>
        <v>0</v>
      </c>
      <c r="R220" s="263"/>
      <c r="S220" s="263"/>
      <c r="T220" s="263"/>
      <c r="U220" s="263"/>
      <c r="V220" s="263"/>
      <c r="W220" s="263"/>
      <c r="X220" s="263">
        <v>0</v>
      </c>
      <c r="Y220" s="263">
        <v>0</v>
      </c>
      <c r="Z220" s="263"/>
      <c r="AA220" s="263">
        <v>0</v>
      </c>
      <c r="AB220" s="263">
        <v>0</v>
      </c>
      <c r="AC220" s="263"/>
      <c r="AD220" s="263"/>
      <c r="AE220" s="263"/>
      <c r="AF220" s="263"/>
      <c r="AG220" s="263"/>
      <c r="AH220" s="263"/>
      <c r="AI220" s="263"/>
      <c r="AJ220" s="263"/>
      <c r="AK220" s="263"/>
      <c r="AL220" s="263"/>
      <c r="AM220" s="263"/>
      <c r="AN220" s="263"/>
      <c r="AO220" s="263"/>
      <c r="AP220" s="413"/>
      <c r="AQ220" s="263"/>
    </row>
    <row r="221" spans="1:43" s="266" customFormat="1" ht="15.75" hidden="1" customHeight="1" x14ac:dyDescent="0.25">
      <c r="A221" s="366"/>
      <c r="B221" s="252" t="s">
        <v>234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237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327" customFormat="1" ht="59.25" customHeight="1" x14ac:dyDescent="0.25">
      <c r="A223" s="828" t="s">
        <v>178</v>
      </c>
      <c r="B223" s="780" t="s">
        <v>180</v>
      </c>
      <c r="C223" s="133"/>
      <c r="D223" s="133"/>
      <c r="E223" s="133"/>
      <c r="F223" s="133"/>
      <c r="G223" s="778"/>
      <c r="H223" s="778"/>
      <c r="I223" s="1651" t="s">
        <v>181</v>
      </c>
      <c r="J223" s="752"/>
      <c r="K223" s="3"/>
      <c r="L223" s="3">
        <f>L224</f>
        <v>962.68</v>
      </c>
      <c r="M223" s="3">
        <f>M224</f>
        <v>403.33</v>
      </c>
      <c r="N223" s="3">
        <f t="shared" ref="N223:AO223" si="157">N224</f>
        <v>0</v>
      </c>
      <c r="O223" s="3">
        <f t="shared" si="157"/>
        <v>0</v>
      </c>
      <c r="P223" s="3">
        <f t="shared" si="157"/>
        <v>0</v>
      </c>
      <c r="Q223" s="3">
        <f>Q224</f>
        <v>99.9</v>
      </c>
      <c r="R223" s="3">
        <f t="shared" si="157"/>
        <v>0</v>
      </c>
      <c r="S223" s="3">
        <f t="shared" si="157"/>
        <v>0</v>
      </c>
      <c r="T223" s="3">
        <f t="shared" si="157"/>
        <v>0</v>
      </c>
      <c r="U223" s="3">
        <f t="shared" si="157"/>
        <v>0</v>
      </c>
      <c r="V223" s="3">
        <f t="shared" si="157"/>
        <v>0</v>
      </c>
      <c r="W223" s="3">
        <f t="shared" si="157"/>
        <v>0</v>
      </c>
      <c r="X223" s="3">
        <f t="shared" si="157"/>
        <v>0</v>
      </c>
      <c r="Y223" s="3">
        <f t="shared" si="157"/>
        <v>0</v>
      </c>
      <c r="Z223" s="95">
        <v>0</v>
      </c>
      <c r="AA223" s="3">
        <f>AA224</f>
        <v>99.9</v>
      </c>
      <c r="AB223" s="3">
        <f t="shared" si="157"/>
        <v>0</v>
      </c>
      <c r="AC223" s="3">
        <f t="shared" si="157"/>
        <v>0</v>
      </c>
      <c r="AD223" s="3">
        <f t="shared" si="157"/>
        <v>0</v>
      </c>
      <c r="AE223" s="3">
        <f t="shared" si="157"/>
        <v>0</v>
      </c>
      <c r="AF223" s="3">
        <f t="shared" si="157"/>
        <v>0</v>
      </c>
      <c r="AG223" s="3">
        <f t="shared" si="157"/>
        <v>0</v>
      </c>
      <c r="AH223" s="3">
        <f t="shared" si="157"/>
        <v>0</v>
      </c>
      <c r="AI223" s="3">
        <f t="shared" si="157"/>
        <v>0</v>
      </c>
      <c r="AJ223" s="3">
        <f t="shared" si="157"/>
        <v>0</v>
      </c>
      <c r="AK223" s="3">
        <f t="shared" si="157"/>
        <v>0</v>
      </c>
      <c r="AL223" s="3">
        <f t="shared" si="157"/>
        <v>0</v>
      </c>
      <c r="AM223" s="3">
        <f t="shared" si="157"/>
        <v>0</v>
      </c>
      <c r="AN223" s="3">
        <f t="shared" si="157"/>
        <v>0</v>
      </c>
      <c r="AO223" s="3">
        <f t="shared" si="157"/>
        <v>0</v>
      </c>
      <c r="AP223" s="829" t="s">
        <v>207</v>
      </c>
      <c r="AQ223" s="95">
        <v>0</v>
      </c>
    </row>
    <row r="224" spans="1:43" ht="15.75" customHeight="1" x14ac:dyDescent="0.25">
      <c r="A224" s="860"/>
      <c r="B224" s="42" t="s">
        <v>16</v>
      </c>
      <c r="C224" s="341"/>
      <c r="D224" s="341"/>
      <c r="E224" s="341"/>
      <c r="F224" s="341"/>
      <c r="G224" s="313"/>
      <c r="H224" s="864"/>
      <c r="I224" s="1652"/>
      <c r="J224" s="865"/>
      <c r="K224" s="4"/>
      <c r="L224" s="47">
        <v>962.68</v>
      </c>
      <c r="M224" s="47">
        <v>403.33</v>
      </c>
      <c r="N224" s="47">
        <v>0</v>
      </c>
      <c r="O224" s="50">
        <v>0</v>
      </c>
      <c r="P224" s="50">
        <v>0</v>
      </c>
      <c r="Q224" s="50">
        <v>99.9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263"/>
      <c r="AA224" s="50">
        <v>99.9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841"/>
      <c r="AQ224" s="263"/>
    </row>
    <row r="225" spans="1:43" s="327" customFormat="1" ht="29.25" customHeight="1" x14ac:dyDescent="0.25">
      <c r="A225" s="828" t="s">
        <v>179</v>
      </c>
      <c r="B225" s="780" t="s">
        <v>182</v>
      </c>
      <c r="C225" s="133"/>
      <c r="D225" s="133"/>
      <c r="E225" s="133"/>
      <c r="F225" s="133"/>
      <c r="G225" s="778"/>
      <c r="H225" s="778"/>
      <c r="I225" s="1463" t="s">
        <v>181</v>
      </c>
      <c r="J225" s="752"/>
      <c r="K225" s="3"/>
      <c r="L225" s="3">
        <f>L226</f>
        <v>1342.77</v>
      </c>
      <c r="M225" s="3">
        <f>M226</f>
        <v>1246.77</v>
      </c>
      <c r="N225" s="3">
        <f t="shared" ref="N225:AO227" si="158">N226</f>
        <v>0</v>
      </c>
      <c r="O225" s="3">
        <f t="shared" si="158"/>
        <v>0</v>
      </c>
      <c r="P225" s="3">
        <f t="shared" si="158"/>
        <v>0</v>
      </c>
      <c r="Q225" s="3">
        <f t="shared" si="158"/>
        <v>0</v>
      </c>
      <c r="R225" s="3">
        <f t="shared" si="158"/>
        <v>0</v>
      </c>
      <c r="S225" s="3">
        <f t="shared" si="158"/>
        <v>0</v>
      </c>
      <c r="T225" s="3">
        <f t="shared" si="158"/>
        <v>0</v>
      </c>
      <c r="U225" s="3">
        <f t="shared" si="158"/>
        <v>0</v>
      </c>
      <c r="V225" s="3">
        <f t="shared" si="158"/>
        <v>0</v>
      </c>
      <c r="W225" s="3">
        <f t="shared" si="158"/>
        <v>0</v>
      </c>
      <c r="X225" s="3">
        <f t="shared" si="158"/>
        <v>0</v>
      </c>
      <c r="Y225" s="3">
        <f t="shared" si="158"/>
        <v>0</v>
      </c>
      <c r="Z225" s="95">
        <v>0</v>
      </c>
      <c r="AA225" s="3">
        <f t="shared" si="158"/>
        <v>0</v>
      </c>
      <c r="AB225" s="3">
        <f t="shared" si="158"/>
        <v>0</v>
      </c>
      <c r="AC225" s="3">
        <f t="shared" si="158"/>
        <v>0</v>
      </c>
      <c r="AD225" s="3">
        <f t="shared" si="158"/>
        <v>0</v>
      </c>
      <c r="AE225" s="3">
        <f t="shared" si="158"/>
        <v>0</v>
      </c>
      <c r="AF225" s="3">
        <f t="shared" si="158"/>
        <v>0</v>
      </c>
      <c r="AG225" s="3">
        <f t="shared" si="158"/>
        <v>0</v>
      </c>
      <c r="AH225" s="3">
        <f t="shared" si="158"/>
        <v>0</v>
      </c>
      <c r="AI225" s="3">
        <f t="shared" si="158"/>
        <v>0</v>
      </c>
      <c r="AJ225" s="3">
        <f t="shared" si="158"/>
        <v>0</v>
      </c>
      <c r="AK225" s="3">
        <f t="shared" si="158"/>
        <v>0</v>
      </c>
      <c r="AL225" s="3">
        <f t="shared" si="158"/>
        <v>0</v>
      </c>
      <c r="AM225" s="3">
        <f t="shared" si="158"/>
        <v>0</v>
      </c>
      <c r="AN225" s="3">
        <f t="shared" si="158"/>
        <v>0</v>
      </c>
      <c r="AO225" s="3">
        <f t="shared" si="158"/>
        <v>0</v>
      </c>
      <c r="AP225" s="829" t="s">
        <v>207</v>
      </c>
      <c r="AQ225" s="95">
        <v>0</v>
      </c>
    </row>
    <row r="226" spans="1:43" ht="15.75" customHeight="1" x14ac:dyDescent="0.25">
      <c r="A226" s="591"/>
      <c r="B226" s="42" t="s">
        <v>15</v>
      </c>
      <c r="C226" s="341"/>
      <c r="D226" s="341"/>
      <c r="E226" s="341"/>
      <c r="F226" s="341"/>
      <c r="G226" s="313"/>
      <c r="H226" s="314"/>
      <c r="I226" s="1465"/>
      <c r="J226" s="650"/>
      <c r="K226" s="4"/>
      <c r="L226" s="47">
        <v>1342.77</v>
      </c>
      <c r="M226" s="47">
        <v>1246.77</v>
      </c>
      <c r="N226" s="50">
        <v>0</v>
      </c>
      <c r="O226" s="50">
        <v>0</v>
      </c>
      <c r="P226" s="47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47">
        <v>0</v>
      </c>
      <c r="Y226" s="50">
        <v>0</v>
      </c>
      <c r="Z226" s="263"/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412"/>
      <c r="AQ226" s="263"/>
    </row>
    <row r="227" spans="1:43" s="327" customFormat="1" ht="29.25" customHeight="1" x14ac:dyDescent="0.25">
      <c r="A227" s="828" t="s">
        <v>179</v>
      </c>
      <c r="B227" s="780" t="s">
        <v>412</v>
      </c>
      <c r="C227" s="133"/>
      <c r="D227" s="133"/>
      <c r="E227" s="133"/>
      <c r="F227" s="133"/>
      <c r="G227" s="778"/>
      <c r="H227" s="778"/>
      <c r="I227" s="1463" t="s">
        <v>181</v>
      </c>
      <c r="J227" s="752"/>
      <c r="K227" s="3"/>
      <c r="L227" s="3">
        <f>L228</f>
        <v>1342.77</v>
      </c>
      <c r="M227" s="3">
        <f>M228</f>
        <v>1246.77</v>
      </c>
      <c r="N227" s="3">
        <f t="shared" si="158"/>
        <v>0</v>
      </c>
      <c r="O227" s="3">
        <f t="shared" si="158"/>
        <v>0</v>
      </c>
      <c r="P227" s="3">
        <f t="shared" si="158"/>
        <v>2878.15</v>
      </c>
      <c r="Q227" s="3">
        <f t="shared" si="158"/>
        <v>0</v>
      </c>
      <c r="R227" s="3">
        <f t="shared" si="158"/>
        <v>0</v>
      </c>
      <c r="S227" s="3">
        <f t="shared" si="158"/>
        <v>0</v>
      </c>
      <c r="T227" s="3">
        <f t="shared" si="158"/>
        <v>0</v>
      </c>
      <c r="U227" s="3">
        <f t="shared" si="158"/>
        <v>0</v>
      </c>
      <c r="V227" s="3">
        <f t="shared" si="158"/>
        <v>0</v>
      </c>
      <c r="W227" s="3">
        <f t="shared" si="158"/>
        <v>0</v>
      </c>
      <c r="X227" s="3">
        <f t="shared" si="158"/>
        <v>0</v>
      </c>
      <c r="Y227" s="3">
        <f t="shared" si="158"/>
        <v>0</v>
      </c>
      <c r="Z227" s="95">
        <v>0</v>
      </c>
      <c r="AA227" s="3">
        <f t="shared" si="158"/>
        <v>0</v>
      </c>
      <c r="AB227" s="3">
        <f t="shared" si="158"/>
        <v>0</v>
      </c>
      <c r="AC227" s="3">
        <f t="shared" si="158"/>
        <v>0</v>
      </c>
      <c r="AD227" s="3">
        <f t="shared" si="158"/>
        <v>0</v>
      </c>
      <c r="AE227" s="3">
        <f t="shared" si="158"/>
        <v>0</v>
      </c>
      <c r="AF227" s="3">
        <f t="shared" si="158"/>
        <v>0</v>
      </c>
      <c r="AG227" s="3">
        <f t="shared" si="158"/>
        <v>0</v>
      </c>
      <c r="AH227" s="3">
        <f t="shared" si="158"/>
        <v>0</v>
      </c>
      <c r="AI227" s="3">
        <f t="shared" si="158"/>
        <v>0</v>
      </c>
      <c r="AJ227" s="3">
        <f t="shared" si="158"/>
        <v>0</v>
      </c>
      <c r="AK227" s="3">
        <f t="shared" si="158"/>
        <v>0</v>
      </c>
      <c r="AL227" s="3">
        <f t="shared" si="158"/>
        <v>0</v>
      </c>
      <c r="AM227" s="3">
        <f t="shared" si="158"/>
        <v>0</v>
      </c>
      <c r="AN227" s="3">
        <f t="shared" si="158"/>
        <v>0</v>
      </c>
      <c r="AO227" s="3">
        <f t="shared" si="158"/>
        <v>0</v>
      </c>
      <c r="AP227" s="829" t="s">
        <v>207</v>
      </c>
      <c r="AQ227" s="95">
        <v>0</v>
      </c>
    </row>
    <row r="228" spans="1:43" ht="15.75" customHeight="1" x14ac:dyDescent="0.25">
      <c r="A228" s="746"/>
      <c r="B228" s="42" t="s">
        <v>16</v>
      </c>
      <c r="C228" s="341"/>
      <c r="D228" s="341"/>
      <c r="E228" s="341"/>
      <c r="F228" s="341"/>
      <c r="G228" s="313"/>
      <c r="H228" s="764"/>
      <c r="I228" s="1465"/>
      <c r="J228" s="766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2878.15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ht="54" hidden="1" customHeight="1" x14ac:dyDescent="0.25">
      <c r="A229" s="1332" t="s">
        <v>31</v>
      </c>
      <c r="B229" s="1613" t="s">
        <v>208</v>
      </c>
      <c r="C229" s="1614"/>
      <c r="D229" s="1614"/>
      <c r="E229" s="1614"/>
      <c r="F229" s="1614"/>
      <c r="G229" s="1614"/>
      <c r="H229" s="1615"/>
      <c r="I229" s="23" t="s">
        <v>19</v>
      </c>
      <c r="J229" s="645">
        <v>0</v>
      </c>
      <c r="K229" s="645">
        <v>0</v>
      </c>
      <c r="L229" s="47">
        <f>M229+N229+O229</f>
        <v>0</v>
      </c>
      <c r="M229" s="47">
        <v>0</v>
      </c>
      <c r="N229" s="47">
        <v>0</v>
      </c>
      <c r="O229" s="47">
        <v>0</v>
      </c>
      <c r="P229" s="47">
        <v>0</v>
      </c>
      <c r="Q229" s="47">
        <v>0</v>
      </c>
      <c r="R229" s="47">
        <v>0</v>
      </c>
      <c r="S229" s="47">
        <v>0</v>
      </c>
      <c r="T229" s="47">
        <v>0</v>
      </c>
      <c r="U229" s="47">
        <v>0</v>
      </c>
      <c r="V229" s="47">
        <v>0</v>
      </c>
      <c r="W229" s="47">
        <v>0</v>
      </c>
      <c r="X229" s="47">
        <v>0</v>
      </c>
      <c r="Y229" s="47">
        <v>0</v>
      </c>
      <c r="Z229" s="96"/>
      <c r="AA229" s="47">
        <v>0</v>
      </c>
      <c r="AB229" s="47">
        <v>0</v>
      </c>
      <c r="AC229" s="47">
        <v>0</v>
      </c>
      <c r="AD229" s="47">
        <v>0</v>
      </c>
      <c r="AE229" s="47">
        <v>0</v>
      </c>
      <c r="AF229" s="47">
        <v>0</v>
      </c>
      <c r="AG229" s="47">
        <v>0</v>
      </c>
      <c r="AH229" s="47">
        <v>0</v>
      </c>
      <c r="AI229" s="47">
        <v>0</v>
      </c>
      <c r="AJ229" s="47">
        <v>0</v>
      </c>
      <c r="AK229" s="47">
        <v>0</v>
      </c>
      <c r="AL229" s="47">
        <v>0</v>
      </c>
      <c r="AM229" s="47">
        <v>0</v>
      </c>
      <c r="AN229" s="47">
        <v>0</v>
      </c>
      <c r="AO229" s="47">
        <v>0</v>
      </c>
      <c r="AP229" s="397"/>
      <c r="AQ229" s="96"/>
    </row>
    <row r="230" spans="1:43" ht="39.75" hidden="1" customHeight="1" x14ac:dyDescent="0.25">
      <c r="A230" s="1333"/>
      <c r="B230" s="1616"/>
      <c r="C230" s="1617"/>
      <c r="D230" s="1617"/>
      <c r="E230" s="1617"/>
      <c r="F230" s="1617"/>
      <c r="G230" s="1617"/>
      <c r="H230" s="1618"/>
      <c r="I230" s="23" t="s">
        <v>20</v>
      </c>
      <c r="J230" s="645">
        <f>K230+L230</f>
        <v>6696.7899999999991</v>
      </c>
      <c r="K230" s="645">
        <f>K236+K255+K258+K265</f>
        <v>0</v>
      </c>
      <c r="L230" s="47">
        <f t="shared" ref="L230:Q230" si="159">L236</f>
        <v>6696.7899999999991</v>
      </c>
      <c r="M230" s="47">
        <f t="shared" si="159"/>
        <v>0</v>
      </c>
      <c r="N230" s="47">
        <f t="shared" si="159"/>
        <v>2081.9299999999998</v>
      </c>
      <c r="O230" s="47">
        <f t="shared" si="159"/>
        <v>4372.5</v>
      </c>
      <c r="P230" s="47">
        <f t="shared" si="159"/>
        <v>0</v>
      </c>
      <c r="Q230" s="47">
        <f t="shared" si="159"/>
        <v>75</v>
      </c>
      <c r="R230" s="47">
        <f t="shared" ref="R230:AE230" si="160">R236</f>
        <v>0</v>
      </c>
      <c r="S230" s="47">
        <f t="shared" si="160"/>
        <v>0</v>
      </c>
      <c r="T230" s="47">
        <f t="shared" si="160"/>
        <v>0</v>
      </c>
      <c r="U230" s="47">
        <f t="shared" si="160"/>
        <v>0</v>
      </c>
      <c r="V230" s="47">
        <f t="shared" si="160"/>
        <v>0</v>
      </c>
      <c r="W230" s="47">
        <f t="shared" si="160"/>
        <v>0</v>
      </c>
      <c r="X230" s="47">
        <f t="shared" si="160"/>
        <v>0</v>
      </c>
      <c r="Y230" s="47">
        <f t="shared" si="160"/>
        <v>0</v>
      </c>
      <c r="Z230" s="96"/>
      <c r="AA230" s="47">
        <f t="shared" si="160"/>
        <v>75</v>
      </c>
      <c r="AB230" s="47">
        <f t="shared" si="160"/>
        <v>0</v>
      </c>
      <c r="AC230" s="47">
        <f t="shared" si="160"/>
        <v>0</v>
      </c>
      <c r="AD230" s="47">
        <f t="shared" si="160"/>
        <v>0</v>
      </c>
      <c r="AE230" s="47">
        <f t="shared" si="160"/>
        <v>0</v>
      </c>
      <c r="AF230" s="47">
        <f t="shared" ref="AF230:AO230" si="161">AF236+AF255+AF258+AF265+AF267</f>
        <v>0</v>
      </c>
      <c r="AG230" s="47">
        <f t="shared" si="161"/>
        <v>0</v>
      </c>
      <c r="AH230" s="47">
        <f t="shared" si="161"/>
        <v>0</v>
      </c>
      <c r="AI230" s="47">
        <f t="shared" si="161"/>
        <v>0</v>
      </c>
      <c r="AJ230" s="47">
        <f t="shared" si="161"/>
        <v>0</v>
      </c>
      <c r="AK230" s="47">
        <f t="shared" si="161"/>
        <v>40144.92</v>
      </c>
      <c r="AL230" s="47">
        <f t="shared" si="161"/>
        <v>40144.92</v>
      </c>
      <c r="AM230" s="47" t="e">
        <f t="shared" si="161"/>
        <v>#DIV/0!</v>
      </c>
      <c r="AN230" s="47">
        <f t="shared" si="161"/>
        <v>0</v>
      </c>
      <c r="AO230" s="47">
        <f t="shared" si="161"/>
        <v>0</v>
      </c>
      <c r="AP230" s="397"/>
      <c r="AQ230" s="96"/>
    </row>
    <row r="231" spans="1:43" ht="26.25" hidden="1" customHeight="1" x14ac:dyDescent="0.25">
      <c r="A231" s="1333"/>
      <c r="B231" s="1616"/>
      <c r="C231" s="1617"/>
      <c r="D231" s="1617"/>
      <c r="E231" s="1617"/>
      <c r="F231" s="1617"/>
      <c r="G231" s="1617"/>
      <c r="H231" s="1618"/>
      <c r="I231" s="23" t="s">
        <v>10</v>
      </c>
      <c r="J231" s="645">
        <v>0</v>
      </c>
      <c r="K231" s="645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25.5" hidden="1" x14ac:dyDescent="0.25">
      <c r="A232" s="1334"/>
      <c r="B232" s="1619"/>
      <c r="C232" s="1620"/>
      <c r="D232" s="1620"/>
      <c r="E232" s="1620"/>
      <c r="F232" s="1620"/>
      <c r="G232" s="1620"/>
      <c r="H232" s="1621"/>
      <c r="I232" s="23" t="s">
        <v>9</v>
      </c>
      <c r="J232" s="645">
        <v>0</v>
      </c>
      <c r="K232" s="645">
        <v>0</v>
      </c>
      <c r="L232" s="47">
        <f>M232+N232+O232</f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7">
        <v>0</v>
      </c>
      <c r="X232" s="47">
        <v>0</v>
      </c>
      <c r="Y232" s="47">
        <v>0</v>
      </c>
      <c r="Z232" s="96"/>
      <c r="AA232" s="47">
        <v>0</v>
      </c>
      <c r="AB232" s="47">
        <v>0</v>
      </c>
      <c r="AC232" s="47">
        <v>0</v>
      </c>
      <c r="AD232" s="47">
        <v>0</v>
      </c>
      <c r="AE232" s="47">
        <v>0</v>
      </c>
      <c r="AF232" s="47">
        <v>0</v>
      </c>
      <c r="AG232" s="47">
        <v>0</v>
      </c>
      <c r="AH232" s="47">
        <v>0</v>
      </c>
      <c r="AI232" s="47">
        <v>0</v>
      </c>
      <c r="AJ232" s="47">
        <v>0</v>
      </c>
      <c r="AK232" s="47">
        <v>0</v>
      </c>
      <c r="AL232" s="47">
        <v>0</v>
      </c>
      <c r="AM232" s="47">
        <v>0</v>
      </c>
      <c r="AN232" s="47">
        <v>0</v>
      </c>
      <c r="AO232" s="47">
        <v>0</v>
      </c>
      <c r="AP232" s="397"/>
      <c r="AQ232" s="96"/>
    </row>
    <row r="233" spans="1:43" s="327" customFormat="1" ht="29.25" customHeight="1" x14ac:dyDescent="0.25">
      <c r="A233" s="828" t="s">
        <v>179</v>
      </c>
      <c r="B233" s="780" t="s">
        <v>413</v>
      </c>
      <c r="C233" s="133"/>
      <c r="D233" s="133"/>
      <c r="E233" s="133"/>
      <c r="F233" s="133"/>
      <c r="G233" s="778"/>
      <c r="H233" s="778"/>
      <c r="I233" s="1463" t="s">
        <v>181</v>
      </c>
      <c r="J233" s="752"/>
      <c r="K233" s="3"/>
      <c r="L233" s="3">
        <f>L234</f>
        <v>1342.77</v>
      </c>
      <c r="M233" s="3">
        <f>M234</f>
        <v>1246.77</v>
      </c>
      <c r="N233" s="3">
        <f t="shared" ref="N233:AO233" si="162">N234</f>
        <v>0</v>
      </c>
      <c r="O233" s="3">
        <f t="shared" si="162"/>
        <v>0</v>
      </c>
      <c r="P233" s="3">
        <f t="shared" si="162"/>
        <v>4959</v>
      </c>
      <c r="Q233" s="3">
        <f t="shared" si="162"/>
        <v>0</v>
      </c>
      <c r="R233" s="3">
        <f t="shared" si="162"/>
        <v>0</v>
      </c>
      <c r="S233" s="3">
        <f t="shared" si="162"/>
        <v>0</v>
      </c>
      <c r="T233" s="3">
        <f t="shared" si="162"/>
        <v>0</v>
      </c>
      <c r="U233" s="3">
        <f t="shared" si="162"/>
        <v>0</v>
      </c>
      <c r="V233" s="3">
        <f t="shared" si="162"/>
        <v>0</v>
      </c>
      <c r="W233" s="3">
        <f t="shared" si="162"/>
        <v>0</v>
      </c>
      <c r="X233" s="3">
        <f t="shared" si="162"/>
        <v>0</v>
      </c>
      <c r="Y233" s="3">
        <f t="shared" si="162"/>
        <v>0</v>
      </c>
      <c r="Z233" s="95">
        <v>0</v>
      </c>
      <c r="AA233" s="3">
        <f t="shared" si="162"/>
        <v>0</v>
      </c>
      <c r="AB233" s="3">
        <f t="shared" si="162"/>
        <v>0</v>
      </c>
      <c r="AC233" s="3">
        <f t="shared" si="162"/>
        <v>0</v>
      </c>
      <c r="AD233" s="3">
        <f t="shared" si="162"/>
        <v>0</v>
      </c>
      <c r="AE233" s="3">
        <f t="shared" si="162"/>
        <v>0</v>
      </c>
      <c r="AF233" s="3">
        <f t="shared" si="162"/>
        <v>0</v>
      </c>
      <c r="AG233" s="3">
        <f t="shared" si="162"/>
        <v>0</v>
      </c>
      <c r="AH233" s="3">
        <f t="shared" si="162"/>
        <v>0</v>
      </c>
      <c r="AI233" s="3">
        <f t="shared" si="162"/>
        <v>0</v>
      </c>
      <c r="AJ233" s="3">
        <f t="shared" si="162"/>
        <v>0</v>
      </c>
      <c r="AK233" s="3">
        <f t="shared" si="162"/>
        <v>0</v>
      </c>
      <c r="AL233" s="3">
        <f t="shared" si="162"/>
        <v>0</v>
      </c>
      <c r="AM233" s="3">
        <f t="shared" si="162"/>
        <v>0</v>
      </c>
      <c r="AN233" s="3">
        <f t="shared" si="162"/>
        <v>0</v>
      </c>
      <c r="AO233" s="3">
        <f t="shared" si="162"/>
        <v>0</v>
      </c>
      <c r="AP233" s="829" t="s">
        <v>207</v>
      </c>
      <c r="AQ233" s="95">
        <v>0</v>
      </c>
    </row>
    <row r="234" spans="1:43" ht="15.75" customHeight="1" x14ac:dyDescent="0.25">
      <c r="A234" s="746"/>
      <c r="B234" s="42" t="s">
        <v>39</v>
      </c>
      <c r="C234" s="341"/>
      <c r="D234" s="341"/>
      <c r="E234" s="341"/>
      <c r="F234" s="341"/>
      <c r="G234" s="313"/>
      <c r="H234" s="764"/>
      <c r="I234" s="1465"/>
      <c r="J234" s="766"/>
      <c r="K234" s="4"/>
      <c r="L234" s="47">
        <v>1342.77</v>
      </c>
      <c r="M234" s="47">
        <v>1246.77</v>
      </c>
      <c r="N234" s="50">
        <v>0</v>
      </c>
      <c r="O234" s="50">
        <v>0</v>
      </c>
      <c r="P234" s="47">
        <v>4959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47">
        <v>0</v>
      </c>
      <c r="Y234" s="50">
        <v>0</v>
      </c>
      <c r="Z234" s="263"/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412"/>
      <c r="AQ234" s="263"/>
    </row>
    <row r="235" spans="1:43" ht="15.75" x14ac:dyDescent="0.25">
      <c r="A235" s="748"/>
      <c r="B235" s="42" t="s">
        <v>16</v>
      </c>
      <c r="C235" s="762"/>
      <c r="D235" s="762"/>
      <c r="E235" s="762"/>
      <c r="F235" s="762"/>
      <c r="G235" s="762"/>
      <c r="H235" s="763"/>
      <c r="I235" s="749"/>
      <c r="J235" s="759"/>
      <c r="K235" s="759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96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"/>
      <c r="AN235" s="47"/>
      <c r="AO235" s="47"/>
      <c r="AP235" s="397"/>
      <c r="AQ235" s="96"/>
    </row>
    <row r="236" spans="1:43" s="327" customFormat="1" ht="30" customHeight="1" x14ac:dyDescent="0.25">
      <c r="A236" s="1344" t="s">
        <v>50</v>
      </c>
      <c r="B236" s="830" t="s">
        <v>183</v>
      </c>
      <c r="C236" s="1658"/>
      <c r="D236" s="1326"/>
      <c r="E236" s="1326"/>
      <c r="F236" s="1644">
        <v>150000</v>
      </c>
      <c r="G236" s="1326">
        <v>2019</v>
      </c>
      <c r="H236" s="1326">
        <v>2019</v>
      </c>
      <c r="I236" s="1326" t="s">
        <v>20</v>
      </c>
      <c r="J236" s="1653">
        <v>4914.5600000000004</v>
      </c>
      <c r="K236" s="3"/>
      <c r="L236" s="3">
        <f t="shared" ref="L236:P236" si="163">L239+L237</f>
        <v>6696.7899999999991</v>
      </c>
      <c r="M236" s="3">
        <f t="shared" si="163"/>
        <v>0</v>
      </c>
      <c r="N236" s="3">
        <f t="shared" si="163"/>
        <v>2081.9299999999998</v>
      </c>
      <c r="O236" s="3">
        <f t="shared" si="163"/>
        <v>4372.5</v>
      </c>
      <c r="P236" s="3">
        <f t="shared" si="163"/>
        <v>0</v>
      </c>
      <c r="Q236" s="3">
        <f>Q237+Q239</f>
        <v>75</v>
      </c>
      <c r="R236" s="3">
        <f t="shared" ref="R236:AA236" si="164">R237+R239</f>
        <v>0</v>
      </c>
      <c r="S236" s="3">
        <f t="shared" si="164"/>
        <v>0</v>
      </c>
      <c r="T236" s="3">
        <f t="shared" si="164"/>
        <v>0</v>
      </c>
      <c r="U236" s="3">
        <f t="shared" si="164"/>
        <v>0</v>
      </c>
      <c r="V236" s="3">
        <f t="shared" si="164"/>
        <v>0</v>
      </c>
      <c r="W236" s="3">
        <f t="shared" si="164"/>
        <v>0</v>
      </c>
      <c r="X236" s="3">
        <f t="shared" si="164"/>
        <v>0</v>
      </c>
      <c r="Y236" s="3">
        <f t="shared" si="164"/>
        <v>0</v>
      </c>
      <c r="Z236" s="3">
        <f t="shared" si="164"/>
        <v>0</v>
      </c>
      <c r="AA236" s="3">
        <f t="shared" si="164"/>
        <v>75</v>
      </c>
      <c r="AB236" s="3">
        <f t="shared" ref="AB236:AJ236" si="165">AB239+AB237</f>
        <v>0</v>
      </c>
      <c r="AC236" s="3">
        <f t="shared" si="165"/>
        <v>0</v>
      </c>
      <c r="AD236" s="3">
        <f t="shared" si="165"/>
        <v>0</v>
      </c>
      <c r="AE236" s="3">
        <f t="shared" si="165"/>
        <v>0</v>
      </c>
      <c r="AF236" s="3">
        <f t="shared" si="165"/>
        <v>0</v>
      </c>
      <c r="AG236" s="3">
        <f t="shared" si="165"/>
        <v>0</v>
      </c>
      <c r="AH236" s="3">
        <f t="shared" si="165"/>
        <v>0</v>
      </c>
      <c r="AI236" s="3">
        <f t="shared" si="165"/>
        <v>0</v>
      </c>
      <c r="AJ236" s="3">
        <f t="shared" si="165"/>
        <v>0</v>
      </c>
      <c r="AK236" s="3">
        <f>P236-Q236</f>
        <v>-75</v>
      </c>
      <c r="AL236" s="3">
        <f>AK236</f>
        <v>-75</v>
      </c>
      <c r="AM236" s="318" t="e">
        <f>ROUND((Q236*100%/P236*100),2)</f>
        <v>#DIV/0!</v>
      </c>
      <c r="AN236" s="3">
        <f>AN239</f>
        <v>0</v>
      </c>
      <c r="AO236" s="3">
        <f>AO239</f>
        <v>0</v>
      </c>
      <c r="AP236" s="633"/>
      <c r="AQ236" s="95">
        <v>45</v>
      </c>
    </row>
    <row r="237" spans="1:43" ht="19.5" customHeight="1" x14ac:dyDescent="0.25">
      <c r="A237" s="1345"/>
      <c r="B237" s="1" t="s">
        <v>15</v>
      </c>
      <c r="C237" s="1659"/>
      <c r="D237" s="1327"/>
      <c r="E237" s="1327"/>
      <c r="F237" s="1645"/>
      <c r="G237" s="1327"/>
      <c r="H237" s="1327"/>
      <c r="I237" s="1327"/>
      <c r="J237" s="1654"/>
      <c r="K237" s="47"/>
      <c r="L237" s="47">
        <f>SUM(M237:O237)</f>
        <v>2081.9299999999998</v>
      </c>
      <c r="M237" s="4">
        <v>0</v>
      </c>
      <c r="N237" s="4">
        <v>2081.9299999999998</v>
      </c>
      <c r="O237" s="4">
        <f t="shared" ref="O237:AO237" si="166">O238</f>
        <v>0</v>
      </c>
      <c r="P237" s="4">
        <f t="shared" si="166"/>
        <v>0</v>
      </c>
      <c r="Q237" s="4">
        <f t="shared" si="166"/>
        <v>75</v>
      </c>
      <c r="R237" s="4">
        <f t="shared" si="166"/>
        <v>0</v>
      </c>
      <c r="S237" s="4">
        <f t="shared" si="166"/>
        <v>0</v>
      </c>
      <c r="T237" s="4">
        <f t="shared" si="166"/>
        <v>0</v>
      </c>
      <c r="U237" s="4">
        <f t="shared" si="166"/>
        <v>0</v>
      </c>
      <c r="V237" s="4">
        <f t="shared" si="166"/>
        <v>0</v>
      </c>
      <c r="W237" s="4">
        <f t="shared" si="166"/>
        <v>0</v>
      </c>
      <c r="X237" s="4">
        <f t="shared" si="166"/>
        <v>0</v>
      </c>
      <c r="Y237" s="4">
        <f t="shared" si="166"/>
        <v>0</v>
      </c>
      <c r="Z237" s="268"/>
      <c r="AA237" s="4">
        <f t="shared" si="166"/>
        <v>75</v>
      </c>
      <c r="AB237" s="4">
        <f t="shared" si="166"/>
        <v>0</v>
      </c>
      <c r="AC237" s="4">
        <f t="shared" si="166"/>
        <v>0</v>
      </c>
      <c r="AD237" s="4">
        <f t="shared" si="166"/>
        <v>0</v>
      </c>
      <c r="AE237" s="4">
        <f t="shared" si="166"/>
        <v>0</v>
      </c>
      <c r="AF237" s="4">
        <f t="shared" si="166"/>
        <v>0</v>
      </c>
      <c r="AG237" s="4">
        <f t="shared" si="166"/>
        <v>0</v>
      </c>
      <c r="AH237" s="4">
        <v>0</v>
      </c>
      <c r="AI237" s="4">
        <v>0</v>
      </c>
      <c r="AJ237" s="4">
        <v>0</v>
      </c>
      <c r="AK237" s="4">
        <f t="shared" si="166"/>
        <v>0</v>
      </c>
      <c r="AL237" s="4">
        <f t="shared" si="166"/>
        <v>0</v>
      </c>
      <c r="AM237" s="4">
        <f t="shared" si="166"/>
        <v>0</v>
      </c>
      <c r="AN237" s="4">
        <f t="shared" si="166"/>
        <v>0</v>
      </c>
      <c r="AO237" s="4">
        <f t="shared" si="166"/>
        <v>0</v>
      </c>
      <c r="AP237" s="672"/>
      <c r="AQ237" s="268"/>
    </row>
    <row r="238" spans="1:43" s="266" customFormat="1" hidden="1" x14ac:dyDescent="0.25">
      <c r="A238" s="1345"/>
      <c r="B238" s="92" t="s">
        <v>250</v>
      </c>
      <c r="C238" s="1659"/>
      <c r="D238" s="1327"/>
      <c r="E238" s="1327"/>
      <c r="F238" s="1645"/>
      <c r="G238" s="1327"/>
      <c r="H238" s="1327"/>
      <c r="I238" s="1327"/>
      <c r="J238" s="1654"/>
      <c r="K238" s="96"/>
      <c r="L238" s="96">
        <f>SUM(M238:O238)</f>
        <v>0</v>
      </c>
      <c r="M238" s="268">
        <v>0</v>
      </c>
      <c r="N238" s="263"/>
      <c r="O238" s="263"/>
      <c r="P238" s="263">
        <f>R238+T238</f>
        <v>0</v>
      </c>
      <c r="Q238" s="263">
        <v>75</v>
      </c>
      <c r="R238" s="263">
        <f>S238</f>
        <v>0</v>
      </c>
      <c r="S238" s="263">
        <v>0</v>
      </c>
      <c r="T238" s="263">
        <v>0</v>
      </c>
      <c r="U238" s="263">
        <v>0</v>
      </c>
      <c r="V238" s="263">
        <v>0</v>
      </c>
      <c r="W238" s="263">
        <v>0</v>
      </c>
      <c r="X238" s="263">
        <v>0</v>
      </c>
      <c r="Y238" s="263">
        <v>0</v>
      </c>
      <c r="Z238" s="263"/>
      <c r="AA238" s="263">
        <v>75</v>
      </c>
      <c r="AB238" s="263">
        <v>0</v>
      </c>
      <c r="AC238" s="263">
        <v>0</v>
      </c>
      <c r="AD238" s="263"/>
      <c r="AE238" s="263"/>
      <c r="AF238" s="263"/>
      <c r="AG238" s="263"/>
      <c r="AH238" s="263"/>
      <c r="AI238" s="263"/>
      <c r="AJ238" s="263"/>
      <c r="AK238" s="263"/>
      <c r="AL238" s="263"/>
      <c r="AM238" s="263"/>
      <c r="AN238" s="263"/>
      <c r="AO238" s="263"/>
      <c r="AP238" s="413"/>
      <c r="AQ238" s="263"/>
    </row>
    <row r="239" spans="1:43" ht="18" customHeight="1" x14ac:dyDescent="0.25">
      <c r="A239" s="1346"/>
      <c r="B239" s="575" t="s">
        <v>16</v>
      </c>
      <c r="C239" s="1356"/>
      <c r="D239" s="1356"/>
      <c r="E239" s="1327"/>
      <c r="F239" s="1357"/>
      <c r="G239" s="1327"/>
      <c r="H239" s="1327"/>
      <c r="I239" s="1327"/>
      <c r="J239" s="1655"/>
      <c r="K239" s="47">
        <v>0</v>
      </c>
      <c r="L239" s="47">
        <v>4614.8599999999997</v>
      </c>
      <c r="M239" s="4">
        <v>0</v>
      </c>
      <c r="N239" s="4">
        <v>0</v>
      </c>
      <c r="O239" s="4">
        <v>4372.5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268"/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672"/>
      <c r="AQ239" s="268"/>
    </row>
    <row r="240" spans="1:43" s="327" customFormat="1" ht="21" customHeight="1" x14ac:dyDescent="0.25">
      <c r="A240" s="756"/>
      <c r="B240" s="830" t="s">
        <v>414</v>
      </c>
      <c r="C240" s="654"/>
      <c r="D240" s="654"/>
      <c r="E240" s="341"/>
      <c r="F240" s="831"/>
      <c r="G240" s="341"/>
      <c r="H240" s="765"/>
      <c r="I240" s="744"/>
      <c r="J240" s="761"/>
      <c r="K240" s="3"/>
      <c r="L240" s="3">
        <f t="shared" ref="L240:O240" si="167">L243+L241</f>
        <v>2081.9299999999998</v>
      </c>
      <c r="M240" s="3">
        <f t="shared" si="167"/>
        <v>0</v>
      </c>
      <c r="N240" s="3">
        <f t="shared" si="167"/>
        <v>2081.9299999999998</v>
      </c>
      <c r="O240" s="3">
        <f t="shared" si="167"/>
        <v>0</v>
      </c>
      <c r="P240" s="3">
        <f>SUM(P241:P242)</f>
        <v>2.7</v>
      </c>
      <c r="Q240" s="3">
        <f>SUM(Q241:Q242)</f>
        <v>0</v>
      </c>
      <c r="R240" s="3">
        <f t="shared" ref="R240:AA240" si="168">SUM(R241:R242)</f>
        <v>0</v>
      </c>
      <c r="S240" s="3">
        <f t="shared" si="168"/>
        <v>0</v>
      </c>
      <c r="T240" s="3">
        <f t="shared" si="168"/>
        <v>0</v>
      </c>
      <c r="U240" s="3">
        <f t="shared" si="168"/>
        <v>0</v>
      </c>
      <c r="V240" s="3">
        <f t="shared" si="168"/>
        <v>0</v>
      </c>
      <c r="W240" s="3">
        <f t="shared" si="168"/>
        <v>0</v>
      </c>
      <c r="X240" s="3">
        <f t="shared" si="168"/>
        <v>0</v>
      </c>
      <c r="Y240" s="3">
        <f t="shared" si="168"/>
        <v>0</v>
      </c>
      <c r="Z240" s="3">
        <f t="shared" si="168"/>
        <v>0</v>
      </c>
      <c r="AA240" s="3">
        <f t="shared" si="168"/>
        <v>0</v>
      </c>
      <c r="AB240" s="3">
        <f t="shared" ref="AB240:AJ240" si="169">AB243+AB241</f>
        <v>0</v>
      </c>
      <c r="AC240" s="3">
        <f t="shared" si="169"/>
        <v>0</v>
      </c>
      <c r="AD240" s="3">
        <f t="shared" si="169"/>
        <v>0</v>
      </c>
      <c r="AE240" s="3">
        <f t="shared" si="169"/>
        <v>0</v>
      </c>
      <c r="AF240" s="3">
        <f t="shared" si="169"/>
        <v>0</v>
      </c>
      <c r="AG240" s="3">
        <f t="shared" si="169"/>
        <v>0</v>
      </c>
      <c r="AH240" s="3">
        <f t="shared" si="169"/>
        <v>0</v>
      </c>
      <c r="AI240" s="3">
        <f t="shared" si="169"/>
        <v>0</v>
      </c>
      <c r="AJ240" s="3">
        <f t="shared" si="169"/>
        <v>0</v>
      </c>
      <c r="AK240" s="3">
        <f>P240-Q240</f>
        <v>2.7</v>
      </c>
      <c r="AL240" s="3">
        <f>AK240</f>
        <v>2.7</v>
      </c>
      <c r="AM240" s="318">
        <f>ROUND((Q240*100%/P240*100),2)</f>
        <v>0</v>
      </c>
      <c r="AN240" s="3">
        <f>AN243</f>
        <v>0</v>
      </c>
      <c r="AO240" s="3">
        <f>AO243</f>
        <v>0</v>
      </c>
      <c r="AP240" s="633"/>
      <c r="AQ240" s="95">
        <v>45</v>
      </c>
    </row>
    <row r="241" spans="1:43" ht="19.5" customHeight="1" x14ac:dyDescent="0.25">
      <c r="A241" s="756"/>
      <c r="B241" s="1" t="s">
        <v>15</v>
      </c>
      <c r="C241" s="654"/>
      <c r="D241" s="654"/>
      <c r="E241" s="341"/>
      <c r="F241" s="831"/>
      <c r="G241" s="341"/>
      <c r="H241" s="765"/>
      <c r="I241" s="744"/>
      <c r="J241" s="761"/>
      <c r="K241" s="47"/>
      <c r="L241" s="47">
        <f>SUM(M241:O241)</f>
        <v>2081.9299999999998</v>
      </c>
      <c r="M241" s="4">
        <v>0</v>
      </c>
      <c r="N241" s="4">
        <v>2081.9299999999998</v>
      </c>
      <c r="O241" s="4">
        <f t="shared" ref="O241:AO241" si="170">O242</f>
        <v>0</v>
      </c>
      <c r="P241" s="4">
        <v>2.7</v>
      </c>
      <c r="Q241" s="4">
        <v>0</v>
      </c>
      <c r="R241" s="4">
        <f t="shared" si="170"/>
        <v>0</v>
      </c>
      <c r="S241" s="4">
        <f t="shared" si="170"/>
        <v>0</v>
      </c>
      <c r="T241" s="4">
        <f t="shared" si="170"/>
        <v>0</v>
      </c>
      <c r="U241" s="4">
        <f t="shared" si="170"/>
        <v>0</v>
      </c>
      <c r="V241" s="4">
        <f t="shared" si="170"/>
        <v>0</v>
      </c>
      <c r="W241" s="4">
        <f t="shared" si="170"/>
        <v>0</v>
      </c>
      <c r="X241" s="4">
        <f t="shared" si="170"/>
        <v>0</v>
      </c>
      <c r="Y241" s="4">
        <f t="shared" si="170"/>
        <v>0</v>
      </c>
      <c r="Z241" s="268"/>
      <c r="AA241" s="4">
        <v>0</v>
      </c>
      <c r="AB241" s="4">
        <f t="shared" si="170"/>
        <v>0</v>
      </c>
      <c r="AC241" s="4">
        <f t="shared" si="170"/>
        <v>0</v>
      </c>
      <c r="AD241" s="4">
        <f t="shared" si="170"/>
        <v>0</v>
      </c>
      <c r="AE241" s="4">
        <f t="shared" si="170"/>
        <v>0</v>
      </c>
      <c r="AF241" s="4">
        <f t="shared" si="170"/>
        <v>0</v>
      </c>
      <c r="AG241" s="4">
        <f t="shared" si="170"/>
        <v>0</v>
      </c>
      <c r="AH241" s="4">
        <v>0</v>
      </c>
      <c r="AI241" s="4">
        <v>0</v>
      </c>
      <c r="AJ241" s="4">
        <v>0</v>
      </c>
      <c r="AK241" s="4">
        <f t="shared" si="170"/>
        <v>0</v>
      </c>
      <c r="AL241" s="4">
        <f t="shared" si="170"/>
        <v>0</v>
      </c>
      <c r="AM241" s="4">
        <f t="shared" si="170"/>
        <v>0</v>
      </c>
      <c r="AN241" s="4">
        <f t="shared" si="170"/>
        <v>0</v>
      </c>
      <c r="AO241" s="4">
        <f t="shared" si="170"/>
        <v>0</v>
      </c>
      <c r="AP241" s="755"/>
      <c r="AQ241" s="268"/>
    </row>
    <row r="242" spans="1:43" ht="18" customHeight="1" x14ac:dyDescent="0.25">
      <c r="A242" s="756"/>
      <c r="B242" s="575" t="s">
        <v>16</v>
      </c>
      <c r="C242" s="654"/>
      <c r="D242" s="654"/>
      <c r="E242" s="341"/>
      <c r="F242" s="831"/>
      <c r="G242" s="341"/>
      <c r="H242" s="765"/>
      <c r="I242" s="744"/>
      <c r="J242" s="761"/>
      <c r="K242" s="4"/>
      <c r="L242" s="47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268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755"/>
      <c r="AQ242" s="268"/>
    </row>
    <row r="243" spans="1:43" ht="54" hidden="1" customHeight="1" x14ac:dyDescent="0.25">
      <c r="A243" s="1332" t="s">
        <v>139</v>
      </c>
      <c r="B243" s="1613" t="s">
        <v>209</v>
      </c>
      <c r="C243" s="1614"/>
      <c r="D243" s="1614"/>
      <c r="E243" s="1614"/>
      <c r="F243" s="1614"/>
      <c r="G243" s="1614"/>
      <c r="H243" s="1615"/>
      <c r="I243" s="23" t="s">
        <v>19</v>
      </c>
      <c r="J243" s="645">
        <v>0</v>
      </c>
      <c r="K243" s="645">
        <v>0</v>
      </c>
      <c r="L243" s="47">
        <f>M243+N243+O243</f>
        <v>0</v>
      </c>
      <c r="M243" s="47">
        <v>0</v>
      </c>
      <c r="N243" s="47">
        <v>0</v>
      </c>
      <c r="O243" s="47">
        <v>0</v>
      </c>
      <c r="P243" s="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47">
        <v>0</v>
      </c>
      <c r="X243" s="47">
        <v>0</v>
      </c>
      <c r="Y243" s="47">
        <v>0</v>
      </c>
      <c r="Z243" s="96"/>
      <c r="AA243" s="47">
        <v>0</v>
      </c>
      <c r="AB243" s="47">
        <v>0</v>
      </c>
      <c r="AC243" s="47">
        <v>0</v>
      </c>
      <c r="AD243" s="47">
        <v>0</v>
      </c>
      <c r="AE243" s="47">
        <v>0</v>
      </c>
      <c r="AF243" s="47">
        <v>0</v>
      </c>
      <c r="AG243" s="47">
        <v>0</v>
      </c>
      <c r="AH243" s="47">
        <v>0</v>
      </c>
      <c r="AI243" s="47">
        <v>0</v>
      </c>
      <c r="AJ243" s="47">
        <v>0</v>
      </c>
      <c r="AK243" s="47">
        <v>0</v>
      </c>
      <c r="AL243" s="47">
        <v>0</v>
      </c>
      <c r="AM243" s="47">
        <v>0</v>
      </c>
      <c r="AN243" s="47">
        <v>0</v>
      </c>
      <c r="AO243" s="47">
        <v>0</v>
      </c>
      <c r="AP243" s="397"/>
      <c r="AQ243" s="96"/>
    </row>
    <row r="244" spans="1:43" ht="39.75" hidden="1" customHeight="1" x14ac:dyDescent="0.25">
      <c r="A244" s="1333"/>
      <c r="B244" s="1616"/>
      <c r="C244" s="1617"/>
      <c r="D244" s="1617"/>
      <c r="E244" s="1617"/>
      <c r="F244" s="1617"/>
      <c r="G244" s="1617"/>
      <c r="H244" s="1618"/>
      <c r="I244" s="23" t="s">
        <v>20</v>
      </c>
      <c r="J244" s="645" t="e">
        <f>K244+L244</f>
        <v>#REF!</v>
      </c>
      <c r="K244" s="645" t="e">
        <f>#REF!+K287+K299+K300</f>
        <v>#REF!</v>
      </c>
      <c r="L244" s="47">
        <f t="shared" ref="L244:AM244" si="171">L247+L250++L255+L259+L265+L267+L271+L276+L283+L287</f>
        <v>333768.50999999995</v>
      </c>
      <c r="M244" s="47">
        <f t="shared" si="171"/>
        <v>31936.59</v>
      </c>
      <c r="N244" s="47">
        <f t="shared" si="171"/>
        <v>80827.610000000015</v>
      </c>
      <c r="O244" s="47">
        <f t="shared" si="171"/>
        <v>46251.09</v>
      </c>
      <c r="P244" s="47">
        <f t="shared" si="171"/>
        <v>53453.89</v>
      </c>
      <c r="Q244" s="47">
        <f t="shared" si="171"/>
        <v>1215.4000000000001</v>
      </c>
      <c r="R244" s="47">
        <f t="shared" si="171"/>
        <v>784.17799999999988</v>
      </c>
      <c r="S244" s="47">
        <f t="shared" si="171"/>
        <v>784.17799999999988</v>
      </c>
      <c r="T244" s="47">
        <f t="shared" si="171"/>
        <v>3249.636</v>
      </c>
      <c r="U244" s="47">
        <f t="shared" si="171"/>
        <v>3253.0360000000001</v>
      </c>
      <c r="V244" s="47">
        <f t="shared" si="171"/>
        <v>157.59</v>
      </c>
      <c r="W244" s="47">
        <f t="shared" si="171"/>
        <v>1096.5039999999999</v>
      </c>
      <c r="X244" s="47">
        <f t="shared" si="171"/>
        <v>0</v>
      </c>
      <c r="Y244" s="47">
        <f t="shared" si="171"/>
        <v>0</v>
      </c>
      <c r="Z244" s="96"/>
      <c r="AA244" s="47">
        <f t="shared" si="171"/>
        <v>1870</v>
      </c>
      <c r="AB244" s="47">
        <f t="shared" si="171"/>
        <v>0</v>
      </c>
      <c r="AC244" s="47">
        <f t="shared" si="171"/>
        <v>2488.15</v>
      </c>
      <c r="AD244" s="47">
        <f t="shared" si="171"/>
        <v>64858.980889999999</v>
      </c>
      <c r="AE244" s="47">
        <f t="shared" si="171"/>
        <v>0</v>
      </c>
      <c r="AF244" s="47">
        <f t="shared" si="171"/>
        <v>0</v>
      </c>
      <c r="AG244" s="47">
        <f t="shared" si="171"/>
        <v>0</v>
      </c>
      <c r="AH244" s="47">
        <f t="shared" si="171"/>
        <v>0</v>
      </c>
      <c r="AI244" s="47">
        <f t="shared" si="171"/>
        <v>0</v>
      </c>
      <c r="AJ244" s="47">
        <f t="shared" si="171"/>
        <v>0</v>
      </c>
      <c r="AK244" s="47">
        <f t="shared" si="171"/>
        <v>44126.939999999995</v>
      </c>
      <c r="AL244" s="47">
        <f t="shared" si="171"/>
        <v>44126.939999999995</v>
      </c>
      <c r="AM244" s="47">
        <f t="shared" si="171"/>
        <v>0</v>
      </c>
      <c r="AN244" s="47">
        <f>AN247+AN250++AN255+AN258+AN265+AN267+AN271+AN276+AN283+AN286</f>
        <v>0</v>
      </c>
      <c r="AO244" s="47">
        <f>AO247+AO250++AO255+AO258+AO265+AO267+AO271+AO276+AO283+AO286</f>
        <v>0</v>
      </c>
      <c r="AP244" s="397"/>
      <c r="AQ244" s="96"/>
    </row>
    <row r="245" spans="1:43" ht="26.25" hidden="1" customHeight="1" x14ac:dyDescent="0.25">
      <c r="A245" s="1333"/>
      <c r="B245" s="1616"/>
      <c r="C245" s="1617"/>
      <c r="D245" s="1617"/>
      <c r="E245" s="1617"/>
      <c r="F245" s="1617"/>
      <c r="G245" s="1617"/>
      <c r="H245" s="1618"/>
      <c r="I245" s="23" t="s">
        <v>10</v>
      </c>
      <c r="J245" s="645">
        <v>0</v>
      </c>
      <c r="K245" s="645">
        <v>0</v>
      </c>
      <c r="L245" s="47">
        <f t="shared" ref="L245:AM245" si="172">L262+L263+L291</f>
        <v>297742.64</v>
      </c>
      <c r="M245" s="47">
        <f t="shared" si="172"/>
        <v>295242.64</v>
      </c>
      <c r="N245" s="47">
        <f t="shared" si="172"/>
        <v>297742.64</v>
      </c>
      <c r="O245" s="47">
        <f t="shared" si="172"/>
        <v>297742.64</v>
      </c>
      <c r="P245" s="47">
        <f t="shared" si="172"/>
        <v>0</v>
      </c>
      <c r="Q245" s="47">
        <f t="shared" si="172"/>
        <v>21705.919999999998</v>
      </c>
      <c r="R245" s="47">
        <f t="shared" si="172"/>
        <v>21705.95</v>
      </c>
      <c r="S245" s="47">
        <f t="shared" si="172"/>
        <v>21705.95</v>
      </c>
      <c r="T245" s="47">
        <f t="shared" si="172"/>
        <v>21705.95</v>
      </c>
      <c r="U245" s="47">
        <f t="shared" si="172"/>
        <v>21705.95</v>
      </c>
      <c r="V245" s="47">
        <f t="shared" si="172"/>
        <v>50383.255000000005</v>
      </c>
      <c r="W245" s="47">
        <f t="shared" si="172"/>
        <v>50383.255000000005</v>
      </c>
      <c r="X245" s="47">
        <f t="shared" si="172"/>
        <v>21705.95</v>
      </c>
      <c r="Y245" s="47">
        <f t="shared" si="172"/>
        <v>21705.95</v>
      </c>
      <c r="Z245" s="96"/>
      <c r="AA245" s="47">
        <f t="shared" si="172"/>
        <v>21705.919999999998</v>
      </c>
      <c r="AB245" s="47">
        <f t="shared" si="172"/>
        <v>17522.268</v>
      </c>
      <c r="AC245" s="47">
        <f t="shared" si="172"/>
        <v>32099.796000000002</v>
      </c>
      <c r="AD245" s="47">
        <f t="shared" si="172"/>
        <v>83597.849889999998</v>
      </c>
      <c r="AE245" s="47">
        <f t="shared" si="172"/>
        <v>0</v>
      </c>
      <c r="AF245" s="47">
        <f t="shared" si="172"/>
        <v>0</v>
      </c>
      <c r="AG245" s="47">
        <f t="shared" si="172"/>
        <v>0</v>
      </c>
      <c r="AH245" s="47">
        <f t="shared" si="172"/>
        <v>0</v>
      </c>
      <c r="AI245" s="47">
        <f t="shared" si="172"/>
        <v>0</v>
      </c>
      <c r="AJ245" s="47">
        <f t="shared" si="172"/>
        <v>0</v>
      </c>
      <c r="AK245" s="47">
        <f t="shared" si="172"/>
        <v>0</v>
      </c>
      <c r="AL245" s="47">
        <f t="shared" si="172"/>
        <v>0</v>
      </c>
      <c r="AM245" s="47">
        <f t="shared" si="172"/>
        <v>0</v>
      </c>
      <c r="AN245" s="47">
        <v>0</v>
      </c>
      <c r="AO245" s="47">
        <v>0</v>
      </c>
      <c r="AP245" s="397"/>
      <c r="AQ245" s="96"/>
    </row>
    <row r="246" spans="1:43" ht="25.5" hidden="1" x14ac:dyDescent="0.25">
      <c r="A246" s="1334"/>
      <c r="B246" s="1619"/>
      <c r="C246" s="1620"/>
      <c r="D246" s="1620"/>
      <c r="E246" s="1620"/>
      <c r="F246" s="1620"/>
      <c r="G246" s="1620"/>
      <c r="H246" s="1621"/>
      <c r="I246" s="23" t="s">
        <v>9</v>
      </c>
      <c r="J246" s="645">
        <v>0</v>
      </c>
      <c r="K246" s="645">
        <v>0</v>
      </c>
      <c r="L246" s="47">
        <f>M246+N246+O246</f>
        <v>0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47">
        <v>0</v>
      </c>
      <c r="X246" s="47">
        <v>0</v>
      </c>
      <c r="Y246" s="47">
        <v>0</v>
      </c>
      <c r="Z246" s="96"/>
      <c r="AA246" s="47">
        <v>0</v>
      </c>
      <c r="AB246" s="47">
        <v>0</v>
      </c>
      <c r="AC246" s="47">
        <v>0</v>
      </c>
      <c r="AD246" s="47">
        <v>0</v>
      </c>
      <c r="AE246" s="47">
        <v>0</v>
      </c>
      <c r="AF246" s="47">
        <v>0</v>
      </c>
      <c r="AG246" s="47">
        <v>0</v>
      </c>
      <c r="AH246" s="47">
        <v>0</v>
      </c>
      <c r="AI246" s="47">
        <v>0</v>
      </c>
      <c r="AJ246" s="47">
        <v>1</v>
      </c>
      <c r="AK246" s="47">
        <v>0</v>
      </c>
      <c r="AL246" s="47">
        <v>0</v>
      </c>
      <c r="AM246" s="47">
        <v>0</v>
      </c>
      <c r="AN246" s="47">
        <v>0</v>
      </c>
      <c r="AO246" s="47">
        <v>0</v>
      </c>
      <c r="AP246" s="397"/>
      <c r="AQ246" s="96"/>
    </row>
    <row r="247" spans="1:43" s="327" customFormat="1" ht="27.75" customHeight="1" x14ac:dyDescent="0.25">
      <c r="A247" s="1450" t="s">
        <v>184</v>
      </c>
      <c r="B247" s="780" t="s">
        <v>89</v>
      </c>
      <c r="C247" s="133"/>
      <c r="D247" s="133"/>
      <c r="E247" s="133"/>
      <c r="F247" s="133"/>
      <c r="G247" s="778"/>
      <c r="H247" s="778"/>
      <c r="I247" s="1463" t="s">
        <v>20</v>
      </c>
      <c r="J247" s="752"/>
      <c r="K247" s="3"/>
      <c r="L247" s="3">
        <f>L248</f>
        <v>5195.03</v>
      </c>
      <c r="M247" s="3">
        <f>M248</f>
        <v>0</v>
      </c>
      <c r="N247" s="3">
        <f t="shared" ref="N247:AO248" si="173">N248</f>
        <v>5037.4399999999996</v>
      </c>
      <c r="O247" s="3">
        <f t="shared" si="173"/>
        <v>0</v>
      </c>
      <c r="P247" s="3">
        <v>416.03</v>
      </c>
      <c r="Q247" s="3">
        <v>0</v>
      </c>
      <c r="R247" s="3">
        <f t="shared" si="173"/>
        <v>0</v>
      </c>
      <c r="S247" s="3">
        <f t="shared" si="173"/>
        <v>0</v>
      </c>
      <c r="T247" s="3">
        <f t="shared" si="173"/>
        <v>0</v>
      </c>
      <c r="U247" s="3">
        <f t="shared" si="173"/>
        <v>0</v>
      </c>
      <c r="V247" s="3">
        <f t="shared" si="173"/>
        <v>157.59</v>
      </c>
      <c r="W247" s="3">
        <f t="shared" si="173"/>
        <v>1096.5039999999999</v>
      </c>
      <c r="X247" s="3">
        <f t="shared" si="173"/>
        <v>0</v>
      </c>
      <c r="Y247" s="3">
        <f t="shared" si="173"/>
        <v>0</v>
      </c>
      <c r="Z247" s="3">
        <v>0</v>
      </c>
      <c r="AA247" s="3">
        <v>0</v>
      </c>
      <c r="AB247" s="3">
        <f t="shared" si="173"/>
        <v>0</v>
      </c>
      <c r="AC247" s="3">
        <f t="shared" si="173"/>
        <v>0</v>
      </c>
      <c r="AD247" s="3">
        <f t="shared" si="173"/>
        <v>1096.5039999999999</v>
      </c>
      <c r="AE247" s="3">
        <f t="shared" si="173"/>
        <v>0</v>
      </c>
      <c r="AF247" s="3">
        <f t="shared" si="173"/>
        <v>0</v>
      </c>
      <c r="AG247" s="3">
        <f t="shared" si="173"/>
        <v>0</v>
      </c>
      <c r="AH247" s="3">
        <f t="shared" si="173"/>
        <v>0</v>
      </c>
      <c r="AI247" s="3">
        <f t="shared" si="173"/>
        <v>0</v>
      </c>
      <c r="AJ247" s="3">
        <f t="shared" si="173"/>
        <v>0</v>
      </c>
      <c r="AK247" s="3">
        <f t="shared" si="173"/>
        <v>0</v>
      </c>
      <c r="AL247" s="3">
        <f t="shared" si="173"/>
        <v>0</v>
      </c>
      <c r="AM247" s="3">
        <f t="shared" si="173"/>
        <v>0</v>
      </c>
      <c r="AN247" s="3">
        <f t="shared" si="173"/>
        <v>0</v>
      </c>
      <c r="AO247" s="3">
        <f t="shared" si="173"/>
        <v>0</v>
      </c>
      <c r="AP247" s="633"/>
      <c r="AQ247" s="3">
        <v>0</v>
      </c>
    </row>
    <row r="248" spans="1:43" ht="15.75" hidden="1" customHeight="1" x14ac:dyDescent="0.25">
      <c r="A248" s="1656"/>
      <c r="B248" s="47" t="s">
        <v>15</v>
      </c>
      <c r="C248" s="341"/>
      <c r="D248" s="341"/>
      <c r="E248" s="341"/>
      <c r="F248" s="341"/>
      <c r="G248" s="313"/>
      <c r="H248" s="314"/>
      <c r="I248" s="1465"/>
      <c r="J248" s="650"/>
      <c r="K248" s="4"/>
      <c r="L248" s="47">
        <v>5195.03</v>
      </c>
      <c r="M248" s="50">
        <v>0</v>
      </c>
      <c r="N248" s="50">
        <v>5037.4399999999996</v>
      </c>
      <c r="O248" s="50">
        <v>0</v>
      </c>
      <c r="P248" s="50">
        <v>157.59</v>
      </c>
      <c r="Q248" s="447">
        <f>Q249</f>
        <v>1096.5039999999999</v>
      </c>
      <c r="R248" s="447">
        <f t="shared" si="173"/>
        <v>0</v>
      </c>
      <c r="S248" s="447">
        <f t="shared" si="173"/>
        <v>0</v>
      </c>
      <c r="T248" s="447">
        <f t="shared" si="173"/>
        <v>0</v>
      </c>
      <c r="U248" s="447">
        <f t="shared" si="173"/>
        <v>0</v>
      </c>
      <c r="V248" s="447">
        <f t="shared" si="173"/>
        <v>157.59</v>
      </c>
      <c r="W248" s="447">
        <f t="shared" si="173"/>
        <v>1096.5039999999999</v>
      </c>
      <c r="X248" s="447">
        <f t="shared" si="173"/>
        <v>0</v>
      </c>
      <c r="Y248" s="447">
        <f t="shared" si="173"/>
        <v>0</v>
      </c>
      <c r="Z248" s="584"/>
      <c r="AA248" s="447">
        <f t="shared" si="173"/>
        <v>1096.5039999999999</v>
      </c>
      <c r="AB248" s="447">
        <f t="shared" si="173"/>
        <v>0</v>
      </c>
      <c r="AC248" s="447">
        <f t="shared" si="173"/>
        <v>0</v>
      </c>
      <c r="AD248" s="447">
        <f t="shared" si="173"/>
        <v>1096.5039999999999</v>
      </c>
      <c r="AE248" s="447">
        <f t="shared" si="173"/>
        <v>0</v>
      </c>
      <c r="AF248" s="447">
        <f t="shared" si="173"/>
        <v>0</v>
      </c>
      <c r="AG248" s="447">
        <f t="shared" si="173"/>
        <v>0</v>
      </c>
      <c r="AH248" s="447">
        <f t="shared" si="173"/>
        <v>0</v>
      </c>
      <c r="AI248" s="447">
        <f t="shared" si="173"/>
        <v>0</v>
      </c>
      <c r="AJ248" s="447">
        <v>0</v>
      </c>
      <c r="AK248" s="447">
        <v>0</v>
      </c>
      <c r="AL248" s="447">
        <v>0</v>
      </c>
      <c r="AM248" s="50">
        <v>0</v>
      </c>
      <c r="AN248" s="50">
        <v>0</v>
      </c>
      <c r="AO248" s="50">
        <v>0</v>
      </c>
      <c r="AP248" s="412"/>
      <c r="AQ248" s="584"/>
    </row>
    <row r="249" spans="1:43" s="266" customFormat="1" ht="15.75" hidden="1" customHeight="1" x14ac:dyDescent="0.25">
      <c r="A249" s="1657"/>
      <c r="B249" s="96" t="s">
        <v>323</v>
      </c>
      <c r="C249" s="453"/>
      <c r="D249" s="453"/>
      <c r="E249" s="453"/>
      <c r="F249" s="453"/>
      <c r="G249" s="363"/>
      <c r="H249" s="364"/>
      <c r="I249" s="370"/>
      <c r="J249" s="651"/>
      <c r="K249" s="268"/>
      <c r="L249" s="96"/>
      <c r="M249" s="263"/>
      <c r="N249" s="263"/>
      <c r="O249" s="263"/>
      <c r="P249" s="263"/>
      <c r="Q249" s="584">
        <f>W249</f>
        <v>1096.5039999999999</v>
      </c>
      <c r="R249" s="584"/>
      <c r="S249" s="584"/>
      <c r="T249" s="584"/>
      <c r="U249" s="584"/>
      <c r="V249" s="584">
        <v>157.59</v>
      </c>
      <c r="W249" s="584">
        <v>1096.5039999999999</v>
      </c>
      <c r="X249" s="584"/>
      <c r="Y249" s="584"/>
      <c r="Z249" s="584"/>
      <c r="AA249" s="584">
        <f>AD249</f>
        <v>1096.5039999999999</v>
      </c>
      <c r="AB249" s="584"/>
      <c r="AC249" s="584"/>
      <c r="AD249" s="584">
        <v>1096.5039999999999</v>
      </c>
      <c r="AE249" s="584"/>
      <c r="AF249" s="584"/>
      <c r="AG249" s="584"/>
      <c r="AH249" s="584"/>
      <c r="AI249" s="584"/>
      <c r="AJ249" s="584"/>
      <c r="AK249" s="584"/>
      <c r="AL249" s="584"/>
      <c r="AM249" s="263"/>
      <c r="AN249" s="263"/>
      <c r="AO249" s="263"/>
      <c r="AP249" s="413"/>
      <c r="AQ249" s="584"/>
    </row>
    <row r="250" spans="1:43" s="327" customFormat="1" ht="28.5" customHeight="1" x14ac:dyDescent="0.25">
      <c r="A250" s="1450" t="s">
        <v>185</v>
      </c>
      <c r="B250" s="780" t="s">
        <v>187</v>
      </c>
      <c r="C250" s="133"/>
      <c r="D250" s="133"/>
      <c r="E250" s="133"/>
      <c r="F250" s="133"/>
      <c r="G250" s="778"/>
      <c r="H250" s="778"/>
      <c r="I250" s="1463" t="s">
        <v>20</v>
      </c>
      <c r="J250" s="752"/>
      <c r="K250" s="3"/>
      <c r="L250" s="3">
        <f>L251+L254</f>
        <v>134036.41</v>
      </c>
      <c r="M250" s="3">
        <f t="shared" ref="M250:AO250" si="174">M251+M254</f>
        <v>1825.11</v>
      </c>
      <c r="N250" s="3">
        <f t="shared" si="174"/>
        <v>57476.200000000004</v>
      </c>
      <c r="O250" s="3">
        <f t="shared" si="174"/>
        <v>0</v>
      </c>
      <c r="P250" s="3">
        <f t="shared" si="174"/>
        <v>8907.52</v>
      </c>
      <c r="Q250" s="3">
        <f t="shared" si="174"/>
        <v>0</v>
      </c>
      <c r="R250" s="3">
        <f t="shared" si="174"/>
        <v>0</v>
      </c>
      <c r="S250" s="3">
        <f t="shared" si="174"/>
        <v>0</v>
      </c>
      <c r="T250" s="3">
        <f t="shared" si="174"/>
        <v>0</v>
      </c>
      <c r="U250" s="3">
        <f t="shared" si="174"/>
        <v>0</v>
      </c>
      <c r="V250" s="3">
        <f t="shared" si="174"/>
        <v>0</v>
      </c>
      <c r="W250" s="3">
        <f t="shared" si="174"/>
        <v>0</v>
      </c>
      <c r="X250" s="3">
        <f t="shared" si="174"/>
        <v>0</v>
      </c>
      <c r="Y250" s="3">
        <f t="shared" si="174"/>
        <v>0</v>
      </c>
      <c r="Z250" s="95">
        <v>0</v>
      </c>
      <c r="AA250" s="3">
        <f>AA251+AA254</f>
        <v>0</v>
      </c>
      <c r="AB250" s="3">
        <f t="shared" si="174"/>
        <v>0</v>
      </c>
      <c r="AC250" s="3">
        <f t="shared" si="174"/>
        <v>0</v>
      </c>
      <c r="AD250" s="3">
        <f t="shared" si="174"/>
        <v>0</v>
      </c>
      <c r="AE250" s="3">
        <f t="shared" si="174"/>
        <v>0</v>
      </c>
      <c r="AF250" s="3">
        <f t="shared" si="174"/>
        <v>0</v>
      </c>
      <c r="AG250" s="3">
        <f t="shared" si="174"/>
        <v>0</v>
      </c>
      <c r="AH250" s="3">
        <f t="shared" si="174"/>
        <v>0</v>
      </c>
      <c r="AI250" s="3">
        <f t="shared" si="174"/>
        <v>0</v>
      </c>
      <c r="AJ250" s="3">
        <f t="shared" si="174"/>
        <v>0</v>
      </c>
      <c r="AK250" s="3">
        <f t="shared" si="174"/>
        <v>0</v>
      </c>
      <c r="AL250" s="3">
        <f t="shared" si="174"/>
        <v>0</v>
      </c>
      <c r="AM250" s="3">
        <f t="shared" si="174"/>
        <v>0</v>
      </c>
      <c r="AN250" s="3">
        <f t="shared" si="174"/>
        <v>0</v>
      </c>
      <c r="AO250" s="3">
        <f t="shared" si="174"/>
        <v>0</v>
      </c>
      <c r="AP250" s="633" t="s">
        <v>256</v>
      </c>
      <c r="AQ250" s="95">
        <v>0</v>
      </c>
    </row>
    <row r="251" spans="1:43" ht="15.75" customHeight="1" x14ac:dyDescent="0.25">
      <c r="A251" s="1656"/>
      <c r="B251" s="47" t="s">
        <v>15</v>
      </c>
      <c r="C251" s="341"/>
      <c r="D251" s="341"/>
      <c r="E251" s="341"/>
      <c r="F251" s="341"/>
      <c r="G251" s="313"/>
      <c r="H251" s="314"/>
      <c r="I251" s="1464"/>
      <c r="J251" s="650"/>
      <c r="K251" s="4"/>
      <c r="L251" s="47">
        <v>2401.5100000000002</v>
      </c>
      <c r="M251" s="47">
        <v>1825.11</v>
      </c>
      <c r="N251" s="47">
        <v>576.4</v>
      </c>
      <c r="O251" s="47">
        <v>0</v>
      </c>
      <c r="P251" s="47">
        <v>0</v>
      </c>
      <c r="Q251" s="47">
        <f>SUM(Q252:Q253)</f>
        <v>0</v>
      </c>
      <c r="R251" s="50">
        <f>SUM(R252:R253)</f>
        <v>0</v>
      </c>
      <c r="S251" s="50">
        <f t="shared" ref="S251:Y251" si="175">SUM(S252:S253)</f>
        <v>0</v>
      </c>
      <c r="T251" s="50">
        <f t="shared" si="175"/>
        <v>0</v>
      </c>
      <c r="U251" s="50">
        <f t="shared" si="175"/>
        <v>0</v>
      </c>
      <c r="V251" s="50">
        <f t="shared" si="175"/>
        <v>0</v>
      </c>
      <c r="W251" s="50">
        <f t="shared" si="175"/>
        <v>0</v>
      </c>
      <c r="X251" s="447">
        <f t="shared" si="175"/>
        <v>0</v>
      </c>
      <c r="Y251" s="447">
        <f t="shared" si="175"/>
        <v>0</v>
      </c>
      <c r="Z251" s="584"/>
      <c r="AA251" s="447">
        <f>AA252+AA253</f>
        <v>0</v>
      </c>
      <c r="AB251" s="50">
        <f>AB252+AB253</f>
        <v>0</v>
      </c>
      <c r="AC251" s="50">
        <f>AC252+AC253</f>
        <v>0</v>
      </c>
      <c r="AD251" s="50">
        <f>AD252+AD253</f>
        <v>0</v>
      </c>
      <c r="AE251" s="50">
        <f>AE252</f>
        <v>0</v>
      </c>
      <c r="AF251" s="50">
        <v>0</v>
      </c>
      <c r="AG251" s="50">
        <v>0</v>
      </c>
      <c r="AH251" s="50">
        <v>0</v>
      </c>
      <c r="AI251" s="50">
        <v>0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412"/>
      <c r="AQ251" s="584"/>
    </row>
    <row r="252" spans="1:43" s="266" customFormat="1" ht="15.75" hidden="1" customHeight="1" x14ac:dyDescent="0.25">
      <c r="A252" s="1656"/>
      <c r="B252" s="452" t="s">
        <v>267</v>
      </c>
      <c r="C252" s="453"/>
      <c r="D252" s="453"/>
      <c r="E252" s="453"/>
      <c r="F252" s="453"/>
      <c r="G252" s="453"/>
      <c r="H252" s="454"/>
      <c r="I252" s="1464"/>
      <c r="J252" s="651"/>
      <c r="K252" s="268"/>
      <c r="L252" s="96"/>
      <c r="M252" s="268"/>
      <c r="N252" s="268"/>
      <c r="O252" s="268"/>
      <c r="P252" s="268">
        <f>Q252</f>
        <v>0</v>
      </c>
      <c r="Q252" s="455">
        <f>S252+U252+W252</f>
        <v>0</v>
      </c>
      <c r="R252" s="455"/>
      <c r="S252" s="455"/>
      <c r="T252" s="455">
        <v>0</v>
      </c>
      <c r="U252" s="455">
        <v>0</v>
      </c>
      <c r="V252" s="455"/>
      <c r="W252" s="455"/>
      <c r="X252" s="455"/>
      <c r="Y252" s="455"/>
      <c r="Z252" s="455"/>
      <c r="AA252" s="455">
        <f>SUM(AB252:AE252)</f>
        <v>0</v>
      </c>
      <c r="AB252" s="455"/>
      <c r="AC252" s="455">
        <v>0</v>
      </c>
      <c r="AD252" s="455">
        <v>0</v>
      </c>
      <c r="AE252" s="455"/>
      <c r="AF252" s="455"/>
      <c r="AG252" s="455"/>
      <c r="AH252" s="455"/>
      <c r="AI252" s="455"/>
      <c r="AJ252" s="455"/>
      <c r="AK252" s="455"/>
      <c r="AL252" s="455"/>
      <c r="AM252" s="455"/>
      <c r="AN252" s="455"/>
      <c r="AO252" s="455"/>
      <c r="AP252" s="456"/>
      <c r="AQ252" s="455"/>
    </row>
    <row r="253" spans="1:43" s="266" customFormat="1" ht="15.75" hidden="1" customHeight="1" x14ac:dyDescent="0.25">
      <c r="A253" s="1656"/>
      <c r="B253" s="452" t="s">
        <v>271</v>
      </c>
      <c r="C253" s="453"/>
      <c r="D253" s="453"/>
      <c r="E253" s="453"/>
      <c r="F253" s="453"/>
      <c r="G253" s="453"/>
      <c r="H253" s="454"/>
      <c r="I253" s="1464"/>
      <c r="J253" s="651"/>
      <c r="K253" s="268"/>
      <c r="L253" s="96"/>
      <c r="M253" s="268"/>
      <c r="N253" s="268"/>
      <c r="O253" s="268"/>
      <c r="P253" s="268"/>
      <c r="Q253" s="489">
        <f>S253+U253+W253+Y253</f>
        <v>0</v>
      </c>
      <c r="R253" s="489"/>
      <c r="S253" s="489"/>
      <c r="T253" s="489"/>
      <c r="U253" s="489"/>
      <c r="V253" s="489">
        <f>W253</f>
        <v>0</v>
      </c>
      <c r="W253" s="489">
        <v>0</v>
      </c>
      <c r="X253" s="489">
        <f>Y253</f>
        <v>0</v>
      </c>
      <c r="Y253" s="489">
        <v>0</v>
      </c>
      <c r="Z253" s="489"/>
      <c r="AA253" s="489">
        <f>SUM(AB253:AE253)</f>
        <v>0</v>
      </c>
      <c r="AB253" s="489"/>
      <c r="AC253" s="489"/>
      <c r="AD253" s="489">
        <v>0</v>
      </c>
      <c r="AE253" s="455"/>
      <c r="AF253" s="455"/>
      <c r="AG253" s="455"/>
      <c r="AH253" s="455"/>
      <c r="AI253" s="455"/>
      <c r="AJ253" s="455"/>
      <c r="AK253" s="455"/>
      <c r="AL253" s="455"/>
      <c r="AM253" s="455"/>
      <c r="AN253" s="455"/>
      <c r="AO253" s="455"/>
      <c r="AP253" s="456"/>
      <c r="AQ253" s="489"/>
    </row>
    <row r="254" spans="1:43" ht="15.75" customHeight="1" x14ac:dyDescent="0.25">
      <c r="A254" s="1657"/>
      <c r="B254" s="340" t="s">
        <v>32</v>
      </c>
      <c r="C254" s="341"/>
      <c r="D254" s="341"/>
      <c r="E254" s="341"/>
      <c r="F254" s="341"/>
      <c r="G254" s="341"/>
      <c r="H254" s="342"/>
      <c r="I254" s="1662"/>
      <c r="J254" s="650"/>
      <c r="K254" s="4"/>
      <c r="L254" s="47">
        <v>131634.9</v>
      </c>
      <c r="M254" s="343">
        <v>0</v>
      </c>
      <c r="N254" s="47">
        <v>56899.8</v>
      </c>
      <c r="O254" s="343">
        <v>0</v>
      </c>
      <c r="P254" s="47">
        <v>8907.52</v>
      </c>
      <c r="Q254" s="47">
        <v>0</v>
      </c>
      <c r="R254" s="343">
        <v>0</v>
      </c>
      <c r="S254" s="343">
        <v>0</v>
      </c>
      <c r="T254" s="343">
        <v>0</v>
      </c>
      <c r="U254" s="343">
        <v>0</v>
      </c>
      <c r="V254" s="343">
        <v>0</v>
      </c>
      <c r="W254" s="343">
        <v>0</v>
      </c>
      <c r="X254" s="343">
        <v>0</v>
      </c>
      <c r="Y254" s="343">
        <v>0</v>
      </c>
      <c r="Z254" s="455"/>
      <c r="AA254" s="343">
        <v>0</v>
      </c>
      <c r="AB254" s="343">
        <v>0</v>
      </c>
      <c r="AC254" s="343">
        <v>0</v>
      </c>
      <c r="AD254" s="343">
        <v>0</v>
      </c>
      <c r="AE254" s="343">
        <v>0</v>
      </c>
      <c r="AF254" s="343">
        <v>0</v>
      </c>
      <c r="AG254" s="343">
        <v>0</v>
      </c>
      <c r="AH254" s="343">
        <v>0</v>
      </c>
      <c r="AI254" s="343">
        <v>0</v>
      </c>
      <c r="AJ254" s="343">
        <v>0</v>
      </c>
      <c r="AK254" s="343">
        <v>0</v>
      </c>
      <c r="AL254" s="343">
        <v>0</v>
      </c>
      <c r="AM254" s="343">
        <v>0</v>
      </c>
      <c r="AN254" s="343">
        <v>0</v>
      </c>
      <c r="AO254" s="343">
        <v>0</v>
      </c>
      <c r="AP254" s="415"/>
      <c r="AQ254" s="455"/>
    </row>
    <row r="255" spans="1:43" s="327" customFormat="1" ht="27.75" customHeight="1" x14ac:dyDescent="0.25">
      <c r="A255" s="1473" t="s">
        <v>186</v>
      </c>
      <c r="B255" s="780" t="s">
        <v>210</v>
      </c>
      <c r="C255" s="754"/>
      <c r="D255" s="754"/>
      <c r="E255" s="754">
        <v>300</v>
      </c>
      <c r="F255" s="754"/>
      <c r="G255" s="754">
        <v>2019</v>
      </c>
      <c r="H255" s="754">
        <v>2019</v>
      </c>
      <c r="I255" s="1493" t="s">
        <v>20</v>
      </c>
      <c r="J255" s="52">
        <f>K255+L255</f>
        <v>27019.38</v>
      </c>
      <c r="K255" s="3">
        <v>0</v>
      </c>
      <c r="L255" s="3">
        <f>L256</f>
        <v>27019.38</v>
      </c>
      <c r="M255" s="3">
        <f>M256</f>
        <v>27019.38</v>
      </c>
      <c r="N255" s="318">
        <v>0</v>
      </c>
      <c r="O255" s="318">
        <v>0</v>
      </c>
      <c r="P255" s="318">
        <f>P256</f>
        <v>0</v>
      </c>
      <c r="Q255" s="318">
        <f>Q256</f>
        <v>0</v>
      </c>
      <c r="R255" s="318">
        <f t="shared" ref="R255:AO256" si="176">R256</f>
        <v>0</v>
      </c>
      <c r="S255" s="318">
        <f t="shared" si="176"/>
        <v>0</v>
      </c>
      <c r="T255" s="318">
        <f t="shared" si="176"/>
        <v>0</v>
      </c>
      <c r="U255" s="318">
        <f t="shared" si="176"/>
        <v>0</v>
      </c>
      <c r="V255" s="318">
        <f t="shared" si="176"/>
        <v>0</v>
      </c>
      <c r="W255" s="318">
        <f t="shared" si="176"/>
        <v>0</v>
      </c>
      <c r="X255" s="318">
        <f t="shared" si="176"/>
        <v>0</v>
      </c>
      <c r="Y255" s="318">
        <f t="shared" si="176"/>
        <v>0</v>
      </c>
      <c r="Z255" s="372">
        <v>0</v>
      </c>
      <c r="AA255" s="318">
        <f t="shared" si="176"/>
        <v>0</v>
      </c>
      <c r="AB255" s="318">
        <f t="shared" si="176"/>
        <v>0</v>
      </c>
      <c r="AC255" s="318">
        <f t="shared" si="176"/>
        <v>0</v>
      </c>
      <c r="AD255" s="318">
        <f t="shared" si="176"/>
        <v>0</v>
      </c>
      <c r="AE255" s="318">
        <f t="shared" si="176"/>
        <v>0</v>
      </c>
      <c r="AF255" s="318">
        <f t="shared" si="176"/>
        <v>0</v>
      </c>
      <c r="AG255" s="318">
        <f t="shared" si="176"/>
        <v>0</v>
      </c>
      <c r="AH255" s="318">
        <f t="shared" si="176"/>
        <v>0</v>
      </c>
      <c r="AI255" s="318">
        <f t="shared" si="176"/>
        <v>0</v>
      </c>
      <c r="AJ255" s="318">
        <f t="shared" si="176"/>
        <v>0</v>
      </c>
      <c r="AK255" s="318">
        <f t="shared" si="176"/>
        <v>0</v>
      </c>
      <c r="AL255" s="318">
        <f t="shared" si="176"/>
        <v>0</v>
      </c>
      <c r="AM255" s="318">
        <f t="shared" si="176"/>
        <v>0</v>
      </c>
      <c r="AN255" s="318">
        <f t="shared" si="176"/>
        <v>0</v>
      </c>
      <c r="AO255" s="318">
        <f t="shared" si="176"/>
        <v>0</v>
      </c>
      <c r="AP255" s="783" t="s">
        <v>273</v>
      </c>
      <c r="AQ255" s="372">
        <v>0</v>
      </c>
    </row>
    <row r="256" spans="1:43" ht="19.5" hidden="1" customHeight="1" x14ac:dyDescent="0.25">
      <c r="A256" s="1663"/>
      <c r="B256" s="1" t="s">
        <v>211</v>
      </c>
      <c r="C256" s="597"/>
      <c r="D256" s="597"/>
      <c r="E256" s="597"/>
      <c r="F256" s="597"/>
      <c r="G256" s="597"/>
      <c r="H256" s="597"/>
      <c r="I256" s="1494"/>
      <c r="J256" s="6"/>
      <c r="K256" s="47"/>
      <c r="L256" s="47">
        <v>27019.38</v>
      </c>
      <c r="M256" s="47">
        <v>27019.38</v>
      </c>
      <c r="N256" s="47">
        <v>0</v>
      </c>
      <c r="O256" s="47">
        <v>0</v>
      </c>
      <c r="P256" s="4">
        <v>0</v>
      </c>
      <c r="Q256" s="4">
        <f>Q257</f>
        <v>0</v>
      </c>
      <c r="R256" s="4">
        <f t="shared" si="176"/>
        <v>0</v>
      </c>
      <c r="S256" s="4">
        <f t="shared" si="176"/>
        <v>0</v>
      </c>
      <c r="T256" s="4">
        <f t="shared" si="176"/>
        <v>0</v>
      </c>
      <c r="U256" s="4">
        <f t="shared" si="176"/>
        <v>0</v>
      </c>
      <c r="V256" s="4">
        <f t="shared" si="176"/>
        <v>0</v>
      </c>
      <c r="W256" s="4">
        <f t="shared" si="176"/>
        <v>0</v>
      </c>
      <c r="X256" s="4">
        <v>0</v>
      </c>
      <c r="Y256" s="4">
        <f t="shared" si="176"/>
        <v>0</v>
      </c>
      <c r="Z256" s="268"/>
      <c r="AA256" s="4">
        <f t="shared" si="176"/>
        <v>0</v>
      </c>
      <c r="AB256" s="4">
        <f t="shared" si="176"/>
        <v>0</v>
      </c>
      <c r="AC256" s="4">
        <f t="shared" si="176"/>
        <v>0</v>
      </c>
      <c r="AD256" s="4">
        <f t="shared" si="176"/>
        <v>0</v>
      </c>
      <c r="AE256" s="4">
        <f t="shared" si="176"/>
        <v>0</v>
      </c>
      <c r="AF256" s="4">
        <f>AF257</f>
        <v>0</v>
      </c>
      <c r="AG256" s="4">
        <f t="shared" si="176"/>
        <v>0</v>
      </c>
      <c r="AH256" s="4">
        <f t="shared" si="176"/>
        <v>0</v>
      </c>
      <c r="AI256" s="4">
        <f t="shared" si="176"/>
        <v>0</v>
      </c>
      <c r="AJ256" s="4">
        <f t="shared" si="176"/>
        <v>0</v>
      </c>
      <c r="AK256" s="4">
        <f t="shared" si="176"/>
        <v>0</v>
      </c>
      <c r="AL256" s="4">
        <f t="shared" si="176"/>
        <v>0</v>
      </c>
      <c r="AM256" s="4">
        <f t="shared" si="176"/>
        <v>0</v>
      </c>
      <c r="AN256" s="4">
        <f t="shared" si="176"/>
        <v>0</v>
      </c>
      <c r="AO256" s="4">
        <f t="shared" si="176"/>
        <v>0</v>
      </c>
      <c r="AP256" s="417"/>
      <c r="AQ256" s="268"/>
    </row>
    <row r="257" spans="1:43" s="266" customFormat="1" ht="15.75" hidden="1" x14ac:dyDescent="0.25">
      <c r="A257" s="267"/>
      <c r="B257" s="102" t="s">
        <v>253</v>
      </c>
      <c r="C257" s="104"/>
      <c r="D257" s="104"/>
      <c r="E257" s="104"/>
      <c r="F257" s="104"/>
      <c r="G257" s="104"/>
      <c r="H257" s="104"/>
      <c r="I257" s="102"/>
      <c r="J257" s="106"/>
      <c r="K257" s="96"/>
      <c r="L257" s="96"/>
      <c r="M257" s="268"/>
      <c r="N257" s="268"/>
      <c r="O257" s="268"/>
      <c r="P257" s="268">
        <f>Q257</f>
        <v>0</v>
      </c>
      <c r="Q257" s="268">
        <f>S257+U257+W257</f>
        <v>0</v>
      </c>
      <c r="R257" s="268">
        <f>S257</f>
        <v>0</v>
      </c>
      <c r="S257" s="268">
        <v>0</v>
      </c>
      <c r="T257" s="268">
        <v>0</v>
      </c>
      <c r="U257" s="268">
        <v>0</v>
      </c>
      <c r="V257" s="268">
        <f>W257</f>
        <v>0</v>
      </c>
      <c r="W257" s="268">
        <v>0</v>
      </c>
      <c r="X257" s="268">
        <v>0</v>
      </c>
      <c r="Y257" s="268">
        <v>0</v>
      </c>
      <c r="Z257" s="268"/>
      <c r="AA257" s="268">
        <f>SUM(AB257:AC257)</f>
        <v>0</v>
      </c>
      <c r="AB257" s="268">
        <v>0</v>
      </c>
      <c r="AC257" s="268">
        <v>0</v>
      </c>
      <c r="AD257" s="268">
        <v>0</v>
      </c>
      <c r="AE257" s="268"/>
      <c r="AF257" s="268">
        <f>SUM(AG257:AI257)</f>
        <v>0</v>
      </c>
      <c r="AG257" s="268"/>
      <c r="AH257" s="268">
        <v>0</v>
      </c>
      <c r="AI257" s="268">
        <v>0</v>
      </c>
      <c r="AJ257" s="268"/>
      <c r="AK257" s="96"/>
      <c r="AL257" s="96"/>
      <c r="AM257" s="96"/>
      <c r="AN257" s="268"/>
      <c r="AO257" s="268"/>
      <c r="AP257" s="418"/>
      <c r="AQ257" s="268"/>
    </row>
    <row r="258" spans="1:43" s="327" customFormat="1" ht="40.5" customHeight="1" x14ac:dyDescent="0.25">
      <c r="A258" s="832" t="s">
        <v>188</v>
      </c>
      <c r="B258" s="780" t="s">
        <v>289</v>
      </c>
      <c r="C258" s="754">
        <v>63</v>
      </c>
      <c r="D258" s="754">
        <v>250</v>
      </c>
      <c r="E258" s="754">
        <v>250</v>
      </c>
      <c r="F258" s="754"/>
      <c r="G258" s="754">
        <v>2019</v>
      </c>
      <c r="H258" s="754">
        <v>2019</v>
      </c>
      <c r="I258" s="780"/>
      <c r="J258" s="52">
        <f>K258+L258</f>
        <v>36691.870000000003</v>
      </c>
      <c r="K258" s="3">
        <v>0</v>
      </c>
      <c r="L258" s="3">
        <f>L259+L262+L263</f>
        <v>36691.870000000003</v>
      </c>
      <c r="M258" s="3">
        <f>M259+M262+M263</f>
        <v>31392.57</v>
      </c>
      <c r="N258" s="3">
        <f>N259+N262+N263</f>
        <v>33892.57</v>
      </c>
      <c r="O258" s="3">
        <f>O259+O262+O263</f>
        <v>33892.57</v>
      </c>
      <c r="P258" s="3">
        <f>P259+P262+P263</f>
        <v>0</v>
      </c>
      <c r="Q258" s="3">
        <f>Q259+Q263</f>
        <v>0</v>
      </c>
      <c r="R258" s="3">
        <f t="shared" ref="R258:AA258" si="177">R259+R263</f>
        <v>138.15199999999999</v>
      </c>
      <c r="S258" s="3">
        <f t="shared" si="177"/>
        <v>138.15199999999999</v>
      </c>
      <c r="T258" s="3">
        <f t="shared" si="177"/>
        <v>2350</v>
      </c>
      <c r="U258" s="3">
        <f t="shared" si="177"/>
        <v>2350</v>
      </c>
      <c r="V258" s="3">
        <f t="shared" si="177"/>
        <v>28677.305</v>
      </c>
      <c r="W258" s="3">
        <f t="shared" si="177"/>
        <v>28677.305</v>
      </c>
      <c r="X258" s="3">
        <f t="shared" si="177"/>
        <v>0</v>
      </c>
      <c r="Y258" s="3">
        <f t="shared" si="177"/>
        <v>0</v>
      </c>
      <c r="Z258" s="3">
        <f t="shared" si="177"/>
        <v>0</v>
      </c>
      <c r="AA258" s="3">
        <f t="shared" si="177"/>
        <v>0</v>
      </c>
      <c r="AB258" s="3">
        <f t="shared" ref="AB258:AI258" si="178">AB259+AB263</f>
        <v>0</v>
      </c>
      <c r="AC258" s="3">
        <f t="shared" si="178"/>
        <v>17468.748</v>
      </c>
      <c r="AD258" s="3">
        <f t="shared" si="178"/>
        <v>19862.373</v>
      </c>
      <c r="AE258" s="3">
        <f t="shared" si="178"/>
        <v>0</v>
      </c>
      <c r="AF258" s="3">
        <f t="shared" si="178"/>
        <v>0</v>
      </c>
      <c r="AG258" s="3">
        <f t="shared" si="178"/>
        <v>0</v>
      </c>
      <c r="AH258" s="3">
        <f t="shared" si="178"/>
        <v>0</v>
      </c>
      <c r="AI258" s="3">
        <f t="shared" si="178"/>
        <v>0</v>
      </c>
      <c r="AJ258" s="3">
        <v>0</v>
      </c>
      <c r="AK258" s="3">
        <f>P258-Q258</f>
        <v>0</v>
      </c>
      <c r="AL258" s="3">
        <f>AK258</f>
        <v>0</v>
      </c>
      <c r="AM258" s="318" t="e">
        <f>ROUND((Q258*100%/P258*100),2)</f>
        <v>#DIV/0!</v>
      </c>
      <c r="AN258" s="3">
        <v>0</v>
      </c>
      <c r="AO258" s="3">
        <v>0</v>
      </c>
      <c r="AP258" s="633"/>
      <c r="AQ258" s="95">
        <f>76.182+4641.965+15.332</f>
        <v>4733.4790000000003</v>
      </c>
    </row>
    <row r="259" spans="1:43" ht="33.75" x14ac:dyDescent="0.25">
      <c r="A259" s="599"/>
      <c r="B259" s="47" t="s">
        <v>15</v>
      </c>
      <c r="C259" s="597"/>
      <c r="D259" s="597"/>
      <c r="E259" s="597"/>
      <c r="F259" s="597"/>
      <c r="G259" s="597"/>
      <c r="H259" s="597"/>
      <c r="I259" s="481" t="s">
        <v>20</v>
      </c>
      <c r="J259" s="462"/>
      <c r="K259" s="47"/>
      <c r="L259" s="47">
        <v>2799.3</v>
      </c>
      <c r="M259" s="4"/>
      <c r="N259" s="4">
        <v>0</v>
      </c>
      <c r="O259" s="4"/>
      <c r="P259" s="4">
        <v>0</v>
      </c>
      <c r="Q259" s="4">
        <v>0</v>
      </c>
      <c r="R259" s="4">
        <f t="shared" ref="R259:AE259" si="179">SUM(R260:R261)</f>
        <v>138.15199999999999</v>
      </c>
      <c r="S259" s="4">
        <f t="shared" si="179"/>
        <v>138.15199999999999</v>
      </c>
      <c r="T259" s="4">
        <f t="shared" si="179"/>
        <v>2350</v>
      </c>
      <c r="U259" s="4">
        <f t="shared" si="179"/>
        <v>2350</v>
      </c>
      <c r="V259" s="4">
        <f t="shared" si="179"/>
        <v>0</v>
      </c>
      <c r="W259" s="4">
        <f t="shared" si="179"/>
        <v>0</v>
      </c>
      <c r="X259" s="4">
        <f t="shared" si="179"/>
        <v>0</v>
      </c>
      <c r="Y259" s="4">
        <f t="shared" si="179"/>
        <v>0</v>
      </c>
      <c r="Z259" s="268"/>
      <c r="AA259" s="4">
        <v>0</v>
      </c>
      <c r="AB259" s="4">
        <f t="shared" si="179"/>
        <v>0</v>
      </c>
      <c r="AC259" s="4">
        <f t="shared" si="179"/>
        <v>2488.15</v>
      </c>
      <c r="AD259" s="4">
        <f t="shared" si="179"/>
        <v>0</v>
      </c>
      <c r="AE259" s="4">
        <f t="shared" si="179"/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7">
        <v>0</v>
      </c>
      <c r="AL259" s="47">
        <v>0</v>
      </c>
      <c r="AM259" s="47">
        <v>0</v>
      </c>
      <c r="AN259" s="4">
        <v>0</v>
      </c>
      <c r="AO259" s="4">
        <v>0</v>
      </c>
      <c r="AP259" s="672"/>
      <c r="AQ259" s="268"/>
    </row>
    <row r="260" spans="1:43" s="266" customFormat="1" ht="15.75" hidden="1" x14ac:dyDescent="0.25">
      <c r="A260" s="267"/>
      <c r="B260" s="102" t="s">
        <v>303</v>
      </c>
      <c r="C260" s="104"/>
      <c r="D260" s="104"/>
      <c r="E260" s="104"/>
      <c r="F260" s="104"/>
      <c r="G260" s="104"/>
      <c r="H260" s="104"/>
      <c r="I260" s="102"/>
      <c r="J260" s="106"/>
      <c r="K260" s="96"/>
      <c r="L260" s="96"/>
      <c r="M260" s="268"/>
      <c r="N260" s="268"/>
      <c r="O260" s="268"/>
      <c r="P260" s="268">
        <f>R260+T260</f>
        <v>138.15199999999999</v>
      </c>
      <c r="Q260" s="268">
        <f>S260</f>
        <v>138.15199999999999</v>
      </c>
      <c r="R260" s="268">
        <f>S260</f>
        <v>138.15199999999999</v>
      </c>
      <c r="S260" s="268">
        <v>138.15199999999999</v>
      </c>
      <c r="T260" s="268">
        <f>U260</f>
        <v>0</v>
      </c>
      <c r="U260" s="268">
        <v>0</v>
      </c>
      <c r="V260" s="268"/>
      <c r="W260" s="268"/>
      <c r="X260" s="268"/>
      <c r="Y260" s="268">
        <v>0</v>
      </c>
      <c r="Z260" s="268"/>
      <c r="AA260" s="268">
        <f>AC260</f>
        <v>138.15</v>
      </c>
      <c r="AB260" s="268">
        <v>0</v>
      </c>
      <c r="AC260" s="268">
        <v>138.15</v>
      </c>
      <c r="AD260" s="268"/>
      <c r="AE260" s="268">
        <v>0</v>
      </c>
      <c r="AF260" s="268"/>
      <c r="AG260" s="268"/>
      <c r="AH260" s="268"/>
      <c r="AI260" s="268"/>
      <c r="AJ260" s="268"/>
      <c r="AK260" s="47">
        <v>0</v>
      </c>
      <c r="AL260" s="47">
        <v>0</v>
      </c>
      <c r="AM260" s="47">
        <v>0</v>
      </c>
      <c r="AN260" s="4">
        <v>0</v>
      </c>
      <c r="AO260" s="4">
        <v>0</v>
      </c>
      <c r="AP260" s="418"/>
      <c r="AQ260" s="268"/>
    </row>
    <row r="261" spans="1:43" s="266" customFormat="1" ht="15.75" hidden="1" x14ac:dyDescent="0.25">
      <c r="A261" s="490"/>
      <c r="B261" s="102" t="s">
        <v>311</v>
      </c>
      <c r="C261" s="104"/>
      <c r="D261" s="104"/>
      <c r="E261" s="104"/>
      <c r="F261" s="104"/>
      <c r="G261" s="104"/>
      <c r="H261" s="104"/>
      <c r="I261" s="92"/>
      <c r="J261" s="442"/>
      <c r="K261" s="96"/>
      <c r="L261" s="96"/>
      <c r="M261" s="268"/>
      <c r="N261" s="268"/>
      <c r="O261" s="268"/>
      <c r="P261" s="268"/>
      <c r="Q261" s="268">
        <f>Y261+U261</f>
        <v>2350</v>
      </c>
      <c r="R261" s="268"/>
      <c r="S261" s="268"/>
      <c r="T261" s="268">
        <f>U261</f>
        <v>2350</v>
      </c>
      <c r="U261" s="268">
        <v>2350</v>
      </c>
      <c r="V261" s="268"/>
      <c r="W261" s="268"/>
      <c r="X261" s="268"/>
      <c r="Y261" s="268">
        <v>0</v>
      </c>
      <c r="Z261" s="268"/>
      <c r="AA261" s="268">
        <f>AI261+AE261</f>
        <v>0</v>
      </c>
      <c r="AB261" s="268"/>
      <c r="AC261" s="268">
        <v>2350</v>
      </c>
      <c r="AD261" s="268"/>
      <c r="AE261" s="268">
        <v>0</v>
      </c>
      <c r="AF261" s="268"/>
      <c r="AG261" s="268"/>
      <c r="AH261" s="268"/>
      <c r="AI261" s="268"/>
      <c r="AJ261" s="268"/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418"/>
      <c r="AQ261" s="268"/>
    </row>
    <row r="262" spans="1:43" ht="15.75" x14ac:dyDescent="0.25">
      <c r="A262" s="599"/>
      <c r="B262" s="47" t="s">
        <v>15</v>
      </c>
      <c r="C262" s="597"/>
      <c r="D262" s="597"/>
      <c r="E262" s="597"/>
      <c r="F262" s="597"/>
      <c r="G262" s="597"/>
      <c r="H262" s="597"/>
      <c r="I262" s="1493" t="s">
        <v>10</v>
      </c>
      <c r="J262" s="462"/>
      <c r="K262" s="47"/>
      <c r="L262" s="47">
        <v>2500</v>
      </c>
      <c r="M262" s="4"/>
      <c r="N262" s="4">
        <v>2500</v>
      </c>
      <c r="O262" s="4">
        <v>2500</v>
      </c>
      <c r="P262" s="4">
        <v>0</v>
      </c>
      <c r="Q262" s="4">
        <v>0</v>
      </c>
      <c r="R262" s="4">
        <v>0</v>
      </c>
      <c r="S262" s="4">
        <v>0</v>
      </c>
      <c r="T262" s="4"/>
      <c r="U262" s="4"/>
      <c r="V262" s="4"/>
      <c r="W262" s="4"/>
      <c r="X262" s="4"/>
      <c r="Y262" s="4"/>
      <c r="Z262" s="268"/>
      <c r="AA262" s="4">
        <v>0</v>
      </c>
      <c r="AB262" s="4">
        <v>0</v>
      </c>
      <c r="AC262" s="4"/>
      <c r="AD262" s="4"/>
      <c r="AE262" s="4"/>
      <c r="AF262" s="4">
        <v>0</v>
      </c>
      <c r="AG262" s="4">
        <v>0</v>
      </c>
      <c r="AH262" s="4"/>
      <c r="AI262" s="4"/>
      <c r="AJ262" s="4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7"/>
      <c r="AQ262" s="268"/>
    </row>
    <row r="263" spans="1:43" ht="15.75" x14ac:dyDescent="0.25">
      <c r="A263" s="599"/>
      <c r="B263" s="1" t="s">
        <v>16</v>
      </c>
      <c r="C263" s="597"/>
      <c r="D263" s="597"/>
      <c r="E263" s="597"/>
      <c r="F263" s="597"/>
      <c r="G263" s="597"/>
      <c r="H263" s="597"/>
      <c r="I263" s="1494"/>
      <c r="J263" s="462"/>
      <c r="K263" s="47"/>
      <c r="L263" s="47">
        <v>31392.57</v>
      </c>
      <c r="M263" s="47">
        <v>31392.57</v>
      </c>
      <c r="N263" s="47">
        <v>31392.57</v>
      </c>
      <c r="O263" s="47">
        <v>31392.57</v>
      </c>
      <c r="P263" s="47">
        <v>0</v>
      </c>
      <c r="Q263" s="4">
        <v>0</v>
      </c>
      <c r="R263" s="4">
        <f t="shared" ref="R263:AI263" si="180">R264</f>
        <v>0</v>
      </c>
      <c r="S263" s="4">
        <f t="shared" si="180"/>
        <v>0</v>
      </c>
      <c r="T263" s="4">
        <f t="shared" si="180"/>
        <v>0</v>
      </c>
      <c r="U263" s="4">
        <f t="shared" si="180"/>
        <v>0</v>
      </c>
      <c r="V263" s="4">
        <f t="shared" si="180"/>
        <v>28677.305</v>
      </c>
      <c r="W263" s="4">
        <f t="shared" si="180"/>
        <v>28677.305</v>
      </c>
      <c r="X263" s="4">
        <f t="shared" si="180"/>
        <v>0</v>
      </c>
      <c r="Y263" s="4">
        <f t="shared" si="180"/>
        <v>0</v>
      </c>
      <c r="Z263" s="268"/>
      <c r="AA263" s="4">
        <v>0</v>
      </c>
      <c r="AB263" s="4">
        <f t="shared" si="180"/>
        <v>0</v>
      </c>
      <c r="AC263" s="4">
        <f t="shared" si="180"/>
        <v>14980.598</v>
      </c>
      <c r="AD263" s="4">
        <f t="shared" si="180"/>
        <v>19862.373</v>
      </c>
      <c r="AE263" s="4">
        <f t="shared" si="180"/>
        <v>0</v>
      </c>
      <c r="AF263" s="4">
        <f t="shared" si="180"/>
        <v>0</v>
      </c>
      <c r="AG263" s="4">
        <f t="shared" si="180"/>
        <v>0</v>
      </c>
      <c r="AH263" s="4">
        <f t="shared" si="180"/>
        <v>0</v>
      </c>
      <c r="AI263" s="4">
        <f t="shared" si="180"/>
        <v>0</v>
      </c>
      <c r="AJ263" s="4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7"/>
      <c r="AQ263" s="268"/>
    </row>
    <row r="264" spans="1:43" s="266" customFormat="1" ht="15.75" hidden="1" x14ac:dyDescent="0.25">
      <c r="A264" s="490"/>
      <c r="B264" s="102" t="s">
        <v>316</v>
      </c>
      <c r="C264" s="104"/>
      <c r="D264" s="104"/>
      <c r="E264" s="104"/>
      <c r="F264" s="104"/>
      <c r="G264" s="104"/>
      <c r="H264" s="104"/>
      <c r="I264" s="575"/>
      <c r="J264" s="442"/>
      <c r="K264" s="96"/>
      <c r="L264" s="96"/>
      <c r="M264" s="268"/>
      <c r="N264" s="268"/>
      <c r="O264" s="268"/>
      <c r="P264" s="268"/>
      <c r="Q264" s="268">
        <f>W264</f>
        <v>28677.305</v>
      </c>
      <c r="R264" s="268"/>
      <c r="S264" s="268"/>
      <c r="T264" s="268"/>
      <c r="U264" s="268"/>
      <c r="V264" s="268">
        <f>W264</f>
        <v>28677.305</v>
      </c>
      <c r="W264" s="268">
        <v>28677.305</v>
      </c>
      <c r="X264" s="268"/>
      <c r="Y264" s="268"/>
      <c r="Z264" s="268"/>
      <c r="AA264" s="268">
        <f>AC264+AD264</f>
        <v>34842.970999999998</v>
      </c>
      <c r="AB264" s="268"/>
      <c r="AC264" s="268">
        <v>14980.598</v>
      </c>
      <c r="AD264" s="268">
        <v>19862.373</v>
      </c>
      <c r="AE264" s="268"/>
      <c r="AF264" s="268"/>
      <c r="AG264" s="268"/>
      <c r="AH264" s="268"/>
      <c r="AI264" s="268"/>
      <c r="AJ264" s="268"/>
      <c r="AK264" s="96"/>
      <c r="AL264" s="96"/>
      <c r="AM264" s="96"/>
      <c r="AN264" s="268"/>
      <c r="AO264" s="268"/>
      <c r="AP264" s="418"/>
      <c r="AQ264" s="268"/>
    </row>
    <row r="265" spans="1:43" s="327" customFormat="1" ht="18.75" customHeight="1" x14ac:dyDescent="0.25">
      <c r="A265" s="1358" t="s">
        <v>189</v>
      </c>
      <c r="B265" s="609" t="s">
        <v>35</v>
      </c>
      <c r="C265" s="1661">
        <v>500</v>
      </c>
      <c r="D265" s="1661" t="s">
        <v>43</v>
      </c>
      <c r="E265" s="1661">
        <v>850</v>
      </c>
      <c r="F265" s="1660">
        <v>20400</v>
      </c>
      <c r="G265" s="807"/>
      <c r="H265" s="807"/>
      <c r="I265" s="1326" t="s">
        <v>20</v>
      </c>
      <c r="J265" s="1622">
        <v>6942.46</v>
      </c>
      <c r="K265" s="3">
        <v>0</v>
      </c>
      <c r="L265" s="3">
        <f>L266</f>
        <v>6462.97</v>
      </c>
      <c r="M265" s="318">
        <f>M266</f>
        <v>0</v>
      </c>
      <c r="N265" s="318">
        <f>N266</f>
        <v>0</v>
      </c>
      <c r="O265" s="318">
        <f>O266</f>
        <v>6942.46</v>
      </c>
      <c r="P265" s="318">
        <v>0</v>
      </c>
      <c r="Q265" s="318">
        <v>0</v>
      </c>
      <c r="R265" s="318">
        <v>0</v>
      </c>
      <c r="S265" s="318">
        <v>0</v>
      </c>
      <c r="T265" s="318">
        <v>0</v>
      </c>
      <c r="U265" s="318">
        <v>0</v>
      </c>
      <c r="V265" s="318">
        <v>0</v>
      </c>
      <c r="W265" s="318">
        <v>0</v>
      </c>
      <c r="X265" s="318">
        <v>0</v>
      </c>
      <c r="Y265" s="318">
        <v>0</v>
      </c>
      <c r="Z265" s="372">
        <v>0</v>
      </c>
      <c r="AA265" s="318">
        <v>0</v>
      </c>
      <c r="AB265" s="318">
        <v>0</v>
      </c>
      <c r="AC265" s="318">
        <v>0</v>
      </c>
      <c r="AD265" s="318">
        <v>0</v>
      </c>
      <c r="AE265" s="318">
        <v>0</v>
      </c>
      <c r="AF265" s="318">
        <v>0</v>
      </c>
      <c r="AG265" s="318">
        <v>0</v>
      </c>
      <c r="AH265" s="318">
        <v>0</v>
      </c>
      <c r="AI265" s="318">
        <v>0</v>
      </c>
      <c r="AJ265" s="318">
        <v>0</v>
      </c>
      <c r="AK265" s="3">
        <f>P265-Q265</f>
        <v>0</v>
      </c>
      <c r="AL265" s="3">
        <f>AK265</f>
        <v>0</v>
      </c>
      <c r="AM265" s="3">
        <v>0</v>
      </c>
      <c r="AN265" s="318">
        <v>0</v>
      </c>
      <c r="AO265" s="318">
        <v>0</v>
      </c>
      <c r="AP265" s="833"/>
      <c r="AQ265" s="372">
        <v>0</v>
      </c>
    </row>
    <row r="266" spans="1:43" ht="15" hidden="1" customHeight="1" x14ac:dyDescent="0.25">
      <c r="A266" s="1361"/>
      <c r="B266" s="1" t="s">
        <v>15</v>
      </c>
      <c r="C266" s="1661"/>
      <c r="D266" s="1661"/>
      <c r="E266" s="1661"/>
      <c r="F266" s="1661"/>
      <c r="G266" s="597">
        <v>2021</v>
      </c>
      <c r="H266" s="597">
        <v>2021</v>
      </c>
      <c r="I266" s="1328"/>
      <c r="J266" s="1624"/>
      <c r="K266" s="47"/>
      <c r="L266" s="47">
        <v>6462.97</v>
      </c>
      <c r="M266" s="47">
        <v>0</v>
      </c>
      <c r="N266" s="47">
        <v>0</v>
      </c>
      <c r="O266" s="47">
        <v>6942.46</v>
      </c>
      <c r="P266" s="47">
        <v>6462.97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0</v>
      </c>
      <c r="Y266" s="47">
        <v>0</v>
      </c>
      <c r="Z266" s="96"/>
      <c r="AA266" s="47">
        <v>0</v>
      </c>
      <c r="AB266" s="47">
        <v>0</v>
      </c>
      <c r="AC266" s="47">
        <v>0</v>
      </c>
      <c r="AD266" s="47">
        <v>0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19"/>
      <c r="AQ266" s="96"/>
    </row>
    <row r="267" spans="1:43" s="327" customFormat="1" ht="28.5" customHeight="1" x14ac:dyDescent="0.25">
      <c r="A267" s="1358" t="s">
        <v>190</v>
      </c>
      <c r="B267" s="780" t="s">
        <v>191</v>
      </c>
      <c r="C267" s="1660"/>
      <c r="D267" s="1660"/>
      <c r="E267" s="1660"/>
      <c r="F267" s="1660">
        <v>80</v>
      </c>
      <c r="G267" s="807"/>
      <c r="H267" s="807"/>
      <c r="I267" s="1326" t="s">
        <v>20</v>
      </c>
      <c r="J267" s="52">
        <f>L267</f>
        <v>45265.81</v>
      </c>
      <c r="K267" s="52"/>
      <c r="L267" s="3">
        <f t="shared" ref="L267:Q267" si="181">L268+L270</f>
        <v>45265.81</v>
      </c>
      <c r="M267" s="3">
        <f t="shared" si="181"/>
        <v>33.479999999999997</v>
      </c>
      <c r="N267" s="3">
        <f t="shared" si="181"/>
        <v>7044.44</v>
      </c>
      <c r="O267" s="3">
        <f t="shared" si="181"/>
        <v>11467.37</v>
      </c>
      <c r="P267" s="3">
        <f t="shared" si="181"/>
        <v>40219.919999999998</v>
      </c>
      <c r="Q267" s="3">
        <f t="shared" si="181"/>
        <v>0</v>
      </c>
      <c r="R267" s="3">
        <f t="shared" ref="R267:AO267" si="182">R268+R270</f>
        <v>0</v>
      </c>
      <c r="S267" s="3">
        <f t="shared" si="182"/>
        <v>0</v>
      </c>
      <c r="T267" s="3">
        <f t="shared" si="182"/>
        <v>27</v>
      </c>
      <c r="U267" s="3">
        <f t="shared" si="182"/>
        <v>27</v>
      </c>
      <c r="V267" s="3">
        <f t="shared" si="182"/>
        <v>0</v>
      </c>
      <c r="W267" s="3">
        <f t="shared" si="182"/>
        <v>0</v>
      </c>
      <c r="X267" s="3">
        <f t="shared" si="182"/>
        <v>0</v>
      </c>
      <c r="Y267" s="3">
        <f t="shared" si="182"/>
        <v>0</v>
      </c>
      <c r="Z267" s="95">
        <v>0</v>
      </c>
      <c r="AA267" s="3">
        <f t="shared" si="182"/>
        <v>0</v>
      </c>
      <c r="AB267" s="3">
        <f>AB268+AB270</f>
        <v>0</v>
      </c>
      <c r="AC267" s="3">
        <f>AC268+AC270</f>
        <v>0</v>
      </c>
      <c r="AD267" s="3">
        <f>AD268+AD270</f>
        <v>27</v>
      </c>
      <c r="AE267" s="3">
        <f>AE268+AE270</f>
        <v>0</v>
      </c>
      <c r="AF267" s="3">
        <f t="shared" si="182"/>
        <v>0</v>
      </c>
      <c r="AG267" s="3">
        <f t="shared" si="182"/>
        <v>0</v>
      </c>
      <c r="AH267" s="3">
        <f t="shared" si="182"/>
        <v>0</v>
      </c>
      <c r="AI267" s="3">
        <f t="shared" si="182"/>
        <v>0</v>
      </c>
      <c r="AJ267" s="3">
        <f t="shared" si="182"/>
        <v>0</v>
      </c>
      <c r="AK267" s="3">
        <f>P267-Q267</f>
        <v>40219.919999999998</v>
      </c>
      <c r="AL267" s="3">
        <f>AK267</f>
        <v>40219.919999999998</v>
      </c>
      <c r="AM267" s="318">
        <v>0</v>
      </c>
      <c r="AN267" s="3">
        <f t="shared" si="182"/>
        <v>0</v>
      </c>
      <c r="AO267" s="3">
        <f t="shared" si="182"/>
        <v>0</v>
      </c>
      <c r="AP267" s="834"/>
      <c r="AQ267" s="95">
        <v>0</v>
      </c>
    </row>
    <row r="268" spans="1:43" ht="17.25" customHeight="1" x14ac:dyDescent="0.25">
      <c r="A268" s="1359"/>
      <c r="B268" s="1" t="s">
        <v>15</v>
      </c>
      <c r="C268" s="1661"/>
      <c r="D268" s="1661"/>
      <c r="E268" s="1661"/>
      <c r="F268" s="1661"/>
      <c r="G268" s="597">
        <v>2019</v>
      </c>
      <c r="H268" s="597">
        <v>2019</v>
      </c>
      <c r="I268" s="1327"/>
      <c r="J268" s="6">
        <f>L268</f>
        <v>7077.92</v>
      </c>
      <c r="K268" s="6"/>
      <c r="L268" s="47">
        <v>7077.92</v>
      </c>
      <c r="M268" s="47">
        <v>33.479999999999997</v>
      </c>
      <c r="N268" s="47">
        <v>7044.44</v>
      </c>
      <c r="O268" s="47">
        <v>0</v>
      </c>
      <c r="P268" s="47">
        <v>0</v>
      </c>
      <c r="Q268" s="47">
        <v>0</v>
      </c>
      <c r="R268" s="47">
        <f t="shared" ref="R268:AD268" si="183">SUM(R269)</f>
        <v>0</v>
      </c>
      <c r="S268" s="47">
        <f t="shared" si="183"/>
        <v>0</v>
      </c>
      <c r="T268" s="47">
        <f t="shared" si="183"/>
        <v>27</v>
      </c>
      <c r="U268" s="47">
        <f t="shared" si="183"/>
        <v>27</v>
      </c>
      <c r="V268" s="47">
        <f t="shared" si="183"/>
        <v>0</v>
      </c>
      <c r="W268" s="47">
        <f t="shared" si="183"/>
        <v>0</v>
      </c>
      <c r="X268" s="47">
        <f t="shared" si="183"/>
        <v>0</v>
      </c>
      <c r="Y268" s="47">
        <f t="shared" si="183"/>
        <v>0</v>
      </c>
      <c r="Z268" s="96"/>
      <c r="AA268" s="47">
        <v>0</v>
      </c>
      <c r="AB268" s="47">
        <f t="shared" si="183"/>
        <v>0</v>
      </c>
      <c r="AC268" s="47">
        <f t="shared" si="183"/>
        <v>0</v>
      </c>
      <c r="AD268" s="47">
        <f t="shared" si="183"/>
        <v>27</v>
      </c>
      <c r="AE268" s="47">
        <v>0</v>
      </c>
      <c r="AF268" s="47">
        <f>AF269</f>
        <v>0</v>
      </c>
      <c r="AG268" s="47">
        <f>AG269</f>
        <v>0</v>
      </c>
      <c r="AH268" s="47">
        <f>AH269</f>
        <v>0</v>
      </c>
      <c r="AI268" s="47">
        <f>AI269</f>
        <v>0</v>
      </c>
      <c r="AJ268" s="47">
        <f>AJ269</f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266" customFormat="1" ht="25.5" hidden="1" customHeight="1" x14ac:dyDescent="0.25">
      <c r="A269" s="1359"/>
      <c r="B269" s="102" t="s">
        <v>267</v>
      </c>
      <c r="C269" s="576"/>
      <c r="D269" s="576"/>
      <c r="E269" s="576"/>
      <c r="F269" s="576"/>
      <c r="G269" s="104"/>
      <c r="H269" s="104"/>
      <c r="I269" s="1327"/>
      <c r="J269" s="106"/>
      <c r="K269" s="106"/>
      <c r="L269" s="96"/>
      <c r="M269" s="96"/>
      <c r="N269" s="96"/>
      <c r="O269" s="96"/>
      <c r="P269" s="96">
        <f>R269</f>
        <v>0</v>
      </c>
      <c r="Q269" s="96">
        <f>S269+U269</f>
        <v>27</v>
      </c>
      <c r="R269" s="96">
        <v>0</v>
      </c>
      <c r="S269" s="96">
        <v>0</v>
      </c>
      <c r="T269" s="96">
        <f>U269</f>
        <v>27</v>
      </c>
      <c r="U269" s="96">
        <f>ROUND((32.4/1.2),2)</f>
        <v>27</v>
      </c>
      <c r="V269" s="96"/>
      <c r="W269" s="96"/>
      <c r="X269" s="96"/>
      <c r="Y269" s="96"/>
      <c r="Z269" s="96"/>
      <c r="AA269" s="96">
        <f>AD269</f>
        <v>27</v>
      </c>
      <c r="AB269" s="96">
        <v>0</v>
      </c>
      <c r="AC269" s="96"/>
      <c r="AD269" s="96">
        <v>27</v>
      </c>
      <c r="AE269" s="96"/>
      <c r="AF269" s="96">
        <f>SUM(AG269:AG269)</f>
        <v>0</v>
      </c>
      <c r="AG269" s="96"/>
      <c r="AH269" s="96"/>
      <c r="AI269" s="96"/>
      <c r="AJ269" s="96"/>
      <c r="AK269" s="96"/>
      <c r="AL269" s="96"/>
      <c r="AM269" s="96"/>
      <c r="AN269" s="96"/>
      <c r="AO269" s="96"/>
      <c r="AP269" s="421"/>
      <c r="AQ269" s="96"/>
    </row>
    <row r="270" spans="1:43" ht="17.25" customHeight="1" x14ac:dyDescent="0.25">
      <c r="A270" s="1361"/>
      <c r="B270" s="1" t="s">
        <v>16</v>
      </c>
      <c r="C270" s="652"/>
      <c r="D270" s="652"/>
      <c r="E270" s="652"/>
      <c r="F270" s="652"/>
      <c r="G270" s="597">
        <v>2020</v>
      </c>
      <c r="H270" s="597">
        <v>2021</v>
      </c>
      <c r="I270" s="1328"/>
      <c r="J270" s="6">
        <f>L270</f>
        <v>38187.89</v>
      </c>
      <c r="K270" s="6"/>
      <c r="L270" s="47">
        <v>38187.89</v>
      </c>
      <c r="M270" s="47">
        <v>0</v>
      </c>
      <c r="N270" s="47">
        <v>0</v>
      </c>
      <c r="O270" s="47">
        <v>11467.37</v>
      </c>
      <c r="P270" s="47">
        <v>40219.919999999998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96"/>
      <c r="AA270" s="47">
        <v>0</v>
      </c>
      <c r="AB270" s="47">
        <v>0</v>
      </c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327" customFormat="1" ht="39.75" customHeight="1" x14ac:dyDescent="0.25">
      <c r="A271" s="1358" t="s">
        <v>192</v>
      </c>
      <c r="B271" s="772" t="s">
        <v>166</v>
      </c>
      <c r="C271" s="1660"/>
      <c r="D271" s="1660"/>
      <c r="E271" s="1660"/>
      <c r="F271" s="1660">
        <v>80</v>
      </c>
      <c r="G271" s="807"/>
      <c r="H271" s="807"/>
      <c r="I271" s="1326" t="s">
        <v>20</v>
      </c>
      <c r="J271" s="52">
        <f>L271</f>
        <v>94875.549999999988</v>
      </c>
      <c r="K271" s="52"/>
      <c r="L271" s="3">
        <f t="shared" ref="L271:O271" si="184">L272+L275</f>
        <v>94875.549999999988</v>
      </c>
      <c r="M271" s="3">
        <f t="shared" si="184"/>
        <v>2761.44</v>
      </c>
      <c r="N271" s="3">
        <f t="shared" si="184"/>
        <v>9629.68</v>
      </c>
      <c r="O271" s="3">
        <f t="shared" si="184"/>
        <v>22469.279999999999</v>
      </c>
      <c r="P271" s="3">
        <v>3907.02</v>
      </c>
      <c r="Q271" s="3">
        <v>0</v>
      </c>
      <c r="R271" s="3">
        <f t="shared" ref="R271:Y271" si="185">R272+R275</f>
        <v>646.02599999999995</v>
      </c>
      <c r="S271" s="3">
        <f t="shared" si="185"/>
        <v>646.02599999999995</v>
      </c>
      <c r="T271" s="3">
        <f t="shared" si="185"/>
        <v>872.63599999999997</v>
      </c>
      <c r="U271" s="3">
        <f t="shared" si="185"/>
        <v>872.63599999999997</v>
      </c>
      <c r="V271" s="3">
        <f t="shared" si="185"/>
        <v>0</v>
      </c>
      <c r="W271" s="3">
        <f t="shared" si="185"/>
        <v>0</v>
      </c>
      <c r="X271" s="3">
        <f t="shared" si="185"/>
        <v>0</v>
      </c>
      <c r="Y271" s="3">
        <f t="shared" si="185"/>
        <v>0</v>
      </c>
      <c r="Z271" s="3">
        <v>0</v>
      </c>
      <c r="AA271" s="3">
        <f>AA272+AA275</f>
        <v>0</v>
      </c>
      <c r="AB271" s="3">
        <f>AB272+AB275</f>
        <v>0</v>
      </c>
      <c r="AC271" s="3">
        <f t="shared" ref="AC271:AJ271" si="186">AC272+AC275</f>
        <v>0</v>
      </c>
      <c r="AD271" s="3">
        <f t="shared" si="186"/>
        <v>0</v>
      </c>
      <c r="AE271" s="3">
        <f t="shared" si="186"/>
        <v>0</v>
      </c>
      <c r="AF271" s="3">
        <f t="shared" si="186"/>
        <v>0</v>
      </c>
      <c r="AG271" s="3">
        <f t="shared" si="186"/>
        <v>0</v>
      </c>
      <c r="AH271" s="3">
        <f t="shared" si="186"/>
        <v>0</v>
      </c>
      <c r="AI271" s="3">
        <f t="shared" si="186"/>
        <v>0</v>
      </c>
      <c r="AJ271" s="3">
        <f t="shared" si="186"/>
        <v>0</v>
      </c>
      <c r="AK271" s="3">
        <f>P271-Q271</f>
        <v>3907.02</v>
      </c>
      <c r="AL271" s="3">
        <f>AK271</f>
        <v>3907.02</v>
      </c>
      <c r="AM271" s="3">
        <f>ROUND((Q271*100%/P271*100),2)</f>
        <v>0</v>
      </c>
      <c r="AN271" s="3">
        <f>AN272+AN275</f>
        <v>0</v>
      </c>
      <c r="AO271" s="3">
        <f>AO272+AO275</f>
        <v>0</v>
      </c>
      <c r="AP271" s="633" t="s">
        <v>256</v>
      </c>
      <c r="AQ271" s="3">
        <v>0</v>
      </c>
    </row>
    <row r="272" spans="1:43" ht="16.5" hidden="1" customHeight="1" x14ac:dyDescent="0.25">
      <c r="A272" s="1359"/>
      <c r="B272" s="42" t="s">
        <v>15</v>
      </c>
      <c r="C272" s="1661"/>
      <c r="D272" s="1661"/>
      <c r="E272" s="1661"/>
      <c r="F272" s="1661"/>
      <c r="G272" s="313"/>
      <c r="H272" s="314"/>
      <c r="I272" s="1327"/>
      <c r="J272" s="72"/>
      <c r="K272" s="47"/>
      <c r="L272" s="47">
        <v>5734.87</v>
      </c>
      <c r="M272" s="47">
        <v>2761.44</v>
      </c>
      <c r="N272" s="47">
        <v>105.99</v>
      </c>
      <c r="O272" s="47">
        <v>0</v>
      </c>
      <c r="P272" s="47">
        <v>0</v>
      </c>
      <c r="Q272" s="47">
        <f>SUM(Q273:Q275)</f>
        <v>1518.6619999999998</v>
      </c>
      <c r="R272" s="47">
        <f>S272</f>
        <v>646.02599999999995</v>
      </c>
      <c r="S272" s="47">
        <f>SUM(S273:S275)</f>
        <v>646.02599999999995</v>
      </c>
      <c r="T272" s="47">
        <f>SUM(T273:T275)</f>
        <v>872.63599999999997</v>
      </c>
      <c r="U272" s="47">
        <f>SUM(U273:U275)</f>
        <v>872.63599999999997</v>
      </c>
      <c r="V272" s="47">
        <f>SUM(V273:V275)</f>
        <v>0</v>
      </c>
      <c r="W272" s="47">
        <f>SUM(W273:W275)</f>
        <v>0</v>
      </c>
      <c r="X272" s="47">
        <v>0</v>
      </c>
      <c r="Y272" s="47">
        <f t="shared" ref="Y272:AE272" si="187">SUM(Y273:Y275)</f>
        <v>0</v>
      </c>
      <c r="Z272" s="96"/>
      <c r="AA272" s="47">
        <f t="shared" si="187"/>
        <v>0</v>
      </c>
      <c r="AB272" s="47">
        <f t="shared" si="187"/>
        <v>0</v>
      </c>
      <c r="AC272" s="47">
        <f t="shared" si="187"/>
        <v>0</v>
      </c>
      <c r="AD272" s="47">
        <f t="shared" si="187"/>
        <v>0</v>
      </c>
      <c r="AE272" s="47">
        <f t="shared" si="187"/>
        <v>0</v>
      </c>
      <c r="AF272" s="47">
        <f>SUM(AF273)</f>
        <v>0</v>
      </c>
      <c r="AG272" s="47">
        <f>SUM(AG273)</f>
        <v>0</v>
      </c>
      <c r="AH272" s="47">
        <f>SUM(AH273)</f>
        <v>0</v>
      </c>
      <c r="AI272" s="47">
        <f>SUM(AI273)</f>
        <v>0</v>
      </c>
      <c r="AJ272" s="47">
        <f>SUM(AJ273)</f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397"/>
      <c r="AQ272" s="96"/>
    </row>
    <row r="273" spans="1:79" s="266" customFormat="1" ht="16.5" hidden="1" customHeight="1" x14ac:dyDescent="0.25">
      <c r="A273" s="1359"/>
      <c r="B273" s="252" t="s">
        <v>228</v>
      </c>
      <c r="C273" s="363"/>
      <c r="D273" s="363"/>
      <c r="E273" s="363"/>
      <c r="F273" s="363"/>
      <c r="G273" s="363"/>
      <c r="H273" s="364"/>
      <c r="I273" s="1327"/>
      <c r="J273" s="258"/>
      <c r="K273" s="96"/>
      <c r="L273" s="96"/>
      <c r="M273" s="96"/>
      <c r="N273" s="96"/>
      <c r="O273" s="96"/>
      <c r="P273" s="47"/>
      <c r="Q273" s="96">
        <f>S273+U273</f>
        <v>1518.6619999999998</v>
      </c>
      <c r="R273" s="96">
        <v>0</v>
      </c>
      <c r="S273" s="96">
        <v>646.02599999999995</v>
      </c>
      <c r="T273" s="96">
        <f>U273</f>
        <v>872.63599999999997</v>
      </c>
      <c r="U273" s="96">
        <v>872.63599999999997</v>
      </c>
      <c r="V273" s="96"/>
      <c r="W273" s="96"/>
      <c r="X273" s="96">
        <v>0</v>
      </c>
      <c r="Y273" s="96">
        <v>0</v>
      </c>
      <c r="Z273" s="96"/>
      <c r="AA273" s="96">
        <v>0</v>
      </c>
      <c r="AB273" s="96">
        <v>0</v>
      </c>
      <c r="AC273" s="96"/>
      <c r="AD273" s="96"/>
      <c r="AE273" s="96">
        <v>0</v>
      </c>
      <c r="AF273" s="96">
        <f>SUM(AG273:AG273)</f>
        <v>0</v>
      </c>
      <c r="AG273" s="96"/>
      <c r="AH273" s="96"/>
      <c r="AI273" s="96"/>
      <c r="AJ273" s="96"/>
      <c r="AK273" s="96">
        <v>0</v>
      </c>
      <c r="AL273" s="96">
        <v>0</v>
      </c>
      <c r="AM273" s="96">
        <v>0</v>
      </c>
      <c r="AN273" s="96">
        <v>0</v>
      </c>
      <c r="AO273" s="96">
        <v>0</v>
      </c>
      <c r="AP273" s="405"/>
      <c r="AQ273" s="96"/>
    </row>
    <row r="274" spans="1:79" s="266" customFormat="1" ht="16.5" hidden="1" customHeight="1" x14ac:dyDescent="0.25">
      <c r="A274" s="1359"/>
      <c r="B274" s="252" t="s">
        <v>267</v>
      </c>
      <c r="C274" s="363"/>
      <c r="D274" s="363"/>
      <c r="E274" s="363"/>
      <c r="F274" s="363"/>
      <c r="G274" s="363"/>
      <c r="H274" s="364"/>
      <c r="I274" s="1327"/>
      <c r="J274" s="258"/>
      <c r="K274" s="96"/>
      <c r="L274" s="96"/>
      <c r="M274" s="96"/>
      <c r="N274" s="96"/>
      <c r="O274" s="96"/>
      <c r="P274" s="96">
        <f>R274+T274</f>
        <v>0</v>
      </c>
      <c r="Q274" s="96">
        <f>S274+U274</f>
        <v>0</v>
      </c>
      <c r="R274" s="96">
        <v>0</v>
      </c>
      <c r="S274" s="96">
        <v>0</v>
      </c>
      <c r="T274" s="96">
        <f>U274</f>
        <v>0</v>
      </c>
      <c r="U274" s="96">
        <v>0</v>
      </c>
      <c r="V274" s="96"/>
      <c r="W274" s="96"/>
      <c r="X274" s="96"/>
      <c r="Y274" s="96"/>
      <c r="Z274" s="96"/>
      <c r="AA274" s="96">
        <f>SUM(AB274:AD274)</f>
        <v>0</v>
      </c>
      <c r="AB274" s="96"/>
      <c r="AC274" s="96">
        <v>0</v>
      </c>
      <c r="AD274" s="96">
        <v>0</v>
      </c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405"/>
      <c r="AQ274" s="96"/>
    </row>
    <row r="275" spans="1:79" ht="0.75" hidden="1" customHeight="1" x14ac:dyDescent="0.25">
      <c r="A275" s="1361"/>
      <c r="B275" s="1" t="s">
        <v>16</v>
      </c>
      <c r="C275" s="652"/>
      <c r="D275" s="652"/>
      <c r="E275" s="652"/>
      <c r="F275" s="652"/>
      <c r="G275" s="597">
        <v>2020</v>
      </c>
      <c r="H275" s="597">
        <v>2021</v>
      </c>
      <c r="I275" s="1328"/>
      <c r="J275" s="6">
        <f>L275</f>
        <v>89140.68</v>
      </c>
      <c r="K275" s="6"/>
      <c r="L275" s="47">
        <v>89140.68</v>
      </c>
      <c r="M275" s="47">
        <v>0</v>
      </c>
      <c r="N275" s="47">
        <v>9523.69</v>
      </c>
      <c r="O275" s="47">
        <v>22469.279999999999</v>
      </c>
      <c r="P275" s="47">
        <v>2605.9899999999998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96"/>
      <c r="AA275" s="47">
        <v>0</v>
      </c>
      <c r="AB275" s="47">
        <v>0</v>
      </c>
      <c r="AC275" s="47">
        <v>0</v>
      </c>
      <c r="AD275" s="47">
        <v>0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0</v>
      </c>
      <c r="AO275" s="47">
        <v>0</v>
      </c>
      <c r="AP275" s="419"/>
      <c r="AQ275" s="96"/>
    </row>
    <row r="276" spans="1:79" s="327" customFormat="1" ht="41.25" customHeight="1" x14ac:dyDescent="0.25">
      <c r="A276" s="1358" t="s">
        <v>193</v>
      </c>
      <c r="B276" s="772" t="s">
        <v>163</v>
      </c>
      <c r="C276" s="1660"/>
      <c r="D276" s="1660"/>
      <c r="E276" s="1660"/>
      <c r="F276" s="1660">
        <v>81</v>
      </c>
      <c r="G276" s="807"/>
      <c r="H276" s="807"/>
      <c r="I276" s="1326" t="s">
        <v>20</v>
      </c>
      <c r="J276" s="52">
        <f>L276</f>
        <v>5513.9</v>
      </c>
      <c r="K276" s="52"/>
      <c r="L276" s="3">
        <f t="shared" ref="L276:Q276" si="188">L277+L282</f>
        <v>5513.9</v>
      </c>
      <c r="M276" s="3">
        <f t="shared" si="188"/>
        <v>297.18</v>
      </c>
      <c r="N276" s="3">
        <f t="shared" si="188"/>
        <v>1639.85</v>
      </c>
      <c r="O276" s="3">
        <f t="shared" si="188"/>
        <v>0</v>
      </c>
      <c r="P276" s="3">
        <f t="shared" si="188"/>
        <v>0</v>
      </c>
      <c r="Q276" s="3">
        <f t="shared" si="188"/>
        <v>0</v>
      </c>
      <c r="R276" s="3">
        <f t="shared" ref="R276:AA276" si="189">R277+R282</f>
        <v>0</v>
      </c>
      <c r="S276" s="3">
        <f t="shared" si="189"/>
        <v>0</v>
      </c>
      <c r="T276" s="3">
        <f t="shared" si="189"/>
        <v>0</v>
      </c>
      <c r="U276" s="3">
        <f t="shared" si="189"/>
        <v>0</v>
      </c>
      <c r="V276" s="3">
        <f t="shared" si="189"/>
        <v>0</v>
      </c>
      <c r="W276" s="3">
        <f t="shared" si="189"/>
        <v>0</v>
      </c>
      <c r="X276" s="3">
        <f t="shared" si="189"/>
        <v>0</v>
      </c>
      <c r="Y276" s="3">
        <f t="shared" si="189"/>
        <v>0</v>
      </c>
      <c r="Z276" s="95">
        <v>0</v>
      </c>
      <c r="AA276" s="3">
        <f t="shared" si="189"/>
        <v>0</v>
      </c>
      <c r="AB276" s="3">
        <f>AB277+AB282</f>
        <v>0</v>
      </c>
      <c r="AC276" s="3">
        <f t="shared" ref="AC276:AJ276" si="190">AC277+AC282</f>
        <v>0</v>
      </c>
      <c r="AD276" s="3">
        <f t="shared" si="190"/>
        <v>0</v>
      </c>
      <c r="AE276" s="3">
        <f t="shared" si="190"/>
        <v>0</v>
      </c>
      <c r="AF276" s="3">
        <f t="shared" si="190"/>
        <v>0</v>
      </c>
      <c r="AG276" s="3">
        <f t="shared" si="190"/>
        <v>0</v>
      </c>
      <c r="AH276" s="3">
        <f t="shared" si="190"/>
        <v>0</v>
      </c>
      <c r="AI276" s="3">
        <f t="shared" si="190"/>
        <v>0</v>
      </c>
      <c r="AJ276" s="3">
        <f t="shared" si="190"/>
        <v>0</v>
      </c>
      <c r="AK276" s="3">
        <f>P276-Q276</f>
        <v>0</v>
      </c>
      <c r="AL276" s="3">
        <f>AK276</f>
        <v>0</v>
      </c>
      <c r="AM276" s="3">
        <v>0</v>
      </c>
      <c r="AN276" s="3">
        <f>AN277+AN282</f>
        <v>0</v>
      </c>
      <c r="AO276" s="3">
        <f>AO277+AO282</f>
        <v>0</v>
      </c>
      <c r="AP276" s="633" t="s">
        <v>256</v>
      </c>
      <c r="AQ276" s="95">
        <v>0</v>
      </c>
    </row>
    <row r="277" spans="1:79" ht="17.25" hidden="1" customHeight="1" x14ac:dyDescent="0.25">
      <c r="A277" s="1359"/>
      <c r="B277" s="1" t="s">
        <v>15</v>
      </c>
      <c r="C277" s="1661"/>
      <c r="D277" s="1661"/>
      <c r="E277" s="1661"/>
      <c r="F277" s="1661"/>
      <c r="G277" s="597">
        <v>2021</v>
      </c>
      <c r="H277" s="597">
        <v>2023</v>
      </c>
      <c r="I277" s="1327"/>
      <c r="J277" s="6">
        <f>L277</f>
        <v>594.36</v>
      </c>
      <c r="K277" s="6"/>
      <c r="L277" s="47">
        <v>594.36</v>
      </c>
      <c r="M277" s="47">
        <v>297.18</v>
      </c>
      <c r="N277" s="47">
        <v>0</v>
      </c>
      <c r="O277" s="47">
        <v>0</v>
      </c>
      <c r="P277" s="47">
        <v>0</v>
      </c>
      <c r="Q277" s="47">
        <f>SUM(Q279:Q281)</f>
        <v>0</v>
      </c>
      <c r="R277" s="47">
        <f t="shared" ref="R277:AE277" si="191">SUM(R279:R281)</f>
        <v>0</v>
      </c>
      <c r="S277" s="47">
        <f t="shared" si="191"/>
        <v>0</v>
      </c>
      <c r="T277" s="47">
        <f t="shared" si="191"/>
        <v>0</v>
      </c>
      <c r="U277" s="47">
        <f t="shared" si="191"/>
        <v>0</v>
      </c>
      <c r="V277" s="47">
        <f t="shared" si="191"/>
        <v>0</v>
      </c>
      <c r="W277" s="47">
        <f t="shared" si="191"/>
        <v>0</v>
      </c>
      <c r="X277" s="47">
        <v>0</v>
      </c>
      <c r="Y277" s="47">
        <f t="shared" si="191"/>
        <v>0</v>
      </c>
      <c r="Z277" s="96"/>
      <c r="AA277" s="47">
        <f t="shared" si="191"/>
        <v>0</v>
      </c>
      <c r="AB277" s="47">
        <f t="shared" si="191"/>
        <v>0</v>
      </c>
      <c r="AC277" s="47">
        <f t="shared" si="191"/>
        <v>0</v>
      </c>
      <c r="AD277" s="47">
        <f t="shared" si="191"/>
        <v>0</v>
      </c>
      <c r="AE277" s="47">
        <f t="shared" si="191"/>
        <v>0</v>
      </c>
      <c r="AF277" s="47">
        <f>AF281</f>
        <v>0</v>
      </c>
      <c r="AG277" s="47">
        <f>AG281</f>
        <v>0</v>
      </c>
      <c r="AH277" s="47">
        <f>AH281</f>
        <v>0</v>
      </c>
      <c r="AI277" s="47">
        <f>AI281</f>
        <v>0</v>
      </c>
      <c r="AJ277" s="47">
        <f>AJ281</f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79" s="266" customFormat="1" ht="17.25" hidden="1" customHeight="1" x14ac:dyDescent="0.25">
      <c r="A278" s="1359"/>
      <c r="B278" s="102" t="s">
        <v>93</v>
      </c>
      <c r="C278" s="576"/>
      <c r="D278" s="576"/>
      <c r="E278" s="576"/>
      <c r="F278" s="576"/>
      <c r="G278" s="104"/>
      <c r="H278" s="104"/>
      <c r="I278" s="1327"/>
      <c r="J278" s="106"/>
      <c r="K278" s="106"/>
      <c r="L278" s="96"/>
      <c r="M278" s="96"/>
      <c r="N278" s="96"/>
      <c r="O278" s="96"/>
      <c r="P278" s="96">
        <f>R278</f>
        <v>0</v>
      </c>
      <c r="Q278" s="96">
        <f>S278</f>
        <v>0</v>
      </c>
      <c r="R278" s="96">
        <f>S278</f>
        <v>0</v>
      </c>
      <c r="S278" s="96">
        <v>0</v>
      </c>
      <c r="T278" s="96"/>
      <c r="U278" s="96"/>
      <c r="V278" s="96"/>
      <c r="W278" s="96"/>
      <c r="X278" s="96">
        <v>0</v>
      </c>
      <c r="Y278" s="96">
        <v>0</v>
      </c>
      <c r="Z278" s="96"/>
      <c r="AA278" s="96">
        <v>0</v>
      </c>
      <c r="AB278" s="96">
        <v>0</v>
      </c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421"/>
      <c r="AQ278" s="96"/>
    </row>
    <row r="279" spans="1:79" s="266" customFormat="1" ht="17.25" hidden="1" customHeight="1" x14ac:dyDescent="0.25">
      <c r="A279" s="1359"/>
      <c r="B279" s="252" t="s">
        <v>225</v>
      </c>
      <c r="C279" s="363"/>
      <c r="D279" s="363"/>
      <c r="E279" s="363"/>
      <c r="F279" s="363"/>
      <c r="G279" s="363"/>
      <c r="H279" s="364"/>
      <c r="I279" s="1327"/>
      <c r="J279" s="258"/>
      <c r="K279" s="96"/>
      <c r="L279" s="96"/>
      <c r="M279" s="96"/>
      <c r="N279" s="96"/>
      <c r="O279" s="96"/>
      <c r="P279" s="47"/>
      <c r="Q279" s="96">
        <f>Y279</f>
        <v>0</v>
      </c>
      <c r="R279" s="96"/>
      <c r="S279" s="96"/>
      <c r="T279" s="96"/>
      <c r="U279" s="96"/>
      <c r="V279" s="96"/>
      <c r="W279" s="96"/>
      <c r="X279" s="96">
        <v>0</v>
      </c>
      <c r="Y279" s="96">
        <v>0</v>
      </c>
      <c r="Z279" s="96"/>
      <c r="AA279" s="96">
        <v>0</v>
      </c>
      <c r="AB279" s="96">
        <v>0</v>
      </c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405"/>
      <c r="AQ279" s="96"/>
    </row>
    <row r="280" spans="1:79" s="266" customFormat="1" ht="17.25" hidden="1" customHeight="1" x14ac:dyDescent="0.25">
      <c r="A280" s="1359"/>
      <c r="B280" s="252" t="s">
        <v>226</v>
      </c>
      <c r="C280" s="363"/>
      <c r="D280" s="363"/>
      <c r="E280" s="363"/>
      <c r="F280" s="363"/>
      <c r="G280" s="363"/>
      <c r="H280" s="364"/>
      <c r="I280" s="1327"/>
      <c r="J280" s="258"/>
      <c r="K280" s="96"/>
      <c r="L280" s="96"/>
      <c r="M280" s="96"/>
      <c r="N280" s="96"/>
      <c r="O280" s="96"/>
      <c r="P280" s="47"/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f>AB280</f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05"/>
      <c r="AQ280" s="96"/>
    </row>
    <row r="281" spans="1:79" s="266" customFormat="1" ht="17.25" hidden="1" customHeight="1" x14ac:dyDescent="0.25">
      <c r="A281" s="1359"/>
      <c r="B281" s="252" t="s">
        <v>227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79" ht="15.75" hidden="1" customHeight="1" x14ac:dyDescent="0.25">
      <c r="A282" s="1361"/>
      <c r="B282" s="1" t="s">
        <v>32</v>
      </c>
      <c r="C282" s="652"/>
      <c r="D282" s="652"/>
      <c r="E282" s="652"/>
      <c r="F282" s="652"/>
      <c r="G282" s="597">
        <v>2022</v>
      </c>
      <c r="H282" s="597">
        <v>2025</v>
      </c>
      <c r="I282" s="1328"/>
      <c r="J282" s="6">
        <f>L282</f>
        <v>4919.54</v>
      </c>
      <c r="K282" s="6"/>
      <c r="L282" s="47">
        <v>4919.54</v>
      </c>
      <c r="M282" s="47">
        <v>0</v>
      </c>
      <c r="N282" s="47">
        <v>1639.85</v>
      </c>
      <c r="O282" s="47">
        <v>0</v>
      </c>
      <c r="P282" s="47">
        <v>0</v>
      </c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96"/>
      <c r="AA282" s="47">
        <v>0</v>
      </c>
      <c r="AB282" s="47">
        <v>0</v>
      </c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19"/>
      <c r="AQ282" s="96"/>
    </row>
    <row r="283" spans="1:79" s="327" customFormat="1" ht="22.5" customHeight="1" x14ac:dyDescent="0.25">
      <c r="A283" s="1358" t="s">
        <v>194</v>
      </c>
      <c r="B283" s="780" t="s">
        <v>196</v>
      </c>
      <c r="C283" s="745"/>
      <c r="D283" s="745"/>
      <c r="E283" s="745"/>
      <c r="F283" s="745">
        <v>82</v>
      </c>
      <c r="G283" s="807"/>
      <c r="H283" s="807"/>
      <c r="I283" s="1326" t="s">
        <v>20</v>
      </c>
      <c r="J283" s="52">
        <f>L283</f>
        <v>12299.37</v>
      </c>
      <c r="K283" s="52"/>
      <c r="L283" s="3">
        <f>L285</f>
        <v>12299.37</v>
      </c>
      <c r="M283" s="3">
        <f t="shared" ref="M283:AO283" si="192">M285</f>
        <v>0</v>
      </c>
      <c r="N283" s="3">
        <f t="shared" si="192"/>
        <v>0</v>
      </c>
      <c r="O283" s="3">
        <f t="shared" si="192"/>
        <v>5371.98</v>
      </c>
      <c r="P283" s="3">
        <f t="shared" si="192"/>
        <v>0</v>
      </c>
      <c r="Q283" s="3">
        <f>Q284+Q285</f>
        <v>1205.01</v>
      </c>
      <c r="R283" s="3">
        <f t="shared" ref="R283:AA283" si="193">R284+R285</f>
        <v>0</v>
      </c>
      <c r="S283" s="3">
        <f t="shared" si="193"/>
        <v>0</v>
      </c>
      <c r="T283" s="3">
        <f t="shared" si="193"/>
        <v>0</v>
      </c>
      <c r="U283" s="3">
        <f t="shared" si="193"/>
        <v>0</v>
      </c>
      <c r="V283" s="3">
        <f t="shared" si="193"/>
        <v>0</v>
      </c>
      <c r="W283" s="3">
        <f t="shared" si="193"/>
        <v>0</v>
      </c>
      <c r="X283" s="3">
        <f t="shared" si="193"/>
        <v>0</v>
      </c>
      <c r="Y283" s="3">
        <f t="shared" si="193"/>
        <v>0</v>
      </c>
      <c r="Z283" s="3">
        <f t="shared" si="193"/>
        <v>0</v>
      </c>
      <c r="AA283" s="3">
        <f t="shared" si="193"/>
        <v>1870</v>
      </c>
      <c r="AB283" s="3">
        <f t="shared" si="192"/>
        <v>0</v>
      </c>
      <c r="AC283" s="3">
        <f t="shared" si="192"/>
        <v>0</v>
      </c>
      <c r="AD283" s="3">
        <f t="shared" si="192"/>
        <v>0</v>
      </c>
      <c r="AE283" s="3">
        <f t="shared" si="192"/>
        <v>0</v>
      </c>
      <c r="AF283" s="3">
        <f t="shared" si="192"/>
        <v>0</v>
      </c>
      <c r="AG283" s="3">
        <f t="shared" si="192"/>
        <v>0</v>
      </c>
      <c r="AH283" s="3">
        <f t="shared" si="192"/>
        <v>0</v>
      </c>
      <c r="AI283" s="3">
        <f t="shared" si="192"/>
        <v>0</v>
      </c>
      <c r="AJ283" s="3">
        <f t="shared" si="192"/>
        <v>0</v>
      </c>
      <c r="AK283" s="3">
        <f t="shared" si="192"/>
        <v>0</v>
      </c>
      <c r="AL283" s="3">
        <f t="shared" si="192"/>
        <v>0</v>
      </c>
      <c r="AM283" s="3">
        <f t="shared" si="192"/>
        <v>0</v>
      </c>
      <c r="AN283" s="3">
        <f t="shared" si="192"/>
        <v>0</v>
      </c>
      <c r="AO283" s="3">
        <f t="shared" si="192"/>
        <v>0</v>
      </c>
      <c r="AP283" s="834"/>
      <c r="AQ283" s="95">
        <v>0</v>
      </c>
    </row>
    <row r="284" spans="1:79" ht="15.75" customHeight="1" x14ac:dyDescent="0.25">
      <c r="A284" s="1359"/>
      <c r="B284" s="1" t="s">
        <v>39</v>
      </c>
      <c r="C284" s="758"/>
      <c r="D284" s="758"/>
      <c r="E284" s="758"/>
      <c r="F284" s="758"/>
      <c r="G284" s="751"/>
      <c r="H284" s="751"/>
      <c r="I284" s="1327"/>
      <c r="J284" s="6"/>
      <c r="K284" s="6"/>
      <c r="L284" s="47"/>
      <c r="M284" s="47"/>
      <c r="N284" s="47"/>
      <c r="O284" s="47"/>
      <c r="P284" s="47">
        <f>R284</f>
        <v>0</v>
      </c>
      <c r="Q284" s="47">
        <v>1205.01</v>
      </c>
      <c r="R284" s="47">
        <f>S284</f>
        <v>0</v>
      </c>
      <c r="S284" s="47">
        <v>0</v>
      </c>
      <c r="T284" s="47"/>
      <c r="U284" s="47"/>
      <c r="V284" s="47"/>
      <c r="W284" s="47"/>
      <c r="X284" s="47"/>
      <c r="Y284" s="47"/>
      <c r="Z284" s="47"/>
      <c r="AA284" s="47">
        <v>1870</v>
      </c>
      <c r="AB284" s="47">
        <v>0</v>
      </c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19"/>
      <c r="AQ284" s="47"/>
    </row>
    <row r="285" spans="1:79" ht="19.5" customHeight="1" x14ac:dyDescent="0.25">
      <c r="A285" s="1361"/>
      <c r="B285" s="1" t="s">
        <v>213</v>
      </c>
      <c r="C285" s="652"/>
      <c r="D285" s="652"/>
      <c r="E285" s="652"/>
      <c r="F285" s="652"/>
      <c r="G285" s="597">
        <v>2024</v>
      </c>
      <c r="H285" s="597">
        <v>2029</v>
      </c>
      <c r="I285" s="1328"/>
      <c r="J285" s="6">
        <f>L285</f>
        <v>12299.37</v>
      </c>
      <c r="K285" s="6"/>
      <c r="L285" s="47">
        <v>12299.37</v>
      </c>
      <c r="M285" s="47">
        <v>0</v>
      </c>
      <c r="N285" s="47">
        <v>0</v>
      </c>
      <c r="O285" s="47">
        <v>5371.98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96"/>
      <c r="AA285" s="47">
        <v>0</v>
      </c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19"/>
      <c r="AQ285" s="96"/>
    </row>
    <row r="286" spans="1:79" s="327" customFormat="1" ht="24" customHeight="1" x14ac:dyDescent="0.25">
      <c r="A286" s="1358" t="s">
        <v>195</v>
      </c>
      <c r="B286" s="780" t="s">
        <v>197</v>
      </c>
      <c r="C286" s="745"/>
      <c r="D286" s="745"/>
      <c r="E286" s="745"/>
      <c r="F286" s="745">
        <v>83</v>
      </c>
      <c r="G286" s="807"/>
      <c r="H286" s="807"/>
      <c r="I286" s="741"/>
      <c r="J286" s="52">
        <f>L286</f>
        <v>264150.86</v>
      </c>
      <c r="K286" s="52"/>
      <c r="L286" s="3">
        <f>L287+L291</f>
        <v>264150.86</v>
      </c>
      <c r="M286" s="3">
        <f>M287+M291</f>
        <v>263850.07</v>
      </c>
      <c r="N286" s="3">
        <f>N287+N291</f>
        <v>263850.07</v>
      </c>
      <c r="O286" s="3">
        <f>O287+O291</f>
        <v>263850.07</v>
      </c>
      <c r="P286" s="3">
        <f>P287+P291</f>
        <v>3.4</v>
      </c>
      <c r="Q286" s="3">
        <f t="shared" ref="Q286:Z286" si="194">Q287+Q291</f>
        <v>21716.309999999998</v>
      </c>
      <c r="R286" s="3">
        <f t="shared" si="194"/>
        <v>21705.95</v>
      </c>
      <c r="S286" s="3">
        <f t="shared" si="194"/>
        <v>21705.95</v>
      </c>
      <c r="T286" s="3">
        <f t="shared" si="194"/>
        <v>21705.95</v>
      </c>
      <c r="U286" s="3">
        <f t="shared" si="194"/>
        <v>21709.350000000002</v>
      </c>
      <c r="V286" s="3">
        <f t="shared" si="194"/>
        <v>21705.95</v>
      </c>
      <c r="W286" s="3">
        <f t="shared" si="194"/>
        <v>21705.95</v>
      </c>
      <c r="X286" s="3">
        <f t="shared" si="194"/>
        <v>21705.95</v>
      </c>
      <c r="Y286" s="3">
        <f t="shared" si="194"/>
        <v>21705.95</v>
      </c>
      <c r="Z286" s="3">
        <f t="shared" si="194"/>
        <v>21705.95</v>
      </c>
      <c r="AA286" s="3">
        <f>AA287+AA291</f>
        <v>21705.919999999998</v>
      </c>
      <c r="AB286" s="3">
        <f>AB287+AB291</f>
        <v>17522.268</v>
      </c>
      <c r="AC286" s="3">
        <f>AC287+AC291</f>
        <v>17119.198000000004</v>
      </c>
      <c r="AD286" s="3">
        <f t="shared" ref="AD286:AO286" si="195">AD287</f>
        <v>63735.476889999998</v>
      </c>
      <c r="AE286" s="3">
        <f t="shared" si="195"/>
        <v>0</v>
      </c>
      <c r="AF286" s="3">
        <f t="shared" si="195"/>
        <v>0</v>
      </c>
      <c r="AG286" s="3">
        <f t="shared" si="195"/>
        <v>0</v>
      </c>
      <c r="AH286" s="3">
        <f t="shared" si="195"/>
        <v>0</v>
      </c>
      <c r="AI286" s="3">
        <f t="shared" si="195"/>
        <v>0</v>
      </c>
      <c r="AJ286" s="3">
        <f t="shared" si="195"/>
        <v>0</v>
      </c>
      <c r="AK286" s="3">
        <f t="shared" si="195"/>
        <v>0</v>
      </c>
      <c r="AL286" s="3">
        <f t="shared" si="195"/>
        <v>0</v>
      </c>
      <c r="AM286" s="3">
        <v>7.79</v>
      </c>
      <c r="AN286" s="3">
        <f t="shared" si="195"/>
        <v>0</v>
      </c>
      <c r="AO286" s="3">
        <f t="shared" si="195"/>
        <v>0</v>
      </c>
      <c r="AP286" s="834"/>
      <c r="AQ286" s="95">
        <f>116.245</f>
        <v>116.245</v>
      </c>
      <c r="AR286" s="835"/>
    </row>
    <row r="287" spans="1:79" ht="14.25" customHeight="1" x14ac:dyDescent="0.25">
      <c r="A287" s="1359"/>
      <c r="B287" s="1" t="s">
        <v>213</v>
      </c>
      <c r="C287" s="652"/>
      <c r="D287" s="652"/>
      <c r="E287" s="652"/>
      <c r="F287" s="652"/>
      <c r="G287" s="597">
        <v>2026</v>
      </c>
      <c r="H287" s="597">
        <v>2033</v>
      </c>
      <c r="I287" s="597" t="s">
        <v>20</v>
      </c>
      <c r="J287" s="6">
        <f>L287</f>
        <v>300.79000000000002</v>
      </c>
      <c r="K287" s="6"/>
      <c r="L287" s="47">
        <v>300.79000000000002</v>
      </c>
      <c r="M287" s="47">
        <v>0</v>
      </c>
      <c r="N287" s="47">
        <v>0</v>
      </c>
      <c r="O287" s="47">
        <v>0</v>
      </c>
      <c r="P287" s="47">
        <v>3.4</v>
      </c>
      <c r="Q287" s="47">
        <v>10.39</v>
      </c>
      <c r="R287" s="47">
        <f t="shared" ref="R287:Z287" si="196">SUM(R288:R290)</f>
        <v>0</v>
      </c>
      <c r="S287" s="47">
        <f t="shared" si="196"/>
        <v>0</v>
      </c>
      <c r="T287" s="47">
        <f t="shared" si="196"/>
        <v>0</v>
      </c>
      <c r="U287" s="47">
        <f t="shared" si="196"/>
        <v>3.4</v>
      </c>
      <c r="V287" s="47">
        <f t="shared" si="196"/>
        <v>0</v>
      </c>
      <c r="W287" s="47">
        <f t="shared" si="196"/>
        <v>0</v>
      </c>
      <c r="X287" s="47">
        <f t="shared" si="196"/>
        <v>0</v>
      </c>
      <c r="Y287" s="47">
        <f t="shared" si="196"/>
        <v>0</v>
      </c>
      <c r="Z287" s="47">
        <f t="shared" si="196"/>
        <v>0</v>
      </c>
      <c r="AA287" s="47">
        <v>0</v>
      </c>
      <c r="AB287" s="47">
        <v>0</v>
      </c>
      <c r="AC287" s="47">
        <v>0</v>
      </c>
      <c r="AD287" s="47">
        <f>SUM(AD288:AD291)</f>
        <v>63735.476889999998</v>
      </c>
      <c r="AE287" s="47">
        <f>SUM(AE288:AE291)</f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  <c r="AR287" s="600"/>
      <c r="AS287" s="600"/>
      <c r="AT287" s="600"/>
      <c r="AU287" s="600"/>
      <c r="AV287" s="600"/>
      <c r="AW287" s="600"/>
      <c r="AX287" s="600"/>
      <c r="AY287" s="600"/>
      <c r="AZ287" s="600"/>
      <c r="BA287" s="600"/>
      <c r="BB287" s="600"/>
      <c r="BC287" s="600"/>
      <c r="BD287" s="600"/>
      <c r="BE287" s="600"/>
      <c r="BF287" s="600"/>
      <c r="BG287" s="600"/>
      <c r="BH287" s="600"/>
      <c r="BI287" s="600"/>
      <c r="BJ287" s="600"/>
      <c r="BK287" s="600"/>
      <c r="BL287" s="600"/>
      <c r="BM287" s="600"/>
      <c r="BN287" s="600"/>
      <c r="BO287" s="600"/>
      <c r="BP287" s="600"/>
      <c r="BQ287" s="600"/>
      <c r="BR287" s="600"/>
      <c r="BS287" s="600"/>
      <c r="BT287" s="600"/>
      <c r="BU287" s="600"/>
      <c r="BV287" s="600"/>
      <c r="BW287" s="600"/>
      <c r="BX287" s="600"/>
      <c r="BY287" s="600"/>
      <c r="BZ287" s="600"/>
      <c r="CA287" s="600"/>
    </row>
    <row r="288" spans="1:79" s="266" customFormat="1" ht="15" hidden="1" customHeight="1" x14ac:dyDescent="0.25">
      <c r="A288" s="1664"/>
      <c r="B288" s="92" t="s">
        <v>264</v>
      </c>
      <c r="C288" s="653"/>
      <c r="D288" s="653"/>
      <c r="E288" s="653"/>
      <c r="F288" s="653"/>
      <c r="G288" s="262"/>
      <c r="H288" s="262"/>
      <c r="I288" s="368"/>
      <c r="J288" s="442"/>
      <c r="K288" s="442"/>
      <c r="L288" s="268"/>
      <c r="M288" s="268"/>
      <c r="N288" s="268"/>
      <c r="O288" s="268"/>
      <c r="P288" s="268">
        <f>R288</f>
        <v>0</v>
      </c>
      <c r="Q288" s="268">
        <v>116.25</v>
      </c>
      <c r="R288" s="268">
        <f>S288</f>
        <v>0</v>
      </c>
      <c r="S288" s="268">
        <v>0</v>
      </c>
      <c r="T288" s="268"/>
      <c r="U288" s="268"/>
      <c r="V288" s="268"/>
      <c r="W288" s="268"/>
      <c r="X288" s="268"/>
      <c r="Y288" s="268"/>
      <c r="Z288" s="268"/>
      <c r="AA288" s="96">
        <v>116.25</v>
      </c>
      <c r="AB288" s="268">
        <v>0</v>
      </c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418"/>
      <c r="AQ288" s="268"/>
      <c r="AR288" s="602"/>
      <c r="AS288" s="602"/>
      <c r="AT288" s="602"/>
      <c r="AU288" s="602"/>
      <c r="AV288" s="602"/>
      <c r="AW288" s="602"/>
      <c r="AX288" s="602"/>
      <c r="AY288" s="602"/>
      <c r="AZ288" s="602"/>
      <c r="BA288" s="602"/>
      <c r="BB288" s="602"/>
      <c r="BC288" s="602"/>
      <c r="BD288" s="602"/>
      <c r="BE288" s="602"/>
      <c r="BF288" s="602"/>
      <c r="BG288" s="602"/>
      <c r="BH288" s="602"/>
      <c r="BI288" s="602"/>
      <c r="BJ288" s="602"/>
      <c r="BK288" s="602"/>
      <c r="BL288" s="602"/>
      <c r="BM288" s="602"/>
      <c r="BN288" s="602"/>
      <c r="BO288" s="602"/>
      <c r="BP288" s="602"/>
      <c r="BQ288" s="602"/>
      <c r="BR288" s="602"/>
      <c r="BS288" s="602"/>
      <c r="BT288" s="602"/>
      <c r="BU288" s="602"/>
      <c r="BV288" s="602"/>
      <c r="BW288" s="602"/>
      <c r="BX288" s="602"/>
      <c r="BY288" s="602"/>
      <c r="BZ288" s="602"/>
      <c r="CA288" s="602"/>
    </row>
    <row r="289" spans="1:79" s="544" customFormat="1" hidden="1" x14ac:dyDescent="0.25">
      <c r="A289" s="1664"/>
      <c r="B289" s="102" t="s">
        <v>312</v>
      </c>
      <c r="C289" s="576"/>
      <c r="D289" s="576"/>
      <c r="E289" s="576"/>
      <c r="F289" s="576"/>
      <c r="G289" s="104"/>
      <c r="H289" s="104"/>
      <c r="I289" s="443"/>
      <c r="J289" s="106"/>
      <c r="K289" s="106"/>
      <c r="L289" s="96"/>
      <c r="M289" s="96"/>
      <c r="N289" s="96"/>
      <c r="O289" s="96"/>
      <c r="P289" s="96"/>
      <c r="Q289" s="96">
        <f>S289+U289</f>
        <v>3.4</v>
      </c>
      <c r="R289" s="96"/>
      <c r="S289" s="96">
        <v>0</v>
      </c>
      <c r="T289" s="96"/>
      <c r="U289" s="96">
        <v>3.4</v>
      </c>
      <c r="V289" s="96"/>
      <c r="W289" s="96"/>
      <c r="X289" s="96"/>
      <c r="Y289" s="96"/>
      <c r="Z289" s="96"/>
      <c r="AA289" s="96">
        <f>AB289+AC289</f>
        <v>3.4</v>
      </c>
      <c r="AB289" s="96">
        <v>0</v>
      </c>
      <c r="AC289" s="96">
        <v>3.4</v>
      </c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421"/>
      <c r="AQ289" s="96"/>
      <c r="AR289" s="602"/>
      <c r="AS289" s="602"/>
      <c r="AT289" s="602"/>
      <c r="AU289" s="602"/>
      <c r="AV289" s="602"/>
      <c r="AW289" s="602"/>
      <c r="AX289" s="602"/>
      <c r="AY289" s="602"/>
      <c r="AZ289" s="602"/>
      <c r="BA289" s="602"/>
      <c r="BB289" s="602"/>
      <c r="BC289" s="602"/>
      <c r="BD289" s="602"/>
      <c r="BE289" s="602"/>
      <c r="BF289" s="602"/>
      <c r="BG289" s="602"/>
      <c r="BH289" s="602"/>
      <c r="BI289" s="602"/>
      <c r="BJ289" s="602"/>
      <c r="BK289" s="602"/>
      <c r="BL289" s="602"/>
      <c r="BM289" s="602"/>
      <c r="BN289" s="602"/>
      <c r="BO289" s="602"/>
      <c r="BP289" s="602"/>
      <c r="BQ289" s="602"/>
      <c r="BR289" s="602"/>
      <c r="BS289" s="602"/>
      <c r="BT289" s="602"/>
      <c r="BU289" s="602"/>
      <c r="BV289" s="602"/>
      <c r="BW289" s="602"/>
      <c r="BX289" s="602"/>
      <c r="BY289" s="602"/>
      <c r="BZ289" s="602"/>
      <c r="CA289" s="622"/>
    </row>
    <row r="290" spans="1:79" s="48" customFormat="1" ht="25.5" hidden="1" customHeight="1" x14ac:dyDescent="0.25">
      <c r="A290" s="1664"/>
      <c r="B290" s="102" t="s">
        <v>265</v>
      </c>
      <c r="C290" s="576"/>
      <c r="D290" s="576"/>
      <c r="E290" s="576"/>
      <c r="F290" s="576"/>
      <c r="G290" s="104"/>
      <c r="H290" s="104"/>
      <c r="I290" s="619"/>
      <c r="J290" s="106"/>
      <c r="K290" s="106"/>
      <c r="L290" s="96"/>
      <c r="M290" s="96"/>
      <c r="N290" s="96"/>
      <c r="O290" s="96"/>
      <c r="P290" s="96">
        <f>R290+T290</f>
        <v>0</v>
      </c>
      <c r="Q290" s="96">
        <f>S290+U290+W290+Y290</f>
        <v>0</v>
      </c>
      <c r="R290" s="96"/>
      <c r="S290" s="96"/>
      <c r="T290" s="96">
        <v>0</v>
      </c>
      <c r="U290" s="96">
        <v>0</v>
      </c>
      <c r="V290" s="96">
        <f>W290</f>
        <v>0</v>
      </c>
      <c r="W290" s="96">
        <v>0</v>
      </c>
      <c r="X290" s="96"/>
      <c r="Y290" s="96">
        <v>0</v>
      </c>
      <c r="Z290" s="96"/>
      <c r="AA290" s="96">
        <f>SUM(AB290:AE290)</f>
        <v>0</v>
      </c>
      <c r="AB290" s="96"/>
      <c r="AC290" s="96">
        <v>0</v>
      </c>
      <c r="AD290" s="96">
        <v>0</v>
      </c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421"/>
      <c r="AQ290" s="96"/>
      <c r="AR290" s="600"/>
      <c r="AS290" s="600"/>
      <c r="AT290" s="600"/>
      <c r="AU290" s="600"/>
      <c r="AV290" s="600"/>
      <c r="AW290" s="600"/>
      <c r="AX290" s="600"/>
      <c r="AY290" s="600"/>
      <c r="AZ290" s="600"/>
      <c r="BA290" s="600"/>
      <c r="BB290" s="600"/>
      <c r="BC290" s="600"/>
      <c r="BD290" s="600"/>
      <c r="BE290" s="600"/>
      <c r="BF290" s="600"/>
      <c r="BG290" s="600"/>
      <c r="BH290" s="600"/>
      <c r="BI290" s="600"/>
      <c r="BJ290" s="600"/>
      <c r="BK290" s="600"/>
      <c r="BL290" s="600"/>
      <c r="BM290" s="600"/>
      <c r="BN290" s="600"/>
      <c r="BO290" s="600"/>
      <c r="BP290" s="600"/>
      <c r="BQ290" s="600"/>
      <c r="BR290" s="600"/>
      <c r="BS290" s="600"/>
      <c r="BT290" s="600"/>
      <c r="BU290" s="600"/>
      <c r="BV290" s="600"/>
      <c r="BW290" s="600"/>
      <c r="BX290" s="600"/>
      <c r="BY290" s="600"/>
      <c r="BZ290" s="600"/>
      <c r="CA290" s="621"/>
    </row>
    <row r="291" spans="1:79" s="48" customFormat="1" ht="15.75" customHeight="1" x14ac:dyDescent="0.25">
      <c r="A291" s="1664"/>
      <c r="B291" s="1" t="s">
        <v>415</v>
      </c>
      <c r="C291" s="36"/>
      <c r="D291" s="36"/>
      <c r="E291" s="36"/>
      <c r="F291" s="36"/>
      <c r="G291" s="597"/>
      <c r="H291" s="597"/>
      <c r="I291" s="23" t="s">
        <v>10</v>
      </c>
      <c r="J291" s="6"/>
      <c r="K291" s="6"/>
      <c r="L291" s="47">
        <v>263850.07</v>
      </c>
      <c r="M291" s="47">
        <v>263850.07</v>
      </c>
      <c r="N291" s="47">
        <v>263850.07</v>
      </c>
      <c r="O291" s="47">
        <v>263850.07</v>
      </c>
      <c r="P291" s="47">
        <v>0</v>
      </c>
      <c r="Q291" s="47">
        <v>21705.919999999998</v>
      </c>
      <c r="R291" s="47">
        <v>21705.95</v>
      </c>
      <c r="S291" s="47">
        <v>21705.95</v>
      </c>
      <c r="T291" s="47">
        <v>21705.95</v>
      </c>
      <c r="U291" s="47">
        <v>21705.95</v>
      </c>
      <c r="V291" s="47">
        <v>21705.95</v>
      </c>
      <c r="W291" s="47">
        <v>21705.95</v>
      </c>
      <c r="X291" s="47">
        <v>21705.95</v>
      </c>
      <c r="Y291" s="47">
        <v>21705.95</v>
      </c>
      <c r="Z291" s="47">
        <v>21705.95</v>
      </c>
      <c r="AA291" s="47">
        <v>21705.919999999998</v>
      </c>
      <c r="AB291" s="47">
        <f t="shared" ref="AB291:AJ291" si="197">SUM(AB292:AB295)</f>
        <v>17522.268</v>
      </c>
      <c r="AC291" s="47">
        <f t="shared" si="197"/>
        <v>17119.198000000004</v>
      </c>
      <c r="AD291" s="47">
        <f t="shared" si="197"/>
        <v>63735.476889999998</v>
      </c>
      <c r="AE291" s="47">
        <f t="shared" si="197"/>
        <v>0</v>
      </c>
      <c r="AF291" s="47">
        <f t="shared" si="197"/>
        <v>0</v>
      </c>
      <c r="AG291" s="47">
        <f t="shared" si="197"/>
        <v>0</v>
      </c>
      <c r="AH291" s="47">
        <f t="shared" si="197"/>
        <v>0</v>
      </c>
      <c r="AI291" s="47">
        <f t="shared" si="197"/>
        <v>0</v>
      </c>
      <c r="AJ291" s="47">
        <f t="shared" si="197"/>
        <v>0</v>
      </c>
      <c r="AK291" s="47">
        <f>AK292</f>
        <v>0</v>
      </c>
      <c r="AL291" s="47">
        <v>0</v>
      </c>
      <c r="AM291" s="47">
        <v>0</v>
      </c>
      <c r="AN291" s="47">
        <v>0</v>
      </c>
      <c r="AO291" s="47">
        <v>0</v>
      </c>
      <c r="AP291" s="419"/>
      <c r="AQ291" s="96"/>
      <c r="AR291" s="600"/>
      <c r="AS291" s="600"/>
      <c r="AT291" s="600"/>
      <c r="AU291" s="600"/>
      <c r="AV291" s="600"/>
      <c r="AW291" s="600"/>
      <c r="AX291" s="600"/>
      <c r="AY291" s="600"/>
      <c r="AZ291" s="600"/>
      <c r="BA291" s="600"/>
      <c r="BB291" s="600"/>
      <c r="BC291" s="600"/>
      <c r="BD291" s="600"/>
      <c r="BE291" s="600"/>
      <c r="BF291" s="600"/>
      <c r="BG291" s="600"/>
      <c r="BH291" s="600"/>
      <c r="BI291" s="600"/>
      <c r="BJ291" s="600"/>
      <c r="BK291" s="600"/>
      <c r="BL291" s="600"/>
      <c r="BM291" s="600"/>
      <c r="BN291" s="600"/>
      <c r="BO291" s="600"/>
      <c r="BP291" s="600"/>
      <c r="BQ291" s="600"/>
      <c r="BR291" s="600"/>
      <c r="BS291" s="600"/>
      <c r="BT291" s="600"/>
      <c r="BU291" s="600"/>
      <c r="BV291" s="600"/>
      <c r="BW291" s="600"/>
      <c r="BX291" s="600"/>
      <c r="BY291" s="600"/>
      <c r="BZ291" s="600"/>
      <c r="CA291" s="621"/>
    </row>
    <row r="292" spans="1:79" s="544" customFormat="1" hidden="1" x14ac:dyDescent="0.25">
      <c r="A292" s="1664"/>
      <c r="B292" s="102" t="s">
        <v>304</v>
      </c>
      <c r="C292" s="576"/>
      <c r="D292" s="576"/>
      <c r="E292" s="576"/>
      <c r="F292" s="576"/>
      <c r="G292" s="104"/>
      <c r="H292" s="104"/>
      <c r="I292" s="443"/>
      <c r="J292" s="106"/>
      <c r="K292" s="106"/>
      <c r="L292" s="96"/>
      <c r="M292" s="96"/>
      <c r="N292" s="96"/>
      <c r="O292" s="96"/>
      <c r="P292" s="96"/>
      <c r="Q292" s="96">
        <v>0</v>
      </c>
      <c r="R292" s="96"/>
      <c r="S292" s="96">
        <v>17505.331999999999</v>
      </c>
      <c r="T292" s="96"/>
      <c r="U292" s="96">
        <v>17063.596000000001</v>
      </c>
      <c r="V292" s="96"/>
      <c r="W292" s="96">
        <v>63608.259890000001</v>
      </c>
      <c r="X292" s="96"/>
      <c r="Y292" s="96"/>
      <c r="Z292" s="96"/>
      <c r="AA292" s="96">
        <v>0</v>
      </c>
      <c r="AB292" s="96">
        <v>17505.331999999999</v>
      </c>
      <c r="AC292" s="96">
        <v>17063.596000000001</v>
      </c>
      <c r="AD292" s="96">
        <v>63608.259890000001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2"/>
      <c r="AS292" s="602"/>
      <c r="AT292" s="602"/>
      <c r="AU292" s="602"/>
      <c r="AV292" s="602"/>
      <c r="AW292" s="602"/>
      <c r="AX292" s="602"/>
      <c r="AY292" s="602"/>
      <c r="AZ292" s="602"/>
      <c r="BA292" s="602"/>
      <c r="BB292" s="602"/>
      <c r="BC292" s="602"/>
      <c r="BD292" s="602"/>
      <c r="BE292" s="602"/>
      <c r="BF292" s="602"/>
      <c r="BG292" s="602"/>
      <c r="BH292" s="602"/>
      <c r="BI292" s="602"/>
      <c r="BJ292" s="602"/>
      <c r="BK292" s="602"/>
      <c r="BL292" s="602"/>
      <c r="BM292" s="602"/>
      <c r="BN292" s="602"/>
      <c r="BO292" s="602"/>
      <c r="BP292" s="602"/>
      <c r="BQ292" s="602"/>
      <c r="BR292" s="602"/>
      <c r="BS292" s="602"/>
      <c r="BT292" s="602"/>
      <c r="BU292" s="602"/>
      <c r="BV292" s="602"/>
      <c r="BW292" s="602"/>
      <c r="BX292" s="602"/>
      <c r="BY292" s="602"/>
      <c r="BZ292" s="602"/>
      <c r="CA292" s="622"/>
    </row>
    <row r="293" spans="1:79" s="544" customFormat="1" hidden="1" x14ac:dyDescent="0.25">
      <c r="A293" s="1664"/>
      <c r="B293" s="102" t="s">
        <v>305</v>
      </c>
      <c r="C293" s="576"/>
      <c r="D293" s="576"/>
      <c r="E293" s="576"/>
      <c r="F293" s="576"/>
      <c r="G293" s="104"/>
      <c r="H293" s="104"/>
      <c r="I293" s="443"/>
      <c r="J293" s="106"/>
      <c r="K293" s="106"/>
      <c r="L293" s="96"/>
      <c r="M293" s="96"/>
      <c r="N293" s="96"/>
      <c r="O293" s="96"/>
      <c r="P293" s="96"/>
      <c r="Q293" s="96">
        <v>0</v>
      </c>
      <c r="R293" s="96"/>
      <c r="S293" s="96">
        <v>16.936</v>
      </c>
      <c r="T293" s="96"/>
      <c r="U293" s="96">
        <v>35.421999999999997</v>
      </c>
      <c r="V293" s="96"/>
      <c r="W293" s="96">
        <f>127.21652+16.78083</f>
        <v>143.99735000000001</v>
      </c>
      <c r="X293" s="96"/>
      <c r="Y293" s="96"/>
      <c r="Z293" s="96"/>
      <c r="AA293" s="96">
        <v>0</v>
      </c>
      <c r="AB293" s="96">
        <v>16.936</v>
      </c>
      <c r="AC293" s="96">
        <v>52.201999999999998</v>
      </c>
      <c r="AD293" s="96">
        <v>127.217</v>
      </c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421"/>
      <c r="AQ293" s="96"/>
      <c r="AR293" s="602"/>
      <c r="AS293" s="602"/>
      <c r="AT293" s="602"/>
      <c r="AU293" s="602"/>
      <c r="AV293" s="602"/>
      <c r="AW293" s="602"/>
      <c r="AX293" s="602"/>
      <c r="AY293" s="602"/>
      <c r="AZ293" s="602"/>
      <c r="BA293" s="602"/>
      <c r="BB293" s="602"/>
      <c r="BC293" s="602"/>
      <c r="BD293" s="602"/>
      <c r="BE293" s="602"/>
      <c r="BF293" s="602"/>
      <c r="BG293" s="602"/>
      <c r="BH293" s="602"/>
      <c r="BI293" s="602"/>
      <c r="BJ293" s="602"/>
      <c r="BK293" s="602"/>
      <c r="BL293" s="602"/>
      <c r="BM293" s="602"/>
      <c r="BN293" s="602"/>
      <c r="BO293" s="602"/>
      <c r="BP293" s="602"/>
      <c r="BQ293" s="602"/>
      <c r="BR293" s="602"/>
      <c r="BS293" s="602"/>
      <c r="BT293" s="602"/>
      <c r="BU293" s="602"/>
      <c r="BV293" s="602"/>
      <c r="BW293" s="602"/>
      <c r="BX293" s="602"/>
      <c r="BY293" s="602"/>
      <c r="BZ293" s="602"/>
      <c r="CA293" s="622"/>
    </row>
    <row r="294" spans="1:79" s="544" customFormat="1" hidden="1" x14ac:dyDescent="0.25">
      <c r="A294" s="1664"/>
      <c r="B294" s="102" t="s">
        <v>317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v>0</v>
      </c>
      <c r="R294" s="96"/>
      <c r="S294" s="96"/>
      <c r="T294" s="96"/>
      <c r="U294" s="96">
        <v>9848.4549999999999</v>
      </c>
      <c r="V294" s="96"/>
      <c r="W294" s="96"/>
      <c r="X294" s="96"/>
      <c r="Y294" s="96"/>
      <c r="Z294" s="96"/>
      <c r="AA294" s="96">
        <v>0</v>
      </c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hidden="1" x14ac:dyDescent="0.25">
      <c r="A295" s="1665"/>
      <c r="B295" s="102"/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v>0</v>
      </c>
      <c r="R295" s="96"/>
      <c r="S295" s="96">
        <v>0</v>
      </c>
      <c r="T295" s="96"/>
      <c r="U295" s="96">
        <v>3.4</v>
      </c>
      <c r="V295" s="96"/>
      <c r="W295" s="96"/>
      <c r="X295" s="96"/>
      <c r="Y295" s="96"/>
      <c r="Z295" s="96"/>
      <c r="AA295" s="96">
        <v>0</v>
      </c>
      <c r="AB295" s="96">
        <v>0</v>
      </c>
      <c r="AC295" s="96">
        <v>3.4</v>
      </c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327" customFormat="1" ht="33" customHeight="1" x14ac:dyDescent="0.25">
      <c r="A296" s="1358" t="s">
        <v>194</v>
      </c>
      <c r="B296" s="780" t="s">
        <v>393</v>
      </c>
      <c r="C296" s="745"/>
      <c r="D296" s="745"/>
      <c r="E296" s="745"/>
      <c r="F296" s="745">
        <v>82</v>
      </c>
      <c r="G296" s="807"/>
      <c r="H296" s="807"/>
      <c r="I296" s="1326" t="s">
        <v>20</v>
      </c>
      <c r="J296" s="52">
        <f>L296</f>
        <v>12299.37</v>
      </c>
      <c r="K296" s="52"/>
      <c r="L296" s="3">
        <f>L298</f>
        <v>12299.37</v>
      </c>
      <c r="M296" s="3">
        <f t="shared" ref="M296:Y296" si="198">M298</f>
        <v>0</v>
      </c>
      <c r="N296" s="3">
        <f t="shared" si="198"/>
        <v>0</v>
      </c>
      <c r="O296" s="3">
        <f t="shared" si="198"/>
        <v>5371.98</v>
      </c>
      <c r="P296" s="3">
        <f>P297+P298</f>
        <v>2400.44</v>
      </c>
      <c r="Q296" s="3">
        <f t="shared" si="198"/>
        <v>0</v>
      </c>
      <c r="R296" s="3">
        <f t="shared" si="198"/>
        <v>0</v>
      </c>
      <c r="S296" s="3">
        <f t="shared" si="198"/>
        <v>0</v>
      </c>
      <c r="T296" s="3">
        <f t="shared" si="198"/>
        <v>0</v>
      </c>
      <c r="U296" s="3">
        <f t="shared" si="198"/>
        <v>0</v>
      </c>
      <c r="V296" s="3">
        <f t="shared" si="198"/>
        <v>0</v>
      </c>
      <c r="W296" s="3">
        <f t="shared" si="198"/>
        <v>0</v>
      </c>
      <c r="X296" s="3">
        <f t="shared" si="198"/>
        <v>0</v>
      </c>
      <c r="Y296" s="3">
        <f t="shared" si="198"/>
        <v>0</v>
      </c>
      <c r="Z296" s="95">
        <v>0</v>
      </c>
      <c r="AA296" s="3">
        <f t="shared" ref="AA296:AO296" si="199">AA298</f>
        <v>0</v>
      </c>
      <c r="AB296" s="3">
        <f t="shared" si="199"/>
        <v>0</v>
      </c>
      <c r="AC296" s="3">
        <f t="shared" si="199"/>
        <v>0</v>
      </c>
      <c r="AD296" s="3">
        <f t="shared" si="199"/>
        <v>0</v>
      </c>
      <c r="AE296" s="3">
        <f t="shared" si="199"/>
        <v>0</v>
      </c>
      <c r="AF296" s="3">
        <f t="shared" si="199"/>
        <v>0</v>
      </c>
      <c r="AG296" s="3">
        <f t="shared" si="199"/>
        <v>0</v>
      </c>
      <c r="AH296" s="3">
        <f t="shared" si="199"/>
        <v>0</v>
      </c>
      <c r="AI296" s="3">
        <f t="shared" si="199"/>
        <v>0</v>
      </c>
      <c r="AJ296" s="3">
        <f t="shared" si="199"/>
        <v>0</v>
      </c>
      <c r="AK296" s="3">
        <f t="shared" si="199"/>
        <v>0</v>
      </c>
      <c r="AL296" s="3">
        <f t="shared" si="199"/>
        <v>0</v>
      </c>
      <c r="AM296" s="3">
        <f t="shared" si="199"/>
        <v>0</v>
      </c>
      <c r="AN296" s="3">
        <f t="shared" si="199"/>
        <v>0</v>
      </c>
      <c r="AO296" s="3">
        <f t="shared" si="199"/>
        <v>0</v>
      </c>
      <c r="AP296" s="834"/>
      <c r="AQ296" s="95">
        <v>0</v>
      </c>
    </row>
    <row r="297" spans="1:79" ht="15.75" customHeight="1" x14ac:dyDescent="0.25">
      <c r="A297" s="1359"/>
      <c r="B297" s="1" t="s">
        <v>39</v>
      </c>
      <c r="C297" s="758"/>
      <c r="D297" s="758"/>
      <c r="E297" s="758"/>
      <c r="F297" s="758"/>
      <c r="G297" s="751"/>
      <c r="H297" s="751"/>
      <c r="I297" s="1327"/>
      <c r="J297" s="6"/>
      <c r="K297" s="6"/>
      <c r="L297" s="47"/>
      <c r="M297" s="47"/>
      <c r="N297" s="47"/>
      <c r="O297" s="47"/>
      <c r="P297" s="47">
        <v>2400.44</v>
      </c>
      <c r="Q297" s="47">
        <f>S297</f>
        <v>0</v>
      </c>
      <c r="R297" s="47">
        <f>S297</f>
        <v>0</v>
      </c>
      <c r="S297" s="47">
        <v>0</v>
      </c>
      <c r="T297" s="47"/>
      <c r="U297" s="47"/>
      <c r="V297" s="47"/>
      <c r="W297" s="47"/>
      <c r="X297" s="47"/>
      <c r="Y297" s="47"/>
      <c r="Z297" s="47"/>
      <c r="AA297" s="47">
        <v>0</v>
      </c>
      <c r="AB297" s="47">
        <v>0</v>
      </c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19"/>
      <c r="AQ297" s="47"/>
    </row>
    <row r="298" spans="1:79" ht="19.5" customHeight="1" x14ac:dyDescent="0.25">
      <c r="A298" s="1361"/>
      <c r="B298" s="1" t="s">
        <v>213</v>
      </c>
      <c r="C298" s="757"/>
      <c r="D298" s="757"/>
      <c r="E298" s="757"/>
      <c r="F298" s="757"/>
      <c r="G298" s="751">
        <v>2024</v>
      </c>
      <c r="H298" s="751">
        <v>2029</v>
      </c>
      <c r="I298" s="1328"/>
      <c r="J298" s="6">
        <f>L298</f>
        <v>12299.37</v>
      </c>
      <c r="K298" s="6"/>
      <c r="L298" s="47">
        <v>12299.37</v>
      </c>
      <c r="M298" s="47">
        <v>0</v>
      </c>
      <c r="N298" s="47">
        <v>0</v>
      </c>
      <c r="O298" s="47">
        <v>5371.98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>
        <v>0</v>
      </c>
      <c r="X298" s="47">
        <v>0</v>
      </c>
      <c r="Y298" s="47">
        <v>0</v>
      </c>
      <c r="Z298" s="96"/>
      <c r="AA298" s="47">
        <v>0</v>
      </c>
      <c r="AB298" s="47">
        <v>0</v>
      </c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>
        <v>0</v>
      </c>
      <c r="AM298" s="47">
        <v>0</v>
      </c>
      <c r="AN298" s="47">
        <v>0</v>
      </c>
      <c r="AO298" s="47">
        <v>0</v>
      </c>
      <c r="AP298" s="419"/>
      <c r="AQ298" s="96"/>
    </row>
    <row r="299" spans="1:79" ht="15.75" hidden="1" x14ac:dyDescent="0.25">
      <c r="B299" s="623" t="s">
        <v>96</v>
      </c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  <c r="O299" s="623"/>
      <c r="P299" s="624"/>
      <c r="Q299" s="623"/>
      <c r="S299" s="623"/>
      <c r="T299" s="623" t="s">
        <v>97</v>
      </c>
      <c r="U299" s="623"/>
      <c r="V299" s="623"/>
      <c r="W299" s="623"/>
      <c r="AB299" s="623" t="s">
        <v>97</v>
      </c>
      <c r="AO299" s="623"/>
      <c r="AP299" s="623"/>
    </row>
    <row r="300" spans="1:79" ht="15.75" hidden="1" x14ac:dyDescent="0.25">
      <c r="B300" s="623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  <c r="O300" s="623"/>
      <c r="P300" s="624"/>
      <c r="Q300" s="623"/>
      <c r="S300" s="623"/>
      <c r="T300" s="623"/>
      <c r="U300" s="623"/>
      <c r="AB300" s="623"/>
      <c r="AC300" s="626" t="s">
        <v>98</v>
      </c>
      <c r="AD300" s="623"/>
      <c r="AE300" s="623"/>
      <c r="AF300" s="623"/>
      <c r="AG300" s="623"/>
      <c r="AH300" s="623"/>
      <c r="AI300" s="623"/>
      <c r="AJ300" s="623"/>
      <c r="AK300" s="623"/>
      <c r="AL300" s="623"/>
      <c r="AM300" s="623" t="s">
        <v>99</v>
      </c>
      <c r="AN300" s="623"/>
      <c r="AO300" s="623"/>
      <c r="AP300" s="623"/>
    </row>
    <row r="301" spans="1:79" ht="15.75" hidden="1" x14ac:dyDescent="0.25">
      <c r="B301" s="623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/>
      <c r="W301" s="623" t="s">
        <v>98</v>
      </c>
      <c r="AB301" s="623"/>
      <c r="AD301" s="623"/>
      <c r="AE301" s="623"/>
      <c r="AF301" s="623"/>
      <c r="AG301" s="623"/>
      <c r="AH301" s="623"/>
      <c r="AI301" s="623"/>
      <c r="AJ301" s="623"/>
      <c r="AK301" s="623"/>
      <c r="AL301" s="623"/>
      <c r="AM301" s="623"/>
      <c r="AN301" s="623"/>
      <c r="AO301" s="623"/>
      <c r="AP301" s="623"/>
    </row>
    <row r="302" spans="1:79" ht="15.75" hidden="1" x14ac:dyDescent="0.25">
      <c r="B302" s="623" t="s">
        <v>94</v>
      </c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 t="s">
        <v>95</v>
      </c>
      <c r="W302" s="623"/>
      <c r="AB302" s="623" t="s">
        <v>95</v>
      </c>
      <c r="AC302" s="626" t="s">
        <v>100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101</v>
      </c>
      <c r="AN302" s="623"/>
    </row>
    <row r="303" spans="1:79" ht="15.75" hidden="1" x14ac:dyDescent="0.25">
      <c r="W303" s="623"/>
      <c r="AJ303" s="623"/>
    </row>
    <row r="304" spans="1:79" ht="15.75" hidden="1" x14ac:dyDescent="0.25">
      <c r="W304" s="623" t="s">
        <v>100</v>
      </c>
      <c r="AJ304" s="623" t="s">
        <v>101</v>
      </c>
    </row>
    <row r="305" spans="1:43" s="624" customFormat="1" ht="15.75" hidden="1" x14ac:dyDescent="0.25">
      <c r="B305" s="624" t="s">
        <v>242</v>
      </c>
      <c r="T305" s="624" t="s">
        <v>151</v>
      </c>
      <c r="X305" s="627"/>
      <c r="Y305" s="627"/>
      <c r="Z305" s="627"/>
      <c r="AB305" s="624" t="s">
        <v>151</v>
      </c>
      <c r="AP305" s="628"/>
      <c r="AQ305" s="627"/>
    </row>
    <row r="306" spans="1:43" s="327" customFormat="1" ht="29.25" customHeight="1" x14ac:dyDescent="0.25">
      <c r="A306" s="1358" t="s">
        <v>194</v>
      </c>
      <c r="B306" s="780" t="s">
        <v>394</v>
      </c>
      <c r="C306" s="745"/>
      <c r="D306" s="745"/>
      <c r="E306" s="745"/>
      <c r="F306" s="745">
        <v>82</v>
      </c>
      <c r="G306" s="807"/>
      <c r="H306" s="807"/>
      <c r="I306" s="1326" t="s">
        <v>20</v>
      </c>
      <c r="J306" s="52">
        <f>L306</f>
        <v>12299.37</v>
      </c>
      <c r="K306" s="52"/>
      <c r="L306" s="3">
        <f>L308</f>
        <v>12299.37</v>
      </c>
      <c r="M306" s="3">
        <f t="shared" ref="M306:Y306" si="200">M308</f>
        <v>0</v>
      </c>
      <c r="N306" s="3">
        <f t="shared" si="200"/>
        <v>0</v>
      </c>
      <c r="O306" s="3">
        <f t="shared" si="200"/>
        <v>5371.98</v>
      </c>
      <c r="P306" s="3">
        <f>P307+P308</f>
        <v>2804.27</v>
      </c>
      <c r="Q306" s="3">
        <f t="shared" si="200"/>
        <v>0</v>
      </c>
      <c r="R306" s="3">
        <f t="shared" si="200"/>
        <v>0</v>
      </c>
      <c r="S306" s="3">
        <f t="shared" si="200"/>
        <v>0</v>
      </c>
      <c r="T306" s="3">
        <f t="shared" si="200"/>
        <v>0</v>
      </c>
      <c r="U306" s="3">
        <f t="shared" si="200"/>
        <v>0</v>
      </c>
      <c r="V306" s="3">
        <f t="shared" si="200"/>
        <v>0</v>
      </c>
      <c r="W306" s="3">
        <f t="shared" si="200"/>
        <v>0</v>
      </c>
      <c r="X306" s="3">
        <f t="shared" si="200"/>
        <v>0</v>
      </c>
      <c r="Y306" s="3">
        <f t="shared" si="200"/>
        <v>0</v>
      </c>
      <c r="Z306" s="95">
        <v>0</v>
      </c>
      <c r="AA306" s="3">
        <f t="shared" ref="AA306:AO306" si="201">AA308</f>
        <v>0</v>
      </c>
      <c r="AB306" s="3">
        <f t="shared" si="201"/>
        <v>0</v>
      </c>
      <c r="AC306" s="3">
        <f t="shared" si="201"/>
        <v>0</v>
      </c>
      <c r="AD306" s="3">
        <f t="shared" si="201"/>
        <v>0</v>
      </c>
      <c r="AE306" s="3">
        <f t="shared" si="201"/>
        <v>0</v>
      </c>
      <c r="AF306" s="3">
        <f t="shared" si="201"/>
        <v>0</v>
      </c>
      <c r="AG306" s="3">
        <f t="shared" si="201"/>
        <v>0</v>
      </c>
      <c r="AH306" s="3">
        <f t="shared" si="201"/>
        <v>0</v>
      </c>
      <c r="AI306" s="3">
        <f t="shared" si="201"/>
        <v>0</v>
      </c>
      <c r="AJ306" s="3">
        <f t="shared" si="201"/>
        <v>0</v>
      </c>
      <c r="AK306" s="3">
        <f t="shared" si="201"/>
        <v>0</v>
      </c>
      <c r="AL306" s="3">
        <f t="shared" si="201"/>
        <v>0</v>
      </c>
      <c r="AM306" s="3">
        <f t="shared" si="201"/>
        <v>0</v>
      </c>
      <c r="AN306" s="3">
        <f t="shared" si="201"/>
        <v>0</v>
      </c>
      <c r="AO306" s="3">
        <f t="shared" si="201"/>
        <v>0</v>
      </c>
      <c r="AP306" s="834"/>
      <c r="AQ306" s="95">
        <v>0</v>
      </c>
    </row>
    <row r="307" spans="1:43" ht="15.75" customHeight="1" x14ac:dyDescent="0.25">
      <c r="A307" s="1359"/>
      <c r="B307" s="1" t="s">
        <v>39</v>
      </c>
      <c r="C307" s="758"/>
      <c r="D307" s="758"/>
      <c r="E307" s="758"/>
      <c r="F307" s="758"/>
      <c r="G307" s="751"/>
      <c r="H307" s="751"/>
      <c r="I307" s="1327"/>
      <c r="J307" s="6"/>
      <c r="K307" s="6"/>
      <c r="L307" s="47"/>
      <c r="M307" s="47"/>
      <c r="N307" s="47"/>
      <c r="O307" s="47"/>
      <c r="P307" s="47">
        <v>2804.27</v>
      </c>
      <c r="Q307" s="47">
        <f>S307</f>
        <v>0</v>
      </c>
      <c r="R307" s="47">
        <f>S307</f>
        <v>0</v>
      </c>
      <c r="S307" s="47">
        <v>0</v>
      </c>
      <c r="T307" s="47"/>
      <c r="U307" s="47"/>
      <c r="V307" s="47"/>
      <c r="W307" s="47"/>
      <c r="X307" s="47"/>
      <c r="Y307" s="47"/>
      <c r="Z307" s="47"/>
      <c r="AA307" s="47">
        <v>0</v>
      </c>
      <c r="AB307" s="47">
        <v>0</v>
      </c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19"/>
      <c r="AQ307" s="47"/>
    </row>
    <row r="308" spans="1:43" ht="19.5" customHeight="1" x14ac:dyDescent="0.25">
      <c r="A308" s="1361"/>
      <c r="B308" s="1" t="s">
        <v>213</v>
      </c>
      <c r="C308" s="757"/>
      <c r="D308" s="757"/>
      <c r="E308" s="757"/>
      <c r="F308" s="757"/>
      <c r="G308" s="751">
        <v>2024</v>
      </c>
      <c r="H308" s="751">
        <v>2029</v>
      </c>
      <c r="I308" s="1328"/>
      <c r="J308" s="6">
        <f>L308</f>
        <v>12299.37</v>
      </c>
      <c r="K308" s="6"/>
      <c r="L308" s="47">
        <v>12299.37</v>
      </c>
      <c r="M308" s="47">
        <v>0</v>
      </c>
      <c r="N308" s="47">
        <v>0</v>
      </c>
      <c r="O308" s="47">
        <v>5371.98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96"/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19"/>
      <c r="AQ308" s="96"/>
    </row>
    <row r="309" spans="1:43" s="327" customFormat="1" ht="29.25" customHeight="1" x14ac:dyDescent="0.25">
      <c r="A309" s="1358" t="s">
        <v>194</v>
      </c>
      <c r="B309" s="780" t="s">
        <v>416</v>
      </c>
      <c r="C309" s="745"/>
      <c r="D309" s="745"/>
      <c r="E309" s="745"/>
      <c r="F309" s="745">
        <v>82</v>
      </c>
      <c r="G309" s="807"/>
      <c r="H309" s="807"/>
      <c r="I309" s="1326" t="s">
        <v>20</v>
      </c>
      <c r="J309" s="52">
        <f>L309</f>
        <v>12299.37</v>
      </c>
      <c r="K309" s="52"/>
      <c r="L309" s="3">
        <f>L311</f>
        <v>12299.37</v>
      </c>
      <c r="M309" s="3">
        <f t="shared" ref="M309:Y309" si="202">M311</f>
        <v>0</v>
      </c>
      <c r="N309" s="3">
        <f t="shared" si="202"/>
        <v>0</v>
      </c>
      <c r="O309" s="3">
        <f t="shared" si="202"/>
        <v>5371.98</v>
      </c>
      <c r="P309" s="3">
        <f>P310+P311</f>
        <v>377.92</v>
      </c>
      <c r="Q309" s="3">
        <f t="shared" si="202"/>
        <v>0</v>
      </c>
      <c r="R309" s="3">
        <f t="shared" si="202"/>
        <v>0</v>
      </c>
      <c r="S309" s="3">
        <f t="shared" si="202"/>
        <v>0</v>
      </c>
      <c r="T309" s="3">
        <f t="shared" si="202"/>
        <v>0</v>
      </c>
      <c r="U309" s="3">
        <f t="shared" si="202"/>
        <v>0</v>
      </c>
      <c r="V309" s="3">
        <f t="shared" si="202"/>
        <v>0</v>
      </c>
      <c r="W309" s="3">
        <f t="shared" si="202"/>
        <v>0</v>
      </c>
      <c r="X309" s="3">
        <f t="shared" si="202"/>
        <v>0</v>
      </c>
      <c r="Y309" s="3">
        <f t="shared" si="202"/>
        <v>0</v>
      </c>
      <c r="Z309" s="95">
        <v>0</v>
      </c>
      <c r="AA309" s="3">
        <f t="shared" ref="AA309:AO309" si="203">AA311</f>
        <v>0</v>
      </c>
      <c r="AB309" s="3">
        <f t="shared" si="203"/>
        <v>0</v>
      </c>
      <c r="AC309" s="3">
        <f t="shared" si="203"/>
        <v>0</v>
      </c>
      <c r="AD309" s="3">
        <f t="shared" si="203"/>
        <v>0</v>
      </c>
      <c r="AE309" s="3">
        <f t="shared" si="203"/>
        <v>0</v>
      </c>
      <c r="AF309" s="3">
        <f t="shared" si="203"/>
        <v>0</v>
      </c>
      <c r="AG309" s="3">
        <f t="shared" si="203"/>
        <v>0</v>
      </c>
      <c r="AH309" s="3">
        <f t="shared" si="203"/>
        <v>0</v>
      </c>
      <c r="AI309" s="3">
        <f t="shared" si="203"/>
        <v>0</v>
      </c>
      <c r="AJ309" s="3">
        <f t="shared" si="203"/>
        <v>0</v>
      </c>
      <c r="AK309" s="3">
        <f t="shared" si="203"/>
        <v>0</v>
      </c>
      <c r="AL309" s="3">
        <f t="shared" si="203"/>
        <v>0</v>
      </c>
      <c r="AM309" s="3">
        <f t="shared" si="203"/>
        <v>0</v>
      </c>
      <c r="AN309" s="3">
        <f t="shared" si="203"/>
        <v>0</v>
      </c>
      <c r="AO309" s="3">
        <f t="shared" si="203"/>
        <v>0</v>
      </c>
      <c r="AP309" s="834"/>
      <c r="AQ309" s="95">
        <v>0</v>
      </c>
    </row>
    <row r="310" spans="1:43" ht="15.75" customHeight="1" x14ac:dyDescent="0.25">
      <c r="A310" s="1359"/>
      <c r="B310" s="1" t="s">
        <v>39</v>
      </c>
      <c r="C310" s="758"/>
      <c r="D310" s="758"/>
      <c r="E310" s="758"/>
      <c r="F310" s="758"/>
      <c r="G310" s="751"/>
      <c r="H310" s="751"/>
      <c r="I310" s="1327"/>
      <c r="J310" s="6"/>
      <c r="K310" s="6"/>
      <c r="L310" s="47"/>
      <c r="M310" s="47"/>
      <c r="N310" s="47"/>
      <c r="O310" s="47"/>
      <c r="P310" s="47">
        <v>377.92</v>
      </c>
      <c r="Q310" s="47">
        <f>S310</f>
        <v>0</v>
      </c>
      <c r="R310" s="47">
        <f>S310</f>
        <v>0</v>
      </c>
      <c r="S310" s="47">
        <v>0</v>
      </c>
      <c r="T310" s="47"/>
      <c r="U310" s="47"/>
      <c r="V310" s="47"/>
      <c r="W310" s="47"/>
      <c r="X310" s="47"/>
      <c r="Y310" s="47"/>
      <c r="Z310" s="47"/>
      <c r="AA310" s="47">
        <v>0</v>
      </c>
      <c r="AB310" s="47">
        <v>0</v>
      </c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19"/>
      <c r="AQ310" s="47"/>
    </row>
    <row r="311" spans="1:43" ht="19.5" customHeight="1" x14ac:dyDescent="0.25">
      <c r="A311" s="1361"/>
      <c r="B311" s="1" t="s">
        <v>213</v>
      </c>
      <c r="C311" s="757"/>
      <c r="D311" s="757"/>
      <c r="E311" s="757"/>
      <c r="F311" s="757"/>
      <c r="G311" s="751">
        <v>2024</v>
      </c>
      <c r="H311" s="751">
        <v>2029</v>
      </c>
      <c r="I311" s="1328"/>
      <c r="J311" s="6">
        <f>L311</f>
        <v>12299.37</v>
      </c>
      <c r="K311" s="6"/>
      <c r="L311" s="47">
        <v>12299.37</v>
      </c>
      <c r="M311" s="47">
        <v>0</v>
      </c>
      <c r="N311" s="47">
        <v>0</v>
      </c>
      <c r="O311" s="47">
        <v>5371.98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W311" s="47">
        <v>0</v>
      </c>
      <c r="X311" s="47">
        <v>0</v>
      </c>
      <c r="Y311" s="47">
        <v>0</v>
      </c>
      <c r="Z311" s="96"/>
      <c r="AA311" s="47">
        <v>0</v>
      </c>
      <c r="AB311" s="47">
        <v>0</v>
      </c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0</v>
      </c>
      <c r="AK311" s="47">
        <v>0</v>
      </c>
      <c r="AL311" s="47">
        <v>0</v>
      </c>
      <c r="AM311" s="47">
        <v>0</v>
      </c>
      <c r="AN311" s="47">
        <v>0</v>
      </c>
      <c r="AO311" s="47">
        <v>0</v>
      </c>
      <c r="AP311" s="419"/>
      <c r="AQ311" s="96"/>
    </row>
  </sheetData>
  <mergeCells count="199">
    <mergeCell ref="I227:I228"/>
    <mergeCell ref="I233:I234"/>
    <mergeCell ref="A296:A298"/>
    <mergeCell ref="I296:I298"/>
    <mergeCell ref="A306:A308"/>
    <mergeCell ref="I306:I308"/>
    <mergeCell ref="A309:A311"/>
    <mergeCell ref="I309:I311"/>
    <mergeCell ref="A283:A285"/>
    <mergeCell ref="I283:I285"/>
    <mergeCell ref="A286:A295"/>
    <mergeCell ref="A276:A282"/>
    <mergeCell ref="C276:C277"/>
    <mergeCell ref="D276:D277"/>
    <mergeCell ref="E276:E277"/>
    <mergeCell ref="F276:F277"/>
    <mergeCell ref="I276:I282"/>
    <mergeCell ref="A271:A275"/>
    <mergeCell ref="C271:C272"/>
    <mergeCell ref="D271:D272"/>
    <mergeCell ref="E271:E272"/>
    <mergeCell ref="F271:F272"/>
    <mergeCell ref="I271:I275"/>
    <mergeCell ref="I265:I266"/>
    <mergeCell ref="J265:J266"/>
    <mergeCell ref="A267:A270"/>
    <mergeCell ref="C267:C268"/>
    <mergeCell ref="D267:D268"/>
    <mergeCell ref="E267:E268"/>
    <mergeCell ref="F267:F268"/>
    <mergeCell ref="I267:I270"/>
    <mergeCell ref="A250:A254"/>
    <mergeCell ref="I250:I254"/>
    <mergeCell ref="A255:A256"/>
    <mergeCell ref="I255:I256"/>
    <mergeCell ref="I262:I263"/>
    <mergeCell ref="A265:A266"/>
    <mergeCell ref="C265:C266"/>
    <mergeCell ref="D265:D266"/>
    <mergeCell ref="E265:E266"/>
    <mergeCell ref="F265:F266"/>
    <mergeCell ref="I236:I239"/>
    <mergeCell ref="J236:J239"/>
    <mergeCell ref="A243:A246"/>
    <mergeCell ref="B243:H246"/>
    <mergeCell ref="A247:A249"/>
    <mergeCell ref="I247:I248"/>
    <mergeCell ref="A229:A232"/>
    <mergeCell ref="B229:H232"/>
    <mergeCell ref="A236:A239"/>
    <mergeCell ref="C236:C239"/>
    <mergeCell ref="D236:D239"/>
    <mergeCell ref="E236:E239"/>
    <mergeCell ref="F236:F239"/>
    <mergeCell ref="G236:G239"/>
    <mergeCell ref="H236:H239"/>
    <mergeCell ref="J206:J210"/>
    <mergeCell ref="A211:A212"/>
    <mergeCell ref="I211:I212"/>
    <mergeCell ref="I217:I218"/>
    <mergeCell ref="I223:I224"/>
    <mergeCell ref="I225:I226"/>
    <mergeCell ref="A206:A210"/>
    <mergeCell ref="C206:C210"/>
    <mergeCell ref="D206:D210"/>
    <mergeCell ref="E206:E210"/>
    <mergeCell ref="F206:F210"/>
    <mergeCell ref="I206:I210"/>
    <mergeCell ref="A182:A183"/>
    <mergeCell ref="I182:I183"/>
    <mergeCell ref="A185:A186"/>
    <mergeCell ref="I185:I186"/>
    <mergeCell ref="A202:A205"/>
    <mergeCell ref="B202:H205"/>
    <mergeCell ref="H169:H170"/>
    <mergeCell ref="I169:I170"/>
    <mergeCell ref="J169:J170"/>
    <mergeCell ref="K169:K170"/>
    <mergeCell ref="A178:A179"/>
    <mergeCell ref="I178:I179"/>
    <mergeCell ref="A169:A170"/>
    <mergeCell ref="C169:C170"/>
    <mergeCell ref="D169:D170"/>
    <mergeCell ref="E169:E170"/>
    <mergeCell ref="F169:F170"/>
    <mergeCell ref="G169:G170"/>
    <mergeCell ref="H162:H163"/>
    <mergeCell ref="I162:I163"/>
    <mergeCell ref="J162:J163"/>
    <mergeCell ref="K162:K163"/>
    <mergeCell ref="A165:A168"/>
    <mergeCell ref="F165:F168"/>
    <mergeCell ref="I165:I168"/>
    <mergeCell ref="A162:A163"/>
    <mergeCell ref="C162:C163"/>
    <mergeCell ref="D162:D163"/>
    <mergeCell ref="E162:E163"/>
    <mergeCell ref="F162:F163"/>
    <mergeCell ref="G162:G163"/>
    <mergeCell ref="A136:A140"/>
    <mergeCell ref="I136:I140"/>
    <mergeCell ref="J136:J140"/>
    <mergeCell ref="A153:H157"/>
    <mergeCell ref="A158:A161"/>
    <mergeCell ref="B158:H161"/>
    <mergeCell ref="A118:A122"/>
    <mergeCell ref="I118:I122"/>
    <mergeCell ref="A123:A124"/>
    <mergeCell ref="I123:I124"/>
    <mergeCell ref="A126:A129"/>
    <mergeCell ref="B126:H129"/>
    <mergeCell ref="A141:A145"/>
    <mergeCell ref="I141:I145"/>
    <mergeCell ref="J141:J145"/>
    <mergeCell ref="A146:A150"/>
    <mergeCell ref="I146:I150"/>
    <mergeCell ref="J146:J150"/>
    <mergeCell ref="A106:A110"/>
    <mergeCell ref="I106:I110"/>
    <mergeCell ref="A111:A112"/>
    <mergeCell ref="I111:I112"/>
    <mergeCell ref="A114:A117"/>
    <mergeCell ref="I114:I117"/>
    <mergeCell ref="A94:A96"/>
    <mergeCell ref="I94:I95"/>
    <mergeCell ref="A97:A98"/>
    <mergeCell ref="I97:I98"/>
    <mergeCell ref="A100:A105"/>
    <mergeCell ref="I100:I105"/>
    <mergeCell ref="C84:C89"/>
    <mergeCell ref="D84:D89"/>
    <mergeCell ref="E84:E89"/>
    <mergeCell ref="F84:F89"/>
    <mergeCell ref="I84:I89"/>
    <mergeCell ref="A91:A93"/>
    <mergeCell ref="I91:I92"/>
    <mergeCell ref="I68:I71"/>
    <mergeCell ref="J68:J71"/>
    <mergeCell ref="A76:A79"/>
    <mergeCell ref="B76:H79"/>
    <mergeCell ref="A80:A81"/>
    <mergeCell ref="I80:I81"/>
    <mergeCell ref="A65:A67"/>
    <mergeCell ref="B65:H67"/>
    <mergeCell ref="A68:A71"/>
    <mergeCell ref="C68:C71"/>
    <mergeCell ref="D68:D71"/>
    <mergeCell ref="E68:E71"/>
    <mergeCell ref="F68:F7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A36:A39"/>
    <mergeCell ref="I36:I39"/>
    <mergeCell ref="A47:A51"/>
    <mergeCell ref="I47:I51"/>
    <mergeCell ref="AP20:AP30"/>
    <mergeCell ref="A33:A35"/>
    <mergeCell ref="I33:I35"/>
    <mergeCell ref="J33:J35"/>
    <mergeCell ref="K33:K35"/>
    <mergeCell ref="AP34:AP35"/>
    <mergeCell ref="A19:A28"/>
    <mergeCell ref="C19:C20"/>
    <mergeCell ref="D19:D20"/>
    <mergeCell ref="E19:E20"/>
    <mergeCell ref="F19:F20"/>
    <mergeCell ref="G19:G20"/>
    <mergeCell ref="A15:A18"/>
    <mergeCell ref="B15:H18"/>
    <mergeCell ref="V3:W3"/>
    <mergeCell ref="X3:Y3"/>
    <mergeCell ref="AF3:AJ3"/>
    <mergeCell ref="K36:K39"/>
    <mergeCell ref="A43:A46"/>
    <mergeCell ref="B43:H46"/>
    <mergeCell ref="J47:J51"/>
    <mergeCell ref="K47:K51"/>
    <mergeCell ref="H19:H20"/>
    <mergeCell ref="AL3:AO3"/>
    <mergeCell ref="M3:O3"/>
    <mergeCell ref="R3:S3"/>
    <mergeCell ref="T3:U3"/>
    <mergeCell ref="A1:AP1"/>
    <mergeCell ref="E3:F3"/>
    <mergeCell ref="B5:F5"/>
    <mergeCell ref="A6:H9"/>
    <mergeCell ref="A10:H14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1" max="16383" man="1"/>
    <brk id="249" max="16383" man="1"/>
  </rowBreaks>
  <colBreaks count="1" manualBreakCount="1">
    <brk id="4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1"/>
  <sheetViews>
    <sheetView topLeftCell="B1" zoomScale="130" zoomScaleNormal="130" zoomScaleSheetLayoutView="140" workbookViewId="0">
      <pane xSplit="14" ySplit="9" topLeftCell="P72" activePane="bottomRight" state="frozen"/>
      <selection activeCell="B1" sqref="B1"/>
      <selection pane="topRight" activeCell="P1" sqref="P1"/>
      <selection pane="bottomLeft" activeCell="B10" sqref="B10"/>
      <selection pane="bottomRight" activeCell="A2" sqref="A2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444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919" t="s">
        <v>3</v>
      </c>
      <c r="B3" s="919" t="s">
        <v>4</v>
      </c>
      <c r="C3" s="881" t="s">
        <v>6</v>
      </c>
      <c r="D3" s="881" t="s">
        <v>14</v>
      </c>
      <c r="E3" s="1530" t="s">
        <v>5</v>
      </c>
      <c r="F3" s="1532"/>
      <c r="G3" s="881" t="s">
        <v>1</v>
      </c>
      <c r="H3" s="881" t="s">
        <v>2</v>
      </c>
      <c r="I3" s="881" t="s">
        <v>0</v>
      </c>
      <c r="J3" s="881" t="s">
        <v>51</v>
      </c>
      <c r="K3" s="881" t="s">
        <v>52</v>
      </c>
      <c r="L3" s="881" t="s">
        <v>275</v>
      </c>
      <c r="M3" s="1530" t="s">
        <v>8</v>
      </c>
      <c r="N3" s="1531"/>
      <c r="O3" s="1532"/>
      <c r="P3" s="893" t="s">
        <v>437</v>
      </c>
      <c r="Q3" s="893" t="s">
        <v>438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439</v>
      </c>
      <c r="AB3" s="893"/>
      <c r="AC3" s="893"/>
      <c r="AD3" s="893"/>
      <c r="AE3" s="893"/>
      <c r="AF3" s="1508" t="s">
        <v>307</v>
      </c>
      <c r="AG3" s="1515"/>
      <c r="AH3" s="1515"/>
      <c r="AI3" s="1515"/>
      <c r="AJ3" s="1516"/>
      <c r="AK3" s="894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895">
        <v>3</v>
      </c>
      <c r="Q4" s="606">
        <v>4</v>
      </c>
      <c r="R4" s="895">
        <v>7</v>
      </c>
      <c r="S4" s="895">
        <v>8</v>
      </c>
      <c r="T4" s="606">
        <v>9</v>
      </c>
      <c r="U4" s="606">
        <v>10</v>
      </c>
      <c r="V4" s="606">
        <v>11</v>
      </c>
      <c r="W4" s="606">
        <v>12</v>
      </c>
      <c r="X4" s="895">
        <v>13</v>
      </c>
      <c r="Y4" s="895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E9" si="1">P10+P153</f>
        <v>519486.85400000005</v>
      </c>
      <c r="Q5" s="679">
        <f t="shared" si="1"/>
        <v>23172.799999999999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23827.4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317720.54000000004</v>
      </c>
      <c r="AL5" s="679">
        <f t="shared" si="2"/>
        <v>317720.54000000004</v>
      </c>
      <c r="AM5" s="679">
        <f>ROUND((Q5*100%/P5*100),2)</f>
        <v>4.46</v>
      </c>
      <c r="AN5" s="679">
        <f t="shared" si="2"/>
        <v>0</v>
      </c>
      <c r="AO5" s="679">
        <f t="shared" si="2"/>
        <v>0</v>
      </c>
      <c r="AP5" s="938"/>
      <c r="AQ5" s="679">
        <f>AQ10+AQ153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J11+J154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si="1"/>
        <v>264162.01</v>
      </c>
      <c r="Q6" s="3">
        <f t="shared" si="1"/>
        <v>0</v>
      </c>
      <c r="R6" s="3">
        <f t="shared" si="1"/>
        <v>1128.182</v>
      </c>
      <c r="S6" s="3">
        <f t="shared" si="1"/>
        <v>4128.1819999999998</v>
      </c>
      <c r="T6" s="3">
        <f t="shared" si="1"/>
        <v>31.5</v>
      </c>
      <c r="U6" s="3">
        <f t="shared" si="1"/>
        <v>2236.8380000000002</v>
      </c>
      <c r="V6" s="3">
        <f t="shared" si="1"/>
        <v>0</v>
      </c>
      <c r="W6" s="3">
        <f t="shared" si="1"/>
        <v>0</v>
      </c>
      <c r="X6" s="3">
        <f t="shared" si="1"/>
        <v>0</v>
      </c>
      <c r="Y6" s="3">
        <f t="shared" si="1"/>
        <v>0</v>
      </c>
      <c r="Z6" s="95">
        <f t="shared" si="1"/>
        <v>0</v>
      </c>
      <c r="AA6" s="3">
        <f t="shared" si="1"/>
        <v>0</v>
      </c>
      <c r="AB6" s="3">
        <f t="shared" si="1"/>
        <v>3015.1369999999997</v>
      </c>
      <c r="AC6" s="3">
        <f t="shared" si="1"/>
        <v>0</v>
      </c>
      <c r="AD6" s="3">
        <f t="shared" si="1"/>
        <v>31.5</v>
      </c>
      <c r="AE6" s="3">
        <f t="shared" si="1"/>
        <v>0</v>
      </c>
      <c r="AF6" s="3">
        <f t="shared" ref="AF6:AL9" si="4">AF11+AF154</f>
        <v>0</v>
      </c>
      <c r="AG6" s="3">
        <f t="shared" si="4"/>
        <v>0</v>
      </c>
      <c r="AH6" s="3">
        <f t="shared" si="4"/>
        <v>0</v>
      </c>
      <c r="AI6" s="3">
        <f t="shared" si="4"/>
        <v>0</v>
      </c>
      <c r="AJ6" s="3">
        <f t="shared" si="4"/>
        <v>0</v>
      </c>
      <c r="AK6" s="3">
        <f t="shared" si="4"/>
        <v>192946.75</v>
      </c>
      <c r="AL6" s="3">
        <f t="shared" si="4"/>
        <v>192946.75</v>
      </c>
      <c r="AM6" s="385">
        <f>ROUND((Q6*100%/P6*100),2)</f>
        <v>0</v>
      </c>
      <c r="AN6" s="3">
        <f t="shared" ref="AN6:AO9" si="5">AN11+AN154</f>
        <v>0</v>
      </c>
      <c r="AO6" s="3">
        <f t="shared" si="5"/>
        <v>0</v>
      </c>
      <c r="AP6" s="632"/>
      <c r="AQ6" s="95">
        <f>AQ11+AQ154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si="1"/>
        <v>175498.53000000003</v>
      </c>
      <c r="Q7" s="3">
        <f t="shared" si="1"/>
        <v>1365.4</v>
      </c>
      <c r="R7" s="3">
        <f t="shared" si="1"/>
        <v>12156.708000000001</v>
      </c>
      <c r="S7" s="3">
        <f t="shared" si="1"/>
        <v>12573.374</v>
      </c>
      <c r="T7" s="3">
        <f t="shared" si="1"/>
        <v>22089.049000000003</v>
      </c>
      <c r="U7" s="3">
        <f t="shared" si="1"/>
        <v>21847.228999999999</v>
      </c>
      <c r="V7" s="3">
        <f t="shared" si="1"/>
        <v>6338.5969999999998</v>
      </c>
      <c r="W7" s="3">
        <f t="shared" si="1"/>
        <v>7317.3669999999993</v>
      </c>
      <c r="X7" s="3">
        <f t="shared" si="1"/>
        <v>0</v>
      </c>
      <c r="Y7" s="3">
        <f t="shared" si="1"/>
        <v>0</v>
      </c>
      <c r="Z7" s="95">
        <f t="shared" si="1"/>
        <v>0</v>
      </c>
      <c r="AA7" s="3">
        <f t="shared" si="1"/>
        <v>2020</v>
      </c>
      <c r="AB7" s="3">
        <f t="shared" si="1"/>
        <v>40.5</v>
      </c>
      <c r="AC7" s="3">
        <f t="shared" si="1"/>
        <v>4148.6930000000002</v>
      </c>
      <c r="AD7" s="3">
        <f t="shared" si="1"/>
        <v>72764.314890000009</v>
      </c>
      <c r="AE7" s="3">
        <f t="shared" si="1"/>
        <v>0</v>
      </c>
      <c r="AF7" s="3">
        <f t="shared" si="4"/>
        <v>0</v>
      </c>
      <c r="AG7" s="3">
        <f t="shared" si="4"/>
        <v>0</v>
      </c>
      <c r="AH7" s="3">
        <f t="shared" si="4"/>
        <v>0</v>
      </c>
      <c r="AI7" s="3">
        <f t="shared" si="4"/>
        <v>0</v>
      </c>
      <c r="AJ7" s="3">
        <f t="shared" si="4"/>
        <v>0</v>
      </c>
      <c r="AK7" s="3">
        <f t="shared" si="4"/>
        <v>124773.79000000001</v>
      </c>
      <c r="AL7" s="3">
        <f t="shared" si="4"/>
        <v>124773.79000000001</v>
      </c>
      <c r="AM7" s="385">
        <f>ROUND((Q7*100%/P7*100),2)</f>
        <v>0.78</v>
      </c>
      <c r="AN7" s="3">
        <f t="shared" si="5"/>
        <v>0</v>
      </c>
      <c r="AO7" s="3">
        <f t="shared" si="5"/>
        <v>0</v>
      </c>
      <c r="AP7" s="632"/>
      <c r="AQ7" s="95">
        <f>AQ12+AQ155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si="1"/>
        <v>0</v>
      </c>
      <c r="Q8" s="3">
        <f t="shared" si="1"/>
        <v>21805.82</v>
      </c>
      <c r="R8" s="3">
        <f t="shared" si="1"/>
        <v>21705.95</v>
      </c>
      <c r="S8" s="3">
        <f t="shared" si="1"/>
        <v>21705.95</v>
      </c>
      <c r="T8" s="3">
        <f t="shared" si="1"/>
        <v>67610.615609999993</v>
      </c>
      <c r="U8" s="3">
        <f t="shared" si="1"/>
        <v>67610.615609999993</v>
      </c>
      <c r="V8" s="3">
        <f t="shared" si="1"/>
        <v>50383.255000000005</v>
      </c>
      <c r="W8" s="3">
        <f t="shared" si="1"/>
        <v>50383.255000000005</v>
      </c>
      <c r="X8" s="3">
        <f t="shared" si="1"/>
        <v>21705.95</v>
      </c>
      <c r="Y8" s="3">
        <f t="shared" si="1"/>
        <v>21705.95</v>
      </c>
      <c r="Z8" s="95">
        <f t="shared" si="1"/>
        <v>0</v>
      </c>
      <c r="AA8" s="3">
        <f t="shared" si="1"/>
        <v>21805.82</v>
      </c>
      <c r="AB8" s="3">
        <f t="shared" si="1"/>
        <v>17522.268</v>
      </c>
      <c r="AC8" s="3">
        <f t="shared" si="1"/>
        <v>32106.996000000003</v>
      </c>
      <c r="AD8" s="3">
        <f t="shared" si="1"/>
        <v>0</v>
      </c>
      <c r="AE8" s="3">
        <f t="shared" si="1"/>
        <v>0</v>
      </c>
      <c r="AF8" s="3">
        <f t="shared" si="4"/>
        <v>0</v>
      </c>
      <c r="AG8" s="3">
        <f t="shared" si="4"/>
        <v>0</v>
      </c>
      <c r="AH8" s="3">
        <f t="shared" si="4"/>
        <v>0</v>
      </c>
      <c r="AI8" s="3">
        <f t="shared" si="4"/>
        <v>0</v>
      </c>
      <c r="AJ8" s="3">
        <f t="shared" si="4"/>
        <v>0</v>
      </c>
      <c r="AK8" s="3">
        <f t="shared" si="4"/>
        <v>0</v>
      </c>
      <c r="AL8" s="3">
        <f t="shared" si="4"/>
        <v>0</v>
      </c>
      <c r="AM8" s="385">
        <v>0</v>
      </c>
      <c r="AN8" s="3">
        <f t="shared" si="5"/>
        <v>0</v>
      </c>
      <c r="AO8" s="3">
        <f t="shared" si="5"/>
        <v>0</v>
      </c>
      <c r="AP8" s="632"/>
      <c r="AQ8" s="95">
        <f>AQ13+AQ156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si="1"/>
        <v>0</v>
      </c>
      <c r="Q9" s="3">
        <f t="shared" si="1"/>
        <v>0</v>
      </c>
      <c r="R9" s="3">
        <f t="shared" si="1"/>
        <v>37814.324000000001</v>
      </c>
      <c r="S9" s="3">
        <f t="shared" si="1"/>
        <v>37814.324000000001</v>
      </c>
      <c r="T9" s="3">
        <f t="shared" si="1"/>
        <v>0</v>
      </c>
      <c r="U9" s="3">
        <f t="shared" si="1"/>
        <v>0</v>
      </c>
      <c r="V9" s="3">
        <f t="shared" si="1"/>
        <v>0</v>
      </c>
      <c r="W9" s="3">
        <f t="shared" si="1"/>
        <v>0</v>
      </c>
      <c r="X9" s="3">
        <f t="shared" si="1"/>
        <v>0</v>
      </c>
      <c r="Y9" s="3">
        <f t="shared" si="1"/>
        <v>0</v>
      </c>
      <c r="Z9" s="95">
        <f t="shared" si="1"/>
        <v>0</v>
      </c>
      <c r="AA9" s="3">
        <f t="shared" si="1"/>
        <v>0</v>
      </c>
      <c r="AB9" s="3">
        <f t="shared" si="1"/>
        <v>0</v>
      </c>
      <c r="AC9" s="3">
        <f t="shared" si="1"/>
        <v>0</v>
      </c>
      <c r="AD9" s="3">
        <f t="shared" si="1"/>
        <v>0</v>
      </c>
      <c r="AE9" s="3">
        <f t="shared" si="1"/>
        <v>0</v>
      </c>
      <c r="AF9" s="3">
        <f t="shared" si="4"/>
        <v>0</v>
      </c>
      <c r="AG9" s="3">
        <f t="shared" si="4"/>
        <v>0</v>
      </c>
      <c r="AH9" s="3">
        <f t="shared" si="4"/>
        <v>0</v>
      </c>
      <c r="AI9" s="3">
        <f t="shared" si="4"/>
        <v>0</v>
      </c>
      <c r="AJ9" s="3">
        <f t="shared" si="4"/>
        <v>0</v>
      </c>
      <c r="AK9" s="3">
        <f t="shared" si="4"/>
        <v>0</v>
      </c>
      <c r="AL9" s="3">
        <f t="shared" si="4"/>
        <v>0</v>
      </c>
      <c r="AM9" s="385">
        <v>0</v>
      </c>
      <c r="AN9" s="3">
        <f t="shared" si="5"/>
        <v>0</v>
      </c>
      <c r="AO9" s="3">
        <f t="shared" si="5"/>
        <v>0</v>
      </c>
      <c r="AP9" s="632"/>
      <c r="AQ9" s="95">
        <f>AQ14+AQ157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6">J11+J12+J13+J14</f>
        <v>1940430.69</v>
      </c>
      <c r="K10" s="922">
        <f t="shared" si="6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6"/>
        <v>363282.47</v>
      </c>
      <c r="O10" s="922">
        <f t="shared" si="6"/>
        <v>116582.55</v>
      </c>
      <c r="P10" s="923">
        <f>P19+P33+P36+P47+P58+P68+P80+P84+P91+P94+P97+P100+P106+P111+P114+P118+P123+P136+P40+P62+P130+P133+P72+P74+P141+P146</f>
        <v>226744.65400000001</v>
      </c>
      <c r="Q10" s="923">
        <f t="shared" ref="Q10:AA10" si="7">Q19+Q33+Q36+Q47+Q58+Q68+Q80+Q84+Q91+Q94+Q97+Q100+Q106+Q111+Q114+Q118+Q123+Q136+Q40+Q62+Q130+Q133+Q72+Q74+Q141+Q146</f>
        <v>76.58</v>
      </c>
      <c r="R10" s="923">
        <f t="shared" si="7"/>
        <v>49571.563999999998</v>
      </c>
      <c r="S10" s="923">
        <f t="shared" si="7"/>
        <v>49988.229999999996</v>
      </c>
      <c r="T10" s="923">
        <f t="shared" si="7"/>
        <v>65950.61860999999</v>
      </c>
      <c r="U10" s="923">
        <f t="shared" si="7"/>
        <v>65705.398609999989</v>
      </c>
      <c r="V10" s="923">
        <f t="shared" si="7"/>
        <v>2007.1869999999999</v>
      </c>
      <c r="W10" s="923">
        <f t="shared" si="7"/>
        <v>2047.0429999999999</v>
      </c>
      <c r="X10" s="923">
        <f t="shared" si="7"/>
        <v>0</v>
      </c>
      <c r="Y10" s="923">
        <f t="shared" si="7"/>
        <v>0</v>
      </c>
      <c r="Z10" s="923">
        <f t="shared" si="7"/>
        <v>0</v>
      </c>
      <c r="AA10" s="923">
        <f t="shared" si="7"/>
        <v>76.58</v>
      </c>
      <c r="AB10" s="923">
        <f t="shared" ref="AB10:AO10" si="8">AB11+AB12+AB13+AB14</f>
        <v>106.83</v>
      </c>
      <c r="AC10" s="923">
        <f t="shared" si="8"/>
        <v>914.28300000000002</v>
      </c>
      <c r="AD10" s="923">
        <f t="shared" si="8"/>
        <v>3005.3339999999998</v>
      </c>
      <c r="AE10" s="923">
        <f t="shared" si="8"/>
        <v>0</v>
      </c>
      <c r="AF10" s="923">
        <f t="shared" si="8"/>
        <v>0</v>
      </c>
      <c r="AG10" s="923">
        <f t="shared" si="8"/>
        <v>0</v>
      </c>
      <c r="AH10" s="923">
        <f t="shared" si="8"/>
        <v>0</v>
      </c>
      <c r="AI10" s="923">
        <f t="shared" si="8"/>
        <v>0</v>
      </c>
      <c r="AJ10" s="923">
        <f t="shared" si="8"/>
        <v>0</v>
      </c>
      <c r="AK10" s="923">
        <f t="shared" si="8"/>
        <v>170072.3</v>
      </c>
      <c r="AL10" s="923">
        <f t="shared" si="8"/>
        <v>170072.3</v>
      </c>
      <c r="AM10" s="923" t="e">
        <f t="shared" si="8"/>
        <v>#DIV/0!</v>
      </c>
      <c r="AN10" s="923">
        <f t="shared" si="8"/>
        <v>0</v>
      </c>
      <c r="AO10" s="923">
        <f t="shared" si="8"/>
        <v>0</v>
      </c>
      <c r="AP10" s="924"/>
      <c r="AQ10" s="923">
        <f>AQ19+AQ33+AQ36+AQ47+AQ58+AQ68+AQ80+AQ84+AQ91+AQ94+AQ97+AQ100+AQ106+AQ111+AQ114+AQ118+AQ123+AQ136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9">J15+J126</f>
        <v>977955.46</v>
      </c>
      <c r="K11" s="47">
        <f t="shared" si="9"/>
        <v>251829.19999999995</v>
      </c>
      <c r="L11" s="47">
        <f t="shared" si="9"/>
        <v>750480.15999999992</v>
      </c>
      <c r="M11" s="47">
        <f t="shared" si="9"/>
        <v>96658.23</v>
      </c>
      <c r="N11" s="47">
        <f t="shared" si="9"/>
        <v>83716.939999999988</v>
      </c>
      <c r="O11" s="47">
        <f t="shared" si="9"/>
        <v>78886.680000000008</v>
      </c>
      <c r="P11" s="47">
        <f t="shared" si="9"/>
        <v>164000</v>
      </c>
      <c r="Q11" s="47">
        <f t="shared" si="9"/>
        <v>0</v>
      </c>
      <c r="R11" s="47">
        <f t="shared" si="9"/>
        <v>384.71</v>
      </c>
      <c r="S11" s="47">
        <f t="shared" si="9"/>
        <v>384.71</v>
      </c>
      <c r="T11" s="47">
        <f t="shared" si="9"/>
        <v>0</v>
      </c>
      <c r="U11" s="47">
        <f t="shared" si="9"/>
        <v>0</v>
      </c>
      <c r="V11" s="47">
        <f t="shared" si="9"/>
        <v>0</v>
      </c>
      <c r="W11" s="47">
        <f t="shared" si="9"/>
        <v>0</v>
      </c>
      <c r="X11" s="47">
        <f t="shared" si="9"/>
        <v>0</v>
      </c>
      <c r="Y11" s="47">
        <f t="shared" si="9"/>
        <v>0</v>
      </c>
      <c r="Z11" s="96"/>
      <c r="AA11" s="47">
        <f t="shared" ref="AA11:AO11" si="10">AA15+AA126</f>
        <v>0</v>
      </c>
      <c r="AB11" s="47">
        <f t="shared" si="10"/>
        <v>66.33</v>
      </c>
      <c r="AC11" s="47">
        <f t="shared" si="10"/>
        <v>0</v>
      </c>
      <c r="AD11" s="47">
        <f t="shared" si="10"/>
        <v>0</v>
      </c>
      <c r="AE11" s="47">
        <f t="shared" si="10"/>
        <v>0</v>
      </c>
      <c r="AF11" s="47">
        <f t="shared" si="10"/>
        <v>0</v>
      </c>
      <c r="AG11" s="47">
        <f t="shared" si="10"/>
        <v>0</v>
      </c>
      <c r="AH11" s="47">
        <f t="shared" si="10"/>
        <v>0</v>
      </c>
      <c r="AI11" s="47">
        <f t="shared" si="10"/>
        <v>0</v>
      </c>
      <c r="AJ11" s="47">
        <f t="shared" si="10"/>
        <v>0</v>
      </c>
      <c r="AK11" s="47">
        <f t="shared" si="10"/>
        <v>164000</v>
      </c>
      <c r="AL11" s="47">
        <f t="shared" si="10"/>
        <v>164000</v>
      </c>
      <c r="AM11" s="47">
        <f t="shared" si="10"/>
        <v>0</v>
      </c>
      <c r="AN11" s="47">
        <f t="shared" si="10"/>
        <v>0</v>
      </c>
      <c r="AO11" s="47">
        <f t="shared" si="10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J16+J44+J52+J65+J77+J127</f>
        <v>236854.15</v>
      </c>
      <c r="K12" s="47">
        <f>K16+K65+K127</f>
        <v>0</v>
      </c>
      <c r="L12" s="47">
        <f t="shared" ref="L12:Y12" si="11">L16+L44+L52+L65+L77+L127</f>
        <v>230331.37</v>
      </c>
      <c r="M12" s="47">
        <f t="shared" si="11"/>
        <v>24568.73</v>
      </c>
      <c r="N12" s="47">
        <f t="shared" si="11"/>
        <v>46592.61</v>
      </c>
      <c r="O12" s="47">
        <f t="shared" si="11"/>
        <v>37695.869999999995</v>
      </c>
      <c r="P12" s="47">
        <f t="shared" si="11"/>
        <v>43488.07</v>
      </c>
      <c r="Q12" s="47">
        <f t="shared" si="11"/>
        <v>75</v>
      </c>
      <c r="R12" s="47">
        <f t="shared" si="11"/>
        <v>11372.53</v>
      </c>
      <c r="S12" s="47">
        <f t="shared" si="11"/>
        <v>11789.196</v>
      </c>
      <c r="T12" s="47">
        <f t="shared" si="11"/>
        <v>18085.953000000001</v>
      </c>
      <c r="U12" s="47">
        <f t="shared" si="11"/>
        <v>17840.733</v>
      </c>
      <c r="V12" s="47">
        <f t="shared" si="11"/>
        <v>2007.1869999999999</v>
      </c>
      <c r="W12" s="47">
        <f t="shared" si="11"/>
        <v>2047.0429999999999</v>
      </c>
      <c r="X12" s="47">
        <f t="shared" si="11"/>
        <v>0</v>
      </c>
      <c r="Y12" s="47">
        <f t="shared" si="11"/>
        <v>0</v>
      </c>
      <c r="Z12" s="96"/>
      <c r="AA12" s="47">
        <f t="shared" ref="AA12:AO12" si="12">AA16+AA44+AA52+AA65+AA77+AA127</f>
        <v>75</v>
      </c>
      <c r="AB12" s="47">
        <f t="shared" si="12"/>
        <v>40.5</v>
      </c>
      <c r="AC12" s="47">
        <f t="shared" si="12"/>
        <v>907.08299999999997</v>
      </c>
      <c r="AD12" s="47">
        <f t="shared" si="12"/>
        <v>3005.3339999999998</v>
      </c>
      <c r="AE12" s="47">
        <f t="shared" si="12"/>
        <v>0</v>
      </c>
      <c r="AF12" s="47">
        <f t="shared" si="12"/>
        <v>0</v>
      </c>
      <c r="AG12" s="47">
        <f t="shared" si="12"/>
        <v>0</v>
      </c>
      <c r="AH12" s="47">
        <f t="shared" si="12"/>
        <v>0</v>
      </c>
      <c r="AI12" s="47">
        <f t="shared" si="12"/>
        <v>0</v>
      </c>
      <c r="AJ12" s="47">
        <f t="shared" si="12"/>
        <v>0</v>
      </c>
      <c r="AK12" s="47">
        <f t="shared" si="12"/>
        <v>6072.3000000000011</v>
      </c>
      <c r="AL12" s="47">
        <f t="shared" si="12"/>
        <v>6072.3000000000011</v>
      </c>
      <c r="AM12" s="47" t="e">
        <f t="shared" si="12"/>
        <v>#DIV/0!</v>
      </c>
      <c r="AN12" s="47">
        <f t="shared" si="12"/>
        <v>0</v>
      </c>
      <c r="AO12" s="47">
        <f t="shared" si="12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13">J17+J66+J128+J45</f>
        <v>23417.360000000001</v>
      </c>
      <c r="K13" s="47">
        <f t="shared" si="13"/>
        <v>0</v>
      </c>
      <c r="L13" s="47">
        <f t="shared" si="13"/>
        <v>172003.82</v>
      </c>
      <c r="M13" s="47">
        <f t="shared" si="13"/>
        <v>135504.01</v>
      </c>
      <c r="N13" s="47">
        <f t="shared" si="13"/>
        <v>36499.81</v>
      </c>
      <c r="O13" s="47">
        <f t="shared" si="13"/>
        <v>0</v>
      </c>
      <c r="P13" s="47">
        <f t="shared" si="13"/>
        <v>0</v>
      </c>
      <c r="Q13" s="47">
        <f t="shared" si="13"/>
        <v>0</v>
      </c>
      <c r="R13" s="47">
        <f t="shared" si="13"/>
        <v>0</v>
      </c>
      <c r="S13" s="47">
        <f t="shared" si="13"/>
        <v>0</v>
      </c>
      <c r="T13" s="47">
        <f t="shared" si="13"/>
        <v>45904.665609999996</v>
      </c>
      <c r="U13" s="47">
        <f t="shared" si="13"/>
        <v>45904.665609999996</v>
      </c>
      <c r="V13" s="47">
        <f t="shared" si="13"/>
        <v>0</v>
      </c>
      <c r="W13" s="47">
        <f t="shared" si="13"/>
        <v>0</v>
      </c>
      <c r="X13" s="47">
        <f t="shared" si="13"/>
        <v>0</v>
      </c>
      <c r="Y13" s="47">
        <f t="shared" si="13"/>
        <v>0</v>
      </c>
      <c r="Z13" s="96"/>
      <c r="AA13" s="47">
        <f t="shared" ref="AA13:AO13" si="14">AA17+AA66+AA128+AA45</f>
        <v>0</v>
      </c>
      <c r="AB13" s="47">
        <f t="shared" si="14"/>
        <v>0</v>
      </c>
      <c r="AC13" s="47">
        <f t="shared" si="14"/>
        <v>7.2</v>
      </c>
      <c r="AD13" s="47">
        <f t="shared" si="14"/>
        <v>0</v>
      </c>
      <c r="AE13" s="47">
        <f t="shared" si="14"/>
        <v>0</v>
      </c>
      <c r="AF13" s="47">
        <f t="shared" si="14"/>
        <v>0</v>
      </c>
      <c r="AG13" s="47">
        <f t="shared" si="14"/>
        <v>0</v>
      </c>
      <c r="AH13" s="47">
        <f t="shared" si="14"/>
        <v>0</v>
      </c>
      <c r="AI13" s="47">
        <f t="shared" si="14"/>
        <v>0</v>
      </c>
      <c r="AJ13" s="47">
        <f t="shared" si="14"/>
        <v>0</v>
      </c>
      <c r="AK13" s="47">
        <f t="shared" si="14"/>
        <v>0</v>
      </c>
      <c r="AL13" s="47">
        <f t="shared" si="14"/>
        <v>0</v>
      </c>
      <c r="AM13" s="47">
        <f t="shared" si="14"/>
        <v>0</v>
      </c>
      <c r="AN13" s="47">
        <f t="shared" si="14"/>
        <v>0</v>
      </c>
      <c r="AO13" s="47">
        <f t="shared" si="14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15">J18+J67+J129</f>
        <v>702203.72</v>
      </c>
      <c r="K14" s="607">
        <f t="shared" si="15"/>
        <v>702203.72</v>
      </c>
      <c r="L14" s="607">
        <f t="shared" si="15"/>
        <v>789617.84</v>
      </c>
      <c r="M14" s="607">
        <f t="shared" si="15"/>
        <v>348941.19</v>
      </c>
      <c r="N14" s="607">
        <f t="shared" si="15"/>
        <v>196473.11</v>
      </c>
      <c r="O14" s="607">
        <f t="shared" si="15"/>
        <v>0</v>
      </c>
      <c r="P14" s="607">
        <f t="shared" si="15"/>
        <v>0</v>
      </c>
      <c r="Q14" s="607">
        <f t="shared" si="15"/>
        <v>0</v>
      </c>
      <c r="R14" s="607">
        <f t="shared" si="15"/>
        <v>37814.324000000001</v>
      </c>
      <c r="S14" s="607">
        <f t="shared" si="15"/>
        <v>37814.324000000001</v>
      </c>
      <c r="T14" s="607">
        <f t="shared" si="15"/>
        <v>0</v>
      </c>
      <c r="U14" s="607">
        <f t="shared" si="15"/>
        <v>0</v>
      </c>
      <c r="V14" s="607">
        <f t="shared" si="15"/>
        <v>0</v>
      </c>
      <c r="W14" s="607">
        <f t="shared" si="15"/>
        <v>0</v>
      </c>
      <c r="X14" s="607">
        <f t="shared" si="15"/>
        <v>0</v>
      </c>
      <c r="Y14" s="607">
        <f t="shared" si="15"/>
        <v>0</v>
      </c>
      <c r="Z14" s="674"/>
      <c r="AA14" s="607">
        <f t="shared" ref="AA14:AO14" si="16">AA18+AA67+AA129</f>
        <v>0</v>
      </c>
      <c r="AB14" s="607">
        <f t="shared" si="16"/>
        <v>0</v>
      </c>
      <c r="AC14" s="607">
        <f t="shared" si="16"/>
        <v>0</v>
      </c>
      <c r="AD14" s="607">
        <f t="shared" si="16"/>
        <v>0</v>
      </c>
      <c r="AE14" s="607">
        <f t="shared" si="16"/>
        <v>0</v>
      </c>
      <c r="AF14" s="607">
        <f t="shared" si="16"/>
        <v>0</v>
      </c>
      <c r="AG14" s="607">
        <f t="shared" si="16"/>
        <v>0</v>
      </c>
      <c r="AH14" s="607">
        <f t="shared" si="16"/>
        <v>0</v>
      </c>
      <c r="AI14" s="607">
        <f t="shared" si="16"/>
        <v>0</v>
      </c>
      <c r="AJ14" s="607">
        <f t="shared" si="16"/>
        <v>0</v>
      </c>
      <c r="AK14" s="607">
        <f t="shared" si="16"/>
        <v>0</v>
      </c>
      <c r="AL14" s="607">
        <f t="shared" si="16"/>
        <v>0</v>
      </c>
      <c r="AM14" s="607">
        <f t="shared" si="16"/>
        <v>0</v>
      </c>
      <c r="AN14" s="607">
        <f t="shared" si="16"/>
        <v>0</v>
      </c>
      <c r="AO14" s="607">
        <f t="shared" si="16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17">J20+J33+J36</f>
        <v>977955.46</v>
      </c>
      <c r="K15" s="47">
        <f t="shared" si="17"/>
        <v>251829.19999999995</v>
      </c>
      <c r="L15" s="47">
        <f t="shared" si="17"/>
        <v>750480.15999999992</v>
      </c>
      <c r="M15" s="47">
        <f t="shared" si="17"/>
        <v>96658.23</v>
      </c>
      <c r="N15" s="47">
        <f t="shared" si="17"/>
        <v>83716.939999999988</v>
      </c>
      <c r="O15" s="47">
        <f t="shared" si="17"/>
        <v>78886.680000000008</v>
      </c>
      <c r="P15" s="47">
        <f t="shared" si="17"/>
        <v>164000</v>
      </c>
      <c r="Q15" s="47">
        <f t="shared" si="17"/>
        <v>0</v>
      </c>
      <c r="R15" s="47">
        <f t="shared" si="17"/>
        <v>384.71</v>
      </c>
      <c r="S15" s="47">
        <f t="shared" si="17"/>
        <v>384.71</v>
      </c>
      <c r="T15" s="47">
        <f t="shared" si="17"/>
        <v>0</v>
      </c>
      <c r="U15" s="47">
        <f t="shared" si="17"/>
        <v>0</v>
      </c>
      <c r="V15" s="47">
        <f t="shared" si="17"/>
        <v>0</v>
      </c>
      <c r="W15" s="47">
        <f t="shared" si="17"/>
        <v>0</v>
      </c>
      <c r="X15" s="47">
        <f t="shared" si="17"/>
        <v>0</v>
      </c>
      <c r="Y15" s="47">
        <f t="shared" si="17"/>
        <v>0</v>
      </c>
      <c r="Z15" s="96"/>
      <c r="AA15" s="47">
        <f t="shared" ref="AA15:AO15" si="18">AA20+AA33+AA36</f>
        <v>0</v>
      </c>
      <c r="AB15" s="47">
        <f t="shared" si="18"/>
        <v>66.33</v>
      </c>
      <c r="AC15" s="47">
        <f t="shared" si="18"/>
        <v>0</v>
      </c>
      <c r="AD15" s="47">
        <f t="shared" si="18"/>
        <v>0</v>
      </c>
      <c r="AE15" s="47">
        <f t="shared" si="18"/>
        <v>0</v>
      </c>
      <c r="AF15" s="47">
        <f t="shared" si="18"/>
        <v>0</v>
      </c>
      <c r="AG15" s="47">
        <f t="shared" si="18"/>
        <v>0</v>
      </c>
      <c r="AH15" s="47">
        <f t="shared" si="18"/>
        <v>0</v>
      </c>
      <c r="AI15" s="47">
        <f t="shared" si="18"/>
        <v>0</v>
      </c>
      <c r="AJ15" s="47">
        <f t="shared" si="18"/>
        <v>0</v>
      </c>
      <c r="AK15" s="47">
        <f t="shared" si="18"/>
        <v>164000</v>
      </c>
      <c r="AL15" s="47">
        <f t="shared" si="18"/>
        <v>164000</v>
      </c>
      <c r="AM15" s="47">
        <f t="shared" si="18"/>
        <v>0</v>
      </c>
      <c r="AN15" s="47">
        <f t="shared" si="18"/>
        <v>0</v>
      </c>
      <c r="AO15" s="47">
        <f t="shared" si="18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19">R30</f>
        <v>0</v>
      </c>
      <c r="S17" s="47">
        <f t="shared" si="19"/>
        <v>0</v>
      </c>
      <c r="T17" s="47">
        <f t="shared" si="19"/>
        <v>45904.665609999996</v>
      </c>
      <c r="U17" s="47">
        <f>U30</f>
        <v>45904.665609999996</v>
      </c>
      <c r="V17" s="47">
        <f t="shared" si="19"/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  <c r="Z17" s="96"/>
      <c r="AA17" s="47">
        <f t="shared" si="19"/>
        <v>0</v>
      </c>
      <c r="AB17" s="47">
        <f t="shared" si="19"/>
        <v>0</v>
      </c>
      <c r="AC17" s="47">
        <f t="shared" si="19"/>
        <v>0</v>
      </c>
      <c r="AD17" s="47">
        <f t="shared" si="19"/>
        <v>0</v>
      </c>
      <c r="AE17" s="47">
        <f t="shared" si="19"/>
        <v>0</v>
      </c>
      <c r="AF17" s="47">
        <f t="shared" si="19"/>
        <v>0</v>
      </c>
      <c r="AG17" s="47">
        <f t="shared" si="19"/>
        <v>0</v>
      </c>
      <c r="AH17" s="47">
        <f t="shared" si="19"/>
        <v>0</v>
      </c>
      <c r="AI17" s="47">
        <f t="shared" si="19"/>
        <v>0</v>
      </c>
      <c r="AJ17" s="47">
        <f t="shared" si="19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0">J28</f>
        <v>702203.72</v>
      </c>
      <c r="K18" s="47">
        <f t="shared" si="20"/>
        <v>702203.72</v>
      </c>
      <c r="L18" s="47">
        <f t="shared" si="20"/>
        <v>789617.84</v>
      </c>
      <c r="M18" s="47">
        <f t="shared" si="20"/>
        <v>348941.19</v>
      </c>
      <c r="N18" s="47">
        <f t="shared" si="20"/>
        <v>196473.11</v>
      </c>
      <c r="O18" s="47">
        <f t="shared" si="20"/>
        <v>0</v>
      </c>
      <c r="P18" s="47">
        <f t="shared" si="20"/>
        <v>0</v>
      </c>
      <c r="Q18" s="47">
        <f t="shared" si="20"/>
        <v>0</v>
      </c>
      <c r="R18" s="47">
        <f t="shared" si="20"/>
        <v>37814.324000000001</v>
      </c>
      <c r="S18" s="47">
        <f t="shared" si="20"/>
        <v>37814.324000000001</v>
      </c>
      <c r="T18" s="47">
        <f t="shared" si="20"/>
        <v>0</v>
      </c>
      <c r="U18" s="47">
        <f t="shared" si="20"/>
        <v>0</v>
      </c>
      <c r="V18" s="47">
        <f t="shared" si="20"/>
        <v>0</v>
      </c>
      <c r="W18" s="47">
        <f t="shared" si="20"/>
        <v>0</v>
      </c>
      <c r="X18" s="47">
        <f t="shared" si="20"/>
        <v>0</v>
      </c>
      <c r="Y18" s="47">
        <f t="shared" si="20"/>
        <v>0</v>
      </c>
      <c r="Z18" s="96"/>
      <c r="AA18" s="47">
        <f t="shared" si="20"/>
        <v>0</v>
      </c>
      <c r="AB18" s="47">
        <f t="shared" si="20"/>
        <v>0</v>
      </c>
      <c r="AC18" s="47">
        <f t="shared" si="20"/>
        <v>0</v>
      </c>
      <c r="AD18" s="47">
        <f t="shared" si="20"/>
        <v>0</v>
      </c>
      <c r="AE18" s="47">
        <f t="shared" si="20"/>
        <v>0</v>
      </c>
      <c r="AF18" s="47">
        <f t="shared" si="20"/>
        <v>0</v>
      </c>
      <c r="AG18" s="47">
        <f t="shared" si="20"/>
        <v>0</v>
      </c>
      <c r="AH18" s="47">
        <f t="shared" si="20"/>
        <v>0</v>
      </c>
      <c r="AI18" s="47">
        <f t="shared" si="20"/>
        <v>0</v>
      </c>
      <c r="AJ18" s="47">
        <f t="shared" si="20"/>
        <v>0</v>
      </c>
      <c r="AK18" s="47">
        <f t="shared" si="20"/>
        <v>0</v>
      </c>
      <c r="AL18" s="47">
        <f t="shared" si="20"/>
        <v>0</v>
      </c>
      <c r="AM18" s="47">
        <f t="shared" si="20"/>
        <v>0</v>
      </c>
      <c r="AN18" s="47">
        <f t="shared" si="20"/>
        <v>0</v>
      </c>
      <c r="AO18" s="47">
        <f t="shared" si="20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1">L20+L28+L30</f>
        <v>1083165.3899999999</v>
      </c>
      <c r="M19" s="318">
        <f t="shared" si="21"/>
        <v>560860.31000000006</v>
      </c>
      <c r="N19" s="318">
        <f t="shared" si="21"/>
        <v>232972.91999999998</v>
      </c>
      <c r="O19" s="318">
        <f t="shared" si="21"/>
        <v>0</v>
      </c>
      <c r="P19" s="318">
        <f t="shared" si="21"/>
        <v>0</v>
      </c>
      <c r="Q19" s="318">
        <f>Q20+Q28+Q30</f>
        <v>0</v>
      </c>
      <c r="R19" s="318">
        <f t="shared" ref="R19:X19" si="22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2"/>
        <v>0</v>
      </c>
      <c r="W19" s="318">
        <f t="shared" si="22"/>
        <v>0</v>
      </c>
      <c r="X19" s="318">
        <f t="shared" si="22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23">AB20+AB28</f>
        <v>66.33</v>
      </c>
      <c r="AC19" s="318">
        <f t="shared" si="23"/>
        <v>0</v>
      </c>
      <c r="AD19" s="318">
        <f t="shared" si="23"/>
        <v>0</v>
      </c>
      <c r="AE19" s="318">
        <f t="shared" si="23"/>
        <v>0</v>
      </c>
      <c r="AF19" s="318">
        <f t="shared" si="23"/>
        <v>0</v>
      </c>
      <c r="AG19" s="318">
        <f t="shared" si="23"/>
        <v>0</v>
      </c>
      <c r="AH19" s="318">
        <f t="shared" si="23"/>
        <v>0</v>
      </c>
      <c r="AI19" s="318">
        <f t="shared" si="23"/>
        <v>0</v>
      </c>
      <c r="AJ19" s="318">
        <f t="shared" si="23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891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24">SUM(R21:R27)</f>
        <v>384.71</v>
      </c>
      <c r="S20" s="47">
        <f t="shared" si="24"/>
        <v>384.71</v>
      </c>
      <c r="T20" s="47">
        <f t="shared" si="24"/>
        <v>0</v>
      </c>
      <c r="U20" s="47">
        <f t="shared" si="24"/>
        <v>0</v>
      </c>
      <c r="V20" s="47">
        <f t="shared" si="24"/>
        <v>0</v>
      </c>
      <c r="W20" s="47">
        <f>SUM(W21:W27)</f>
        <v>0</v>
      </c>
      <c r="X20" s="47">
        <f t="shared" si="24"/>
        <v>0</v>
      </c>
      <c r="Y20" s="47">
        <f t="shared" si="24"/>
        <v>0</v>
      </c>
      <c r="Z20" s="96"/>
      <c r="AA20" s="47">
        <f t="shared" ref="AA20:AJ20" si="25">SUM(AA21:AA27)</f>
        <v>0</v>
      </c>
      <c r="AB20" s="47">
        <f t="shared" si="25"/>
        <v>66.33</v>
      </c>
      <c r="AC20" s="47">
        <f t="shared" si="25"/>
        <v>0</v>
      </c>
      <c r="AD20" s="47">
        <f t="shared" si="25"/>
        <v>0</v>
      </c>
      <c r="AE20" s="47">
        <f t="shared" si="25"/>
        <v>0</v>
      </c>
      <c r="AF20" s="47">
        <f t="shared" si="25"/>
        <v>0</v>
      </c>
      <c r="AG20" s="47">
        <f t="shared" si="25"/>
        <v>0</v>
      </c>
      <c r="AH20" s="47">
        <f t="shared" si="25"/>
        <v>0</v>
      </c>
      <c r="AI20" s="47">
        <f t="shared" si="25"/>
        <v>0</v>
      </c>
      <c r="AJ20" s="47">
        <f t="shared" si="25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26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26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26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27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26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27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26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27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26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27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26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867"/>
      <c r="D28" s="867"/>
      <c r="E28" s="867"/>
      <c r="F28" s="906"/>
      <c r="G28" s="867"/>
      <c r="H28" s="867"/>
      <c r="I28" s="23" t="s">
        <v>9</v>
      </c>
      <c r="J28" s="910">
        <f>K28</f>
        <v>702203.72</v>
      </c>
      <c r="K28" s="910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28">SUM(T29:T29)</f>
        <v>0</v>
      </c>
      <c r="U28" s="71">
        <f t="shared" si="28"/>
        <v>0</v>
      </c>
      <c r="V28" s="71">
        <f t="shared" si="28"/>
        <v>0</v>
      </c>
      <c r="W28" s="71">
        <f t="shared" si="28"/>
        <v>0</v>
      </c>
      <c r="X28" s="71">
        <v>0</v>
      </c>
      <c r="Y28" s="71">
        <f t="shared" si="28"/>
        <v>0</v>
      </c>
      <c r="Z28" s="100"/>
      <c r="AA28" s="71">
        <f t="shared" si="28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28"/>
        <v>0</v>
      </c>
      <c r="AG28" s="71">
        <f t="shared" si="28"/>
        <v>0</v>
      </c>
      <c r="AH28" s="71">
        <f t="shared" si="28"/>
        <v>0</v>
      </c>
      <c r="AI28" s="71">
        <f t="shared" si="28"/>
        <v>0</v>
      </c>
      <c r="AJ28" s="71">
        <f t="shared" si="28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903"/>
      <c r="B30" s="801"/>
      <c r="C30" s="867"/>
      <c r="D30" s="867"/>
      <c r="E30" s="867"/>
      <c r="F30" s="906"/>
      <c r="G30" s="867"/>
      <c r="H30" s="867"/>
      <c r="I30" s="883" t="s">
        <v>10</v>
      </c>
      <c r="J30" s="904"/>
      <c r="K30" s="904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29">SUM(R31:R32)</f>
        <v>0</v>
      </c>
      <c r="S30" s="47">
        <f t="shared" si="29"/>
        <v>0</v>
      </c>
      <c r="T30" s="47">
        <f t="shared" si="29"/>
        <v>45904.665609999996</v>
      </c>
      <c r="U30" s="47">
        <f t="shared" si="29"/>
        <v>45904.665609999996</v>
      </c>
      <c r="V30" s="47">
        <f t="shared" si="29"/>
        <v>0</v>
      </c>
      <c r="W30" s="47">
        <f t="shared" si="29"/>
        <v>0</v>
      </c>
      <c r="X30" s="47">
        <v>0</v>
      </c>
      <c r="Y30" s="47">
        <f t="shared" si="29"/>
        <v>0</v>
      </c>
      <c r="Z30" s="96"/>
      <c r="AA30" s="47">
        <f t="shared" si="29"/>
        <v>0</v>
      </c>
      <c r="AB30" s="47">
        <f t="shared" si="29"/>
        <v>0</v>
      </c>
      <c r="AC30" s="47">
        <f t="shared" si="29"/>
        <v>0</v>
      </c>
      <c r="AD30" s="47">
        <f t="shared" si="29"/>
        <v>0</v>
      </c>
      <c r="AE30" s="47">
        <f t="shared" si="29"/>
        <v>0</v>
      </c>
      <c r="AF30" s="47">
        <f t="shared" si="29"/>
        <v>0</v>
      </c>
      <c r="AG30" s="47">
        <f t="shared" si="29"/>
        <v>0</v>
      </c>
      <c r="AH30" s="47">
        <f t="shared" si="29"/>
        <v>0</v>
      </c>
      <c r="AI30" s="47">
        <f t="shared" si="29"/>
        <v>0</v>
      </c>
      <c r="AJ30" s="47">
        <f t="shared" si="29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903"/>
      <c r="B31" s="37" t="s">
        <v>219</v>
      </c>
      <c r="C31" s="867"/>
      <c r="D31" s="867"/>
      <c r="E31" s="867"/>
      <c r="F31" s="906"/>
      <c r="G31" s="867"/>
      <c r="H31" s="867"/>
      <c r="I31" s="883"/>
      <c r="J31" s="904"/>
      <c r="K31" s="904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903"/>
      <c r="B32" s="37" t="s">
        <v>220</v>
      </c>
      <c r="C32" s="867"/>
      <c r="D32" s="867"/>
      <c r="E32" s="867"/>
      <c r="F32" s="906"/>
      <c r="G32" s="867"/>
      <c r="H32" s="867"/>
      <c r="I32" s="883"/>
      <c r="J32" s="904"/>
      <c r="K32" s="904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0">Q35</f>
        <v>0</v>
      </c>
      <c r="R33" s="70">
        <f t="shared" si="30"/>
        <v>0</v>
      </c>
      <c r="S33" s="70">
        <f t="shared" si="30"/>
        <v>0</v>
      </c>
      <c r="T33" s="70">
        <f t="shared" si="30"/>
        <v>0</v>
      </c>
      <c r="U33" s="70">
        <f t="shared" si="30"/>
        <v>0</v>
      </c>
      <c r="V33" s="70">
        <f t="shared" si="30"/>
        <v>0</v>
      </c>
      <c r="W33" s="70">
        <f t="shared" si="30"/>
        <v>0</v>
      </c>
      <c r="X33" s="70">
        <f t="shared" si="30"/>
        <v>0</v>
      </c>
      <c r="Y33" s="70">
        <f t="shared" si="30"/>
        <v>0</v>
      </c>
      <c r="Z33" s="679">
        <v>0</v>
      </c>
      <c r="AA33" s="70">
        <f t="shared" si="30"/>
        <v>0</v>
      </c>
      <c r="AB33" s="70">
        <f t="shared" si="30"/>
        <v>0</v>
      </c>
      <c r="AC33" s="70">
        <f t="shared" si="30"/>
        <v>0</v>
      </c>
      <c r="AD33" s="70">
        <f t="shared" si="30"/>
        <v>0</v>
      </c>
      <c r="AE33" s="70">
        <f t="shared" si="30"/>
        <v>0</v>
      </c>
      <c r="AF33" s="70">
        <f t="shared" si="30"/>
        <v>0</v>
      </c>
      <c r="AG33" s="70">
        <f t="shared" si="30"/>
        <v>0</v>
      </c>
      <c r="AH33" s="70">
        <f t="shared" si="30"/>
        <v>0</v>
      </c>
      <c r="AI33" s="70">
        <f t="shared" si="30"/>
        <v>0</v>
      </c>
      <c r="AJ33" s="70">
        <f t="shared" si="30"/>
        <v>0</v>
      </c>
      <c r="AK33" s="3">
        <f>P33-Q33</f>
        <v>74000</v>
      </c>
      <c r="AL33" s="3">
        <f>AK33</f>
        <v>74000</v>
      </c>
      <c r="AM33" s="70">
        <f t="shared" si="30"/>
        <v>0</v>
      </c>
      <c r="AN33" s="70">
        <f t="shared" si="30"/>
        <v>0</v>
      </c>
      <c r="AO33" s="70">
        <f t="shared" si="30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889"/>
      <c r="H34" s="889"/>
      <c r="I34" s="1327"/>
      <c r="J34" s="1628"/>
      <c r="K34" s="1628"/>
      <c r="L34" s="902">
        <v>10164.5</v>
      </c>
      <c r="M34" s="902">
        <v>0</v>
      </c>
      <c r="N34" s="902">
        <v>4946.26</v>
      </c>
      <c r="O34" s="902">
        <v>0</v>
      </c>
      <c r="P34" s="902">
        <v>0</v>
      </c>
      <c r="Q34" s="902">
        <v>0</v>
      </c>
      <c r="R34" s="902">
        <v>0</v>
      </c>
      <c r="S34" s="902">
        <v>0</v>
      </c>
      <c r="T34" s="902">
        <v>0</v>
      </c>
      <c r="U34" s="902">
        <v>0</v>
      </c>
      <c r="V34" s="902">
        <v>0</v>
      </c>
      <c r="W34" s="902">
        <v>0</v>
      </c>
      <c r="X34" s="902">
        <v>0</v>
      </c>
      <c r="Y34" s="902">
        <v>0</v>
      </c>
      <c r="Z34" s="258"/>
      <c r="AA34" s="902">
        <v>0</v>
      </c>
      <c r="AB34" s="902">
        <v>0</v>
      </c>
      <c r="AC34" s="902">
        <v>0</v>
      </c>
      <c r="AD34" s="902">
        <v>0</v>
      </c>
      <c r="AE34" s="902">
        <v>0</v>
      </c>
      <c r="AF34" s="902">
        <v>0</v>
      </c>
      <c r="AG34" s="902">
        <v>0</v>
      </c>
      <c r="AH34" s="902">
        <v>0</v>
      </c>
      <c r="AI34" s="902">
        <v>0</v>
      </c>
      <c r="AJ34" s="902">
        <v>0</v>
      </c>
      <c r="AK34" s="288">
        <v>0</v>
      </c>
      <c r="AL34" s="288">
        <v>0</v>
      </c>
      <c r="AM34" s="902">
        <v>0</v>
      </c>
      <c r="AN34" s="902">
        <v>0</v>
      </c>
      <c r="AO34" s="902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889">
        <v>2020</v>
      </c>
      <c r="H35" s="889">
        <v>2021</v>
      </c>
      <c r="I35" s="1328"/>
      <c r="J35" s="1629"/>
      <c r="K35" s="1629"/>
      <c r="L35" s="902">
        <v>250336.75</v>
      </c>
      <c r="M35" s="902">
        <v>0</v>
      </c>
      <c r="N35" s="902">
        <v>64997.45</v>
      </c>
      <c r="O35" s="902">
        <v>69943.710000000006</v>
      </c>
      <c r="P35" s="902">
        <v>74000</v>
      </c>
      <c r="Q35" s="902">
        <v>0</v>
      </c>
      <c r="R35" s="902">
        <v>0</v>
      </c>
      <c r="S35" s="902">
        <v>0</v>
      </c>
      <c r="T35" s="902">
        <v>0</v>
      </c>
      <c r="U35" s="902">
        <v>0</v>
      </c>
      <c r="V35" s="902">
        <v>0</v>
      </c>
      <c r="W35" s="902">
        <v>0</v>
      </c>
      <c r="X35" s="902">
        <v>0</v>
      </c>
      <c r="Y35" s="902">
        <v>0</v>
      </c>
      <c r="Z35" s="258"/>
      <c r="AA35" s="902">
        <v>0</v>
      </c>
      <c r="AB35" s="902">
        <v>0</v>
      </c>
      <c r="AC35" s="902">
        <v>0</v>
      </c>
      <c r="AD35" s="902">
        <v>0</v>
      </c>
      <c r="AE35" s="902">
        <v>0</v>
      </c>
      <c r="AF35" s="902">
        <v>0</v>
      </c>
      <c r="AG35" s="902">
        <v>0</v>
      </c>
      <c r="AH35" s="902">
        <v>0</v>
      </c>
      <c r="AI35" s="902">
        <v>0</v>
      </c>
      <c r="AJ35" s="902">
        <v>0</v>
      </c>
      <c r="AK35" s="902">
        <v>0</v>
      </c>
      <c r="AL35" s="902">
        <v>0</v>
      </c>
      <c r="AM35" s="902">
        <v>0</v>
      </c>
      <c r="AN35" s="902">
        <v>0</v>
      </c>
      <c r="AO35" s="902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1">M37+M39</f>
        <v>20243.12</v>
      </c>
      <c r="N36" s="318">
        <f t="shared" si="31"/>
        <v>13773.23</v>
      </c>
      <c r="O36" s="318">
        <f t="shared" si="31"/>
        <v>8942.9699999999993</v>
      </c>
      <c r="P36" s="318">
        <f t="shared" si="31"/>
        <v>90000</v>
      </c>
      <c r="Q36" s="318">
        <f t="shared" si="31"/>
        <v>0</v>
      </c>
      <c r="R36" s="318">
        <f t="shared" si="31"/>
        <v>0</v>
      </c>
      <c r="S36" s="318">
        <f t="shared" si="31"/>
        <v>0</v>
      </c>
      <c r="T36" s="318">
        <f t="shared" si="31"/>
        <v>0</v>
      </c>
      <c r="U36" s="318">
        <f t="shared" si="31"/>
        <v>0</v>
      </c>
      <c r="V36" s="318">
        <f t="shared" si="31"/>
        <v>0</v>
      </c>
      <c r="W36" s="318">
        <f t="shared" si="31"/>
        <v>0</v>
      </c>
      <c r="X36" s="318">
        <f t="shared" si="31"/>
        <v>0</v>
      </c>
      <c r="Y36" s="318">
        <f t="shared" si="31"/>
        <v>0</v>
      </c>
      <c r="Z36" s="372">
        <v>0</v>
      </c>
      <c r="AA36" s="318">
        <f t="shared" si="31"/>
        <v>0</v>
      </c>
      <c r="AB36" s="318">
        <f t="shared" si="31"/>
        <v>0</v>
      </c>
      <c r="AC36" s="318">
        <f t="shared" si="31"/>
        <v>0</v>
      </c>
      <c r="AD36" s="318">
        <f t="shared" si="31"/>
        <v>0</v>
      </c>
      <c r="AE36" s="318">
        <f t="shared" si="31"/>
        <v>0</v>
      </c>
      <c r="AF36" s="318">
        <f t="shared" si="31"/>
        <v>0</v>
      </c>
      <c r="AG36" s="318">
        <f t="shared" si="31"/>
        <v>0</v>
      </c>
      <c r="AH36" s="318">
        <f t="shared" si="31"/>
        <v>0</v>
      </c>
      <c r="AI36" s="318">
        <f t="shared" si="31"/>
        <v>0</v>
      </c>
      <c r="AJ36" s="318">
        <f t="shared" si="31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1"/>
        <v>0</v>
      </c>
      <c r="AO36" s="318">
        <f t="shared" si="31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889">
        <v>2019</v>
      </c>
      <c r="H37" s="889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876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889">
        <v>2020</v>
      </c>
      <c r="H39" s="889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873"/>
      <c r="J40" s="3"/>
      <c r="K40" s="880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2">SUM(R41:R42)</f>
        <v>0</v>
      </c>
      <c r="S40" s="318">
        <f t="shared" si="32"/>
        <v>0</v>
      </c>
      <c r="T40" s="318">
        <f t="shared" si="32"/>
        <v>0</v>
      </c>
      <c r="U40" s="318">
        <f t="shared" si="32"/>
        <v>0</v>
      </c>
      <c r="V40" s="318">
        <f t="shared" si="32"/>
        <v>0</v>
      </c>
      <c r="W40" s="318">
        <f t="shared" si="32"/>
        <v>0</v>
      </c>
      <c r="X40" s="318">
        <f t="shared" si="32"/>
        <v>0</v>
      </c>
      <c r="Y40" s="318">
        <f t="shared" si="32"/>
        <v>0</v>
      </c>
      <c r="Z40" s="318">
        <f t="shared" si="32"/>
        <v>0</v>
      </c>
      <c r="AA40" s="318">
        <f t="shared" si="32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903"/>
      <c r="B41" s="42" t="s">
        <v>15</v>
      </c>
      <c r="C41" s="768"/>
      <c r="D41" s="768"/>
      <c r="E41" s="768"/>
      <c r="F41" s="769"/>
      <c r="G41" s="335"/>
      <c r="H41" s="770"/>
      <c r="I41" s="868"/>
      <c r="J41" s="47"/>
      <c r="K41" s="902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876"/>
      <c r="AQ41" s="268"/>
    </row>
    <row r="42" spans="1:43" ht="15" customHeight="1" x14ac:dyDescent="0.25">
      <c r="A42" s="903"/>
      <c r="B42" s="42" t="s">
        <v>16</v>
      </c>
      <c r="C42" s="768"/>
      <c r="D42" s="768"/>
      <c r="E42" s="768"/>
      <c r="F42" s="769"/>
      <c r="G42" s="335"/>
      <c r="H42" s="770"/>
      <c r="I42" s="868"/>
      <c r="J42" s="47"/>
      <c r="K42" s="902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876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876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33">M47</f>
        <v>0</v>
      </c>
      <c r="N44" s="47">
        <f t="shared" si="33"/>
        <v>0</v>
      </c>
      <c r="O44" s="47">
        <f t="shared" si="33"/>
        <v>0</v>
      </c>
      <c r="P44" s="47">
        <f t="shared" si="33"/>
        <v>0</v>
      </c>
      <c r="Q44" s="47">
        <f t="shared" si="33"/>
        <v>0</v>
      </c>
      <c r="R44" s="47">
        <f t="shared" si="33"/>
        <v>0</v>
      </c>
      <c r="S44" s="47">
        <f t="shared" si="33"/>
        <v>0</v>
      </c>
      <c r="T44" s="47">
        <f t="shared" si="33"/>
        <v>0</v>
      </c>
      <c r="U44" s="47">
        <f t="shared" si="33"/>
        <v>7.2</v>
      </c>
      <c r="V44" s="47">
        <f t="shared" si="33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876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34">J47</f>
        <v>23417.360000000001</v>
      </c>
      <c r="K45" s="47">
        <f t="shared" si="34"/>
        <v>0</v>
      </c>
      <c r="L45" s="47">
        <v>0</v>
      </c>
      <c r="M45" s="4">
        <f t="shared" si="34"/>
        <v>0</v>
      </c>
      <c r="N45" s="4">
        <f t="shared" si="34"/>
        <v>0</v>
      </c>
      <c r="O45" s="4">
        <f t="shared" si="34"/>
        <v>0</v>
      </c>
      <c r="P45" s="4">
        <v>0</v>
      </c>
      <c r="Q45" s="4">
        <v>0</v>
      </c>
      <c r="R45" s="4">
        <f t="shared" si="34"/>
        <v>0</v>
      </c>
      <c r="S45" s="4">
        <f t="shared" si="34"/>
        <v>0</v>
      </c>
      <c r="T45" s="4">
        <f t="shared" si="34"/>
        <v>0</v>
      </c>
      <c r="U45" s="4">
        <v>0</v>
      </c>
      <c r="V45" s="4">
        <f t="shared" si="34"/>
        <v>0</v>
      </c>
      <c r="W45" s="4">
        <f t="shared" si="34"/>
        <v>0</v>
      </c>
      <c r="X45" s="4">
        <f t="shared" si="34"/>
        <v>0</v>
      </c>
      <c r="Y45" s="4">
        <f t="shared" si="34"/>
        <v>0</v>
      </c>
      <c r="Z45" s="268"/>
      <c r="AA45" s="4">
        <f t="shared" si="34"/>
        <v>0</v>
      </c>
      <c r="AB45" s="4">
        <f t="shared" si="34"/>
        <v>0</v>
      </c>
      <c r="AC45" s="4">
        <f t="shared" si="34"/>
        <v>7.2</v>
      </c>
      <c r="AD45" s="4">
        <f t="shared" si="34"/>
        <v>0</v>
      </c>
      <c r="AE45" s="4">
        <f t="shared" si="34"/>
        <v>0</v>
      </c>
      <c r="AF45" s="4">
        <f t="shared" si="34"/>
        <v>0</v>
      </c>
      <c r="AG45" s="4">
        <f t="shared" si="34"/>
        <v>0</v>
      </c>
      <c r="AH45" s="4">
        <f t="shared" si="34"/>
        <v>0</v>
      </c>
      <c r="AI45" s="4">
        <f t="shared" si="34"/>
        <v>0</v>
      </c>
      <c r="AJ45" s="4">
        <f t="shared" si="34"/>
        <v>0</v>
      </c>
      <c r="AK45" s="4">
        <f t="shared" si="34"/>
        <v>0</v>
      </c>
      <c r="AL45" s="4">
        <f t="shared" si="34"/>
        <v>0</v>
      </c>
      <c r="AM45" s="4">
        <f t="shared" si="34"/>
        <v>0</v>
      </c>
      <c r="AN45" s="4">
        <f t="shared" si="34"/>
        <v>0</v>
      </c>
      <c r="AO45" s="4">
        <f t="shared" si="34"/>
        <v>0</v>
      </c>
      <c r="AP45" s="876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876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890">
        <v>900</v>
      </c>
      <c r="D47" s="35">
        <v>28000</v>
      </c>
      <c r="E47" s="890"/>
      <c r="F47" s="875"/>
      <c r="G47" s="872"/>
      <c r="H47" s="872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35">R48+R51</f>
        <v>0</v>
      </c>
      <c r="S47" s="70">
        <f t="shared" si="35"/>
        <v>0</v>
      </c>
      <c r="T47" s="70">
        <f t="shared" si="35"/>
        <v>0</v>
      </c>
      <c r="U47" s="70">
        <f t="shared" si="35"/>
        <v>7.2</v>
      </c>
      <c r="V47" s="70">
        <f t="shared" si="35"/>
        <v>0</v>
      </c>
      <c r="W47" s="70">
        <f t="shared" si="35"/>
        <v>0</v>
      </c>
      <c r="X47" s="70">
        <f t="shared" si="35"/>
        <v>0</v>
      </c>
      <c r="Y47" s="70">
        <f t="shared" si="35"/>
        <v>0</v>
      </c>
      <c r="Z47" s="679">
        <v>0</v>
      </c>
      <c r="AA47" s="70">
        <v>0</v>
      </c>
      <c r="AB47" s="70">
        <f t="shared" si="35"/>
        <v>0</v>
      </c>
      <c r="AC47" s="70">
        <f t="shared" si="35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891" t="s">
        <v>15</v>
      </c>
      <c r="C48" s="885"/>
      <c r="D48" s="577"/>
      <c r="E48" s="885"/>
      <c r="F48" s="919"/>
      <c r="G48" s="866"/>
      <c r="H48" s="866"/>
      <c r="I48" s="1448"/>
      <c r="J48" s="1628"/>
      <c r="K48" s="1628"/>
      <c r="L48" s="902">
        <v>521.89</v>
      </c>
      <c r="M48" s="902"/>
      <c r="N48" s="902">
        <v>0</v>
      </c>
      <c r="O48" s="909"/>
      <c r="P48" s="902">
        <v>0</v>
      </c>
      <c r="Q48" s="902">
        <v>0</v>
      </c>
      <c r="R48" s="902">
        <f t="shared" ref="R48:Z48" si="36">R49+R50</f>
        <v>0</v>
      </c>
      <c r="S48" s="902">
        <f t="shared" si="36"/>
        <v>0</v>
      </c>
      <c r="T48" s="902">
        <f t="shared" si="36"/>
        <v>0</v>
      </c>
      <c r="U48" s="902">
        <f t="shared" si="36"/>
        <v>7.2</v>
      </c>
      <c r="V48" s="902">
        <f t="shared" si="36"/>
        <v>0</v>
      </c>
      <c r="W48" s="902">
        <f t="shared" si="36"/>
        <v>0</v>
      </c>
      <c r="X48" s="902">
        <f t="shared" si="36"/>
        <v>0</v>
      </c>
      <c r="Y48" s="902">
        <f t="shared" si="36"/>
        <v>0</v>
      </c>
      <c r="Z48" s="902">
        <f t="shared" si="36"/>
        <v>0</v>
      </c>
      <c r="AA48" s="902">
        <v>0</v>
      </c>
      <c r="AB48" s="902">
        <f t="shared" ref="AB48:AC48" si="37">AB49</f>
        <v>0</v>
      </c>
      <c r="AC48" s="902">
        <f t="shared" si="37"/>
        <v>7.2</v>
      </c>
      <c r="AD48" s="902"/>
      <c r="AE48" s="902"/>
      <c r="AF48" s="902"/>
      <c r="AG48" s="902"/>
      <c r="AH48" s="902"/>
      <c r="AI48" s="902"/>
      <c r="AJ48" s="902"/>
      <c r="AK48" s="288"/>
      <c r="AL48" s="288"/>
      <c r="AM48" s="902"/>
      <c r="AN48" s="902"/>
      <c r="AO48" s="902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891" t="s">
        <v>16</v>
      </c>
      <c r="C51" s="885"/>
      <c r="D51" s="885"/>
      <c r="E51" s="885"/>
      <c r="F51" s="919"/>
      <c r="G51" s="866">
        <v>2020</v>
      </c>
      <c r="H51" s="866">
        <v>2020</v>
      </c>
      <c r="I51" s="1449"/>
      <c r="J51" s="1629"/>
      <c r="K51" s="1629"/>
      <c r="L51" s="902">
        <v>4152.18</v>
      </c>
      <c r="M51" s="902">
        <v>0</v>
      </c>
      <c r="N51" s="902">
        <v>0</v>
      </c>
      <c r="O51" s="902">
        <v>0</v>
      </c>
      <c r="P51" s="902">
        <v>0</v>
      </c>
      <c r="Q51" s="902">
        <v>0</v>
      </c>
      <c r="R51" s="902">
        <v>0</v>
      </c>
      <c r="S51" s="902">
        <v>0</v>
      </c>
      <c r="T51" s="902">
        <v>0</v>
      </c>
      <c r="U51" s="902">
        <v>0</v>
      </c>
      <c r="V51" s="902">
        <v>0</v>
      </c>
      <c r="W51" s="902">
        <v>0</v>
      </c>
      <c r="X51" s="902">
        <v>0</v>
      </c>
      <c r="Y51" s="902">
        <v>0</v>
      </c>
      <c r="Z51" s="258"/>
      <c r="AA51" s="902">
        <v>0</v>
      </c>
      <c r="AB51" s="902">
        <v>0</v>
      </c>
      <c r="AC51" s="902">
        <v>0</v>
      </c>
      <c r="AD51" s="902">
        <v>0</v>
      </c>
      <c r="AE51" s="902">
        <v>0</v>
      </c>
      <c r="AF51" s="902">
        <v>0</v>
      </c>
      <c r="AG51" s="902">
        <f t="shared" ref="AG51:AJ52" si="38">AG54+AG57</f>
        <v>0</v>
      </c>
      <c r="AH51" s="902">
        <f t="shared" si="38"/>
        <v>0</v>
      </c>
      <c r="AI51" s="902">
        <f t="shared" si="38"/>
        <v>0</v>
      </c>
      <c r="AJ51" s="902">
        <f t="shared" si="38"/>
        <v>0</v>
      </c>
      <c r="AK51" s="902">
        <v>0</v>
      </c>
      <c r="AL51" s="902">
        <v>0</v>
      </c>
      <c r="AM51" s="902">
        <v>0</v>
      </c>
      <c r="AN51" s="902">
        <v>0</v>
      </c>
      <c r="AO51" s="902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905">
        <f>L52</f>
        <v>924.64</v>
      </c>
      <c r="K52" s="905">
        <v>0</v>
      </c>
      <c r="L52" s="902">
        <f>L58</f>
        <v>924.64</v>
      </c>
      <c r="M52" s="902">
        <f t="shared" ref="M52:AO52" si="39">M55+M58</f>
        <v>0</v>
      </c>
      <c r="N52" s="902">
        <f t="shared" si="39"/>
        <v>0</v>
      </c>
      <c r="O52" s="902">
        <f t="shared" si="39"/>
        <v>0</v>
      </c>
      <c r="P52" s="902">
        <f t="shared" si="39"/>
        <v>725.37</v>
      </c>
      <c r="Q52" s="902">
        <f t="shared" si="39"/>
        <v>0</v>
      </c>
      <c r="R52" s="902">
        <f t="shared" si="39"/>
        <v>0</v>
      </c>
      <c r="S52" s="902">
        <f t="shared" si="39"/>
        <v>0</v>
      </c>
      <c r="T52" s="902">
        <f t="shared" si="39"/>
        <v>0</v>
      </c>
      <c r="U52" s="902">
        <f t="shared" si="39"/>
        <v>0</v>
      </c>
      <c r="V52" s="902">
        <f t="shared" si="39"/>
        <v>131</v>
      </c>
      <c r="W52" s="902">
        <f t="shared" si="39"/>
        <v>131</v>
      </c>
      <c r="X52" s="902">
        <f t="shared" si="39"/>
        <v>0</v>
      </c>
      <c r="Y52" s="902">
        <f t="shared" si="39"/>
        <v>0</v>
      </c>
      <c r="Z52" s="258"/>
      <c r="AA52" s="902">
        <f t="shared" si="39"/>
        <v>0</v>
      </c>
      <c r="AB52" s="902">
        <f t="shared" si="39"/>
        <v>0</v>
      </c>
      <c r="AC52" s="902">
        <f t="shared" si="39"/>
        <v>0</v>
      </c>
      <c r="AD52" s="902">
        <f t="shared" si="39"/>
        <v>200</v>
      </c>
      <c r="AE52" s="902">
        <f t="shared" si="39"/>
        <v>0</v>
      </c>
      <c r="AF52" s="902">
        <f t="shared" si="39"/>
        <v>0</v>
      </c>
      <c r="AG52" s="902">
        <f t="shared" si="38"/>
        <v>0</v>
      </c>
      <c r="AH52" s="902">
        <f t="shared" si="38"/>
        <v>0</v>
      </c>
      <c r="AI52" s="902">
        <f t="shared" si="38"/>
        <v>0</v>
      </c>
      <c r="AJ52" s="902">
        <f t="shared" si="38"/>
        <v>0</v>
      </c>
      <c r="AK52" s="902">
        <f t="shared" si="39"/>
        <v>725.37</v>
      </c>
      <c r="AL52" s="902">
        <f t="shared" si="39"/>
        <v>725.37</v>
      </c>
      <c r="AM52" s="902">
        <f t="shared" si="39"/>
        <v>0</v>
      </c>
      <c r="AN52" s="902">
        <f t="shared" si="39"/>
        <v>0</v>
      </c>
      <c r="AO52" s="902">
        <f t="shared" si="39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905">
        <f>L53</f>
        <v>0</v>
      </c>
      <c r="K53" s="905">
        <v>0</v>
      </c>
      <c r="L53" s="902">
        <v>0</v>
      </c>
      <c r="M53" s="902">
        <v>0</v>
      </c>
      <c r="N53" s="902">
        <v>0</v>
      </c>
      <c r="O53" s="909">
        <v>0</v>
      </c>
      <c r="P53" s="902">
        <v>0</v>
      </c>
      <c r="Q53" s="902">
        <v>0</v>
      </c>
      <c r="R53" s="902">
        <v>0</v>
      </c>
      <c r="S53" s="902">
        <v>0</v>
      </c>
      <c r="T53" s="902">
        <v>0</v>
      </c>
      <c r="U53" s="902">
        <v>0</v>
      </c>
      <c r="V53" s="902">
        <v>0</v>
      </c>
      <c r="W53" s="902">
        <v>0</v>
      </c>
      <c r="X53" s="902">
        <v>0</v>
      </c>
      <c r="Y53" s="902">
        <v>0</v>
      </c>
      <c r="Z53" s="258"/>
      <c r="AA53" s="902">
        <v>0</v>
      </c>
      <c r="AB53" s="902">
        <v>0</v>
      </c>
      <c r="AC53" s="902">
        <v>0</v>
      </c>
      <c r="AD53" s="902">
        <v>0</v>
      </c>
      <c r="AE53" s="902">
        <v>0</v>
      </c>
      <c r="AF53" s="902">
        <v>0</v>
      </c>
      <c r="AG53" s="902">
        <v>0</v>
      </c>
      <c r="AH53" s="902">
        <v>0</v>
      </c>
      <c r="AI53" s="902">
        <v>0</v>
      </c>
      <c r="AJ53" s="902">
        <v>0</v>
      </c>
      <c r="AK53" s="902">
        <v>0</v>
      </c>
      <c r="AL53" s="902">
        <v>0</v>
      </c>
      <c r="AM53" s="902">
        <v>0</v>
      </c>
      <c r="AN53" s="902">
        <v>0</v>
      </c>
      <c r="AO53" s="902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905">
        <f>L54</f>
        <v>0</v>
      </c>
      <c r="K54" s="905">
        <v>0</v>
      </c>
      <c r="L54" s="902">
        <v>0</v>
      </c>
      <c r="M54" s="902">
        <v>0</v>
      </c>
      <c r="N54" s="902">
        <v>0</v>
      </c>
      <c r="O54" s="909">
        <v>0</v>
      </c>
      <c r="P54" s="902">
        <v>0</v>
      </c>
      <c r="Q54" s="902">
        <v>0</v>
      </c>
      <c r="R54" s="902">
        <v>0</v>
      </c>
      <c r="S54" s="902">
        <v>0</v>
      </c>
      <c r="T54" s="902">
        <v>0</v>
      </c>
      <c r="U54" s="902">
        <v>0</v>
      </c>
      <c r="V54" s="902">
        <v>0</v>
      </c>
      <c r="W54" s="902">
        <v>0</v>
      </c>
      <c r="X54" s="902">
        <v>0</v>
      </c>
      <c r="Y54" s="902">
        <v>0</v>
      </c>
      <c r="Z54" s="258"/>
      <c r="AA54" s="902">
        <v>0</v>
      </c>
      <c r="AB54" s="902">
        <v>0</v>
      </c>
      <c r="AC54" s="902">
        <v>0</v>
      </c>
      <c r="AD54" s="902">
        <v>0</v>
      </c>
      <c r="AE54" s="902">
        <v>0</v>
      </c>
      <c r="AF54" s="902">
        <v>0</v>
      </c>
      <c r="AG54" s="902">
        <v>0</v>
      </c>
      <c r="AH54" s="902">
        <v>0</v>
      </c>
      <c r="AI54" s="902">
        <v>0</v>
      </c>
      <c r="AJ54" s="902">
        <v>0</v>
      </c>
      <c r="AK54" s="902">
        <v>0</v>
      </c>
      <c r="AL54" s="902">
        <v>0</v>
      </c>
      <c r="AM54" s="902">
        <v>0</v>
      </c>
      <c r="AN54" s="902">
        <v>0</v>
      </c>
      <c r="AO54" s="902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885"/>
      <c r="H55" s="885"/>
      <c r="I55" s="1374" t="s">
        <v>20</v>
      </c>
      <c r="J55" s="905">
        <f>L55</f>
        <v>0</v>
      </c>
      <c r="K55" s="905"/>
      <c r="L55" s="902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0">R56+R57</f>
        <v>0</v>
      </c>
      <c r="S55" s="71">
        <f t="shared" si="40"/>
        <v>0</v>
      </c>
      <c r="T55" s="71">
        <f t="shared" si="40"/>
        <v>0</v>
      </c>
      <c r="U55" s="71">
        <f t="shared" si="40"/>
        <v>0</v>
      </c>
      <c r="V55" s="71">
        <f t="shared" si="40"/>
        <v>0</v>
      </c>
      <c r="W55" s="71">
        <f t="shared" si="40"/>
        <v>0</v>
      </c>
      <c r="X55" s="71">
        <f t="shared" si="40"/>
        <v>0</v>
      </c>
      <c r="Y55" s="71">
        <f t="shared" si="40"/>
        <v>0</v>
      </c>
      <c r="Z55" s="100"/>
      <c r="AA55" s="71">
        <f t="shared" si="40"/>
        <v>0</v>
      </c>
      <c r="AB55" s="71">
        <f t="shared" si="40"/>
        <v>0</v>
      </c>
      <c r="AC55" s="71">
        <f t="shared" si="40"/>
        <v>0</v>
      </c>
      <c r="AD55" s="71">
        <f t="shared" si="40"/>
        <v>0</v>
      </c>
      <c r="AE55" s="71">
        <f t="shared" si="40"/>
        <v>0</v>
      </c>
      <c r="AF55" s="71">
        <f t="shared" si="40"/>
        <v>0</v>
      </c>
      <c r="AG55" s="71">
        <f t="shared" si="40"/>
        <v>0</v>
      </c>
      <c r="AH55" s="71">
        <f t="shared" si="40"/>
        <v>0</v>
      </c>
      <c r="AI55" s="71">
        <f t="shared" si="40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0"/>
        <v>0</v>
      </c>
      <c r="AO55" s="71">
        <f t="shared" si="40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885">
        <v>2019</v>
      </c>
      <c r="H56" s="885">
        <v>2019</v>
      </c>
      <c r="I56" s="1391"/>
      <c r="J56" s="905">
        <f t="shared" ref="J56:J61" si="41">L56</f>
        <v>0</v>
      </c>
      <c r="K56" s="905"/>
      <c r="L56" s="902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889">
        <v>2019</v>
      </c>
      <c r="H57" s="889">
        <v>2019</v>
      </c>
      <c r="I57" s="1375"/>
      <c r="J57" s="905">
        <f t="shared" si="41"/>
        <v>0</v>
      </c>
      <c r="K57" s="868"/>
      <c r="L57" s="902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889"/>
      <c r="H58" s="889"/>
      <c r="I58" s="1374" t="s">
        <v>20</v>
      </c>
      <c r="J58" s="905">
        <f t="shared" si="41"/>
        <v>924.64</v>
      </c>
      <c r="K58" s="868"/>
      <c r="L58" s="902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2">R59+R61</f>
        <v>0</v>
      </c>
      <c r="S58" s="318">
        <f t="shared" si="42"/>
        <v>0</v>
      </c>
      <c r="T58" s="318">
        <f t="shared" si="42"/>
        <v>0</v>
      </c>
      <c r="U58" s="318">
        <f t="shared" si="42"/>
        <v>0</v>
      </c>
      <c r="V58" s="318">
        <f t="shared" si="42"/>
        <v>131</v>
      </c>
      <c r="W58" s="318">
        <f t="shared" si="42"/>
        <v>131</v>
      </c>
      <c r="X58" s="318">
        <f t="shared" si="42"/>
        <v>0</v>
      </c>
      <c r="Y58" s="318">
        <f t="shared" si="42"/>
        <v>0</v>
      </c>
      <c r="Z58" s="372">
        <v>0</v>
      </c>
      <c r="AA58" s="318">
        <v>0</v>
      </c>
      <c r="AB58" s="4">
        <f t="shared" si="42"/>
        <v>0</v>
      </c>
      <c r="AC58" s="4">
        <f t="shared" si="42"/>
        <v>0</v>
      </c>
      <c r="AD58" s="4">
        <f t="shared" si="42"/>
        <v>200</v>
      </c>
      <c r="AE58" s="4">
        <f t="shared" si="42"/>
        <v>0</v>
      </c>
      <c r="AF58" s="4">
        <f t="shared" si="42"/>
        <v>0</v>
      </c>
      <c r="AG58" s="4">
        <f t="shared" si="42"/>
        <v>0</v>
      </c>
      <c r="AH58" s="4">
        <f t="shared" si="42"/>
        <v>0</v>
      </c>
      <c r="AI58" s="4">
        <f t="shared" si="42"/>
        <v>0</v>
      </c>
      <c r="AJ58" s="4">
        <f t="shared" si="42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2"/>
        <v>0</v>
      </c>
      <c r="AO58" s="4">
        <f t="shared" si="42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889">
        <v>2019</v>
      </c>
      <c r="H59" s="889">
        <v>2019</v>
      </c>
      <c r="I59" s="1391"/>
      <c r="J59" s="905">
        <f t="shared" si="41"/>
        <v>250</v>
      </c>
      <c r="K59" s="868"/>
      <c r="L59" s="902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43">R60</f>
        <v>0</v>
      </c>
      <c r="S59" s="4">
        <f t="shared" si="43"/>
        <v>0</v>
      </c>
      <c r="T59" s="4">
        <f t="shared" si="43"/>
        <v>0</v>
      </c>
      <c r="U59" s="4">
        <f t="shared" si="43"/>
        <v>0</v>
      </c>
      <c r="V59" s="4">
        <f t="shared" si="43"/>
        <v>131</v>
      </c>
      <c r="W59" s="4">
        <f t="shared" si="43"/>
        <v>131</v>
      </c>
      <c r="X59" s="4">
        <f t="shared" si="43"/>
        <v>0</v>
      </c>
      <c r="Y59" s="4">
        <f t="shared" si="43"/>
        <v>0</v>
      </c>
      <c r="Z59" s="268"/>
      <c r="AA59" s="4">
        <v>0</v>
      </c>
      <c r="AB59" s="4">
        <f t="shared" si="43"/>
        <v>0</v>
      </c>
      <c r="AC59" s="4">
        <f t="shared" si="43"/>
        <v>0</v>
      </c>
      <c r="AD59" s="4">
        <f t="shared" si="43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876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889">
        <v>2019</v>
      </c>
      <c r="H61" s="889">
        <v>2019</v>
      </c>
      <c r="I61" s="1375"/>
      <c r="J61" s="905">
        <f t="shared" si="41"/>
        <v>674.64</v>
      </c>
      <c r="K61" s="868"/>
      <c r="L61" s="902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873"/>
      <c r="L62" s="880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44">SUM(R63:R64)</f>
        <v>0</v>
      </c>
      <c r="S62" s="318">
        <f t="shared" si="44"/>
        <v>0</v>
      </c>
      <c r="T62" s="318">
        <f t="shared" si="44"/>
        <v>0</v>
      </c>
      <c r="U62" s="318">
        <f t="shared" si="44"/>
        <v>0</v>
      </c>
      <c r="V62" s="318">
        <f t="shared" si="44"/>
        <v>0</v>
      </c>
      <c r="W62" s="318">
        <f t="shared" si="44"/>
        <v>0</v>
      </c>
      <c r="X62" s="318">
        <f t="shared" si="44"/>
        <v>0</v>
      </c>
      <c r="Y62" s="318">
        <f t="shared" si="44"/>
        <v>0</v>
      </c>
      <c r="Z62" s="318">
        <f t="shared" si="44"/>
        <v>0</v>
      </c>
      <c r="AA62" s="318">
        <f t="shared" si="44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903"/>
      <c r="B63" s="42" t="s">
        <v>15</v>
      </c>
      <c r="C63" s="341"/>
      <c r="D63" s="341"/>
      <c r="E63" s="771"/>
      <c r="F63" s="691"/>
      <c r="G63" s="335"/>
      <c r="H63" s="770"/>
      <c r="I63" s="877"/>
      <c r="J63" s="905"/>
      <c r="K63" s="868"/>
      <c r="L63" s="902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903"/>
      <c r="B64" s="42" t="s">
        <v>32</v>
      </c>
      <c r="C64" s="341"/>
      <c r="D64" s="341"/>
      <c r="E64" s="771"/>
      <c r="F64" s="691"/>
      <c r="G64" s="335"/>
      <c r="H64" s="770"/>
      <c r="I64" s="877"/>
      <c r="J64" s="905"/>
      <c r="K64" s="868"/>
      <c r="L64" s="902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45">J68</f>
        <v>18824.2</v>
      </c>
      <c r="K65" s="47">
        <f t="shared" si="45"/>
        <v>0</v>
      </c>
      <c r="L65" s="47">
        <f t="shared" si="45"/>
        <v>5710.74</v>
      </c>
      <c r="M65" s="47">
        <f t="shared" si="45"/>
        <v>893.45</v>
      </c>
      <c r="N65" s="47">
        <f t="shared" si="45"/>
        <v>1051.49</v>
      </c>
      <c r="O65" s="47">
        <f t="shared" si="45"/>
        <v>11206.2</v>
      </c>
      <c r="P65" s="47">
        <f t="shared" si="45"/>
        <v>192.06</v>
      </c>
      <c r="Q65" s="47">
        <f t="shared" si="45"/>
        <v>75</v>
      </c>
      <c r="R65" s="47">
        <f t="shared" si="45"/>
        <v>0</v>
      </c>
      <c r="S65" s="47">
        <f t="shared" si="45"/>
        <v>0</v>
      </c>
      <c r="T65" s="47">
        <f t="shared" si="45"/>
        <v>0</v>
      </c>
      <c r="U65" s="47">
        <f t="shared" si="45"/>
        <v>0</v>
      </c>
      <c r="V65" s="47">
        <f t="shared" si="45"/>
        <v>0</v>
      </c>
      <c r="W65" s="47">
        <f t="shared" si="45"/>
        <v>0</v>
      </c>
      <c r="X65" s="47">
        <f t="shared" si="45"/>
        <v>0</v>
      </c>
      <c r="Y65" s="47">
        <f t="shared" si="45"/>
        <v>0</v>
      </c>
      <c r="Z65" s="96"/>
      <c r="AA65" s="47">
        <f t="shared" si="45"/>
        <v>75</v>
      </c>
      <c r="AB65" s="47">
        <f t="shared" si="45"/>
        <v>0</v>
      </c>
      <c r="AC65" s="47">
        <f t="shared" si="45"/>
        <v>0</v>
      </c>
      <c r="AD65" s="47">
        <f t="shared" si="45"/>
        <v>0</v>
      </c>
      <c r="AE65" s="47">
        <f t="shared" si="45"/>
        <v>0</v>
      </c>
      <c r="AF65" s="47">
        <f t="shared" si="45"/>
        <v>0</v>
      </c>
      <c r="AG65" s="47">
        <f t="shared" si="45"/>
        <v>0</v>
      </c>
      <c r="AH65" s="47">
        <f t="shared" si="45"/>
        <v>0</v>
      </c>
      <c r="AI65" s="47">
        <f t="shared" si="45"/>
        <v>0</v>
      </c>
      <c r="AJ65" s="47">
        <f t="shared" si="45"/>
        <v>0</v>
      </c>
      <c r="AK65" s="47">
        <f t="shared" si="45"/>
        <v>117.06</v>
      </c>
      <c r="AL65" s="47">
        <f t="shared" si="45"/>
        <v>117.06</v>
      </c>
      <c r="AM65" s="47">
        <f t="shared" si="45"/>
        <v>39.049999999999997</v>
      </c>
      <c r="AN65" s="47">
        <f t="shared" si="45"/>
        <v>0</v>
      </c>
      <c r="AO65" s="47">
        <f t="shared" si="45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872"/>
      <c r="H68" s="872"/>
      <c r="I68" s="1326" t="s">
        <v>20</v>
      </c>
      <c r="J68" s="1640">
        <v>18824.2</v>
      </c>
      <c r="K68" s="3">
        <v>0</v>
      </c>
      <c r="L68" s="3">
        <f t="shared" ref="L68:P68" si="46">L69+L71</f>
        <v>5710.74</v>
      </c>
      <c r="M68" s="3">
        <f t="shared" si="46"/>
        <v>893.45</v>
      </c>
      <c r="N68" s="3">
        <f t="shared" si="46"/>
        <v>1051.49</v>
      </c>
      <c r="O68" s="3">
        <f t="shared" si="46"/>
        <v>11206.2</v>
      </c>
      <c r="P68" s="3">
        <f t="shared" si="46"/>
        <v>192.06</v>
      </c>
      <c r="Q68" s="3">
        <f>SUM(Q69:Q71)</f>
        <v>75</v>
      </c>
      <c r="R68" s="3">
        <f t="shared" ref="R68:AA68" si="47">SUM(R69:R71)</f>
        <v>0</v>
      </c>
      <c r="S68" s="3">
        <f t="shared" si="47"/>
        <v>0</v>
      </c>
      <c r="T68" s="3">
        <f t="shared" si="47"/>
        <v>0</v>
      </c>
      <c r="U68" s="3">
        <f t="shared" si="47"/>
        <v>0</v>
      </c>
      <c r="V68" s="3">
        <f t="shared" si="47"/>
        <v>0</v>
      </c>
      <c r="W68" s="3">
        <f t="shared" si="47"/>
        <v>0</v>
      </c>
      <c r="X68" s="3">
        <f t="shared" si="47"/>
        <v>0</v>
      </c>
      <c r="Y68" s="3">
        <f t="shared" si="47"/>
        <v>0</v>
      </c>
      <c r="Z68" s="3">
        <f t="shared" si="47"/>
        <v>0</v>
      </c>
      <c r="AA68" s="3">
        <f t="shared" si="47"/>
        <v>75</v>
      </c>
      <c r="AB68" s="3">
        <f t="shared" ref="AB68:AO68" si="48">AB69+AB71</f>
        <v>0</v>
      </c>
      <c r="AC68" s="3">
        <f t="shared" si="48"/>
        <v>0</v>
      </c>
      <c r="AD68" s="3">
        <f t="shared" si="48"/>
        <v>0</v>
      </c>
      <c r="AE68" s="3">
        <f t="shared" si="48"/>
        <v>0</v>
      </c>
      <c r="AF68" s="3">
        <f t="shared" si="48"/>
        <v>0</v>
      </c>
      <c r="AG68" s="3">
        <f t="shared" si="48"/>
        <v>0</v>
      </c>
      <c r="AH68" s="3">
        <f t="shared" si="48"/>
        <v>0</v>
      </c>
      <c r="AI68" s="3">
        <f t="shared" si="48"/>
        <v>0</v>
      </c>
      <c r="AJ68" s="3">
        <f t="shared" si="48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48"/>
        <v>0</v>
      </c>
      <c r="AO68" s="3">
        <f t="shared" si="48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891" t="s">
        <v>15</v>
      </c>
      <c r="C69" s="1327"/>
      <c r="D69" s="1327"/>
      <c r="E69" s="1327"/>
      <c r="F69" s="1327"/>
      <c r="G69" s="866">
        <v>2019</v>
      </c>
      <c r="H69" s="866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49">SUM(R70)</f>
        <v>0</v>
      </c>
      <c r="S69" s="47">
        <f t="shared" si="49"/>
        <v>0</v>
      </c>
      <c r="T69" s="47">
        <f t="shared" si="49"/>
        <v>0</v>
      </c>
      <c r="U69" s="47">
        <f t="shared" si="49"/>
        <v>0</v>
      </c>
      <c r="V69" s="47">
        <f t="shared" si="49"/>
        <v>0</v>
      </c>
      <c r="W69" s="47">
        <f t="shared" si="49"/>
        <v>0</v>
      </c>
      <c r="X69" s="47">
        <v>0</v>
      </c>
      <c r="Y69" s="47">
        <f t="shared" si="49"/>
        <v>0</v>
      </c>
      <c r="Z69" s="96"/>
      <c r="AA69" s="47">
        <v>75</v>
      </c>
      <c r="AB69" s="47">
        <f t="shared" si="49"/>
        <v>0</v>
      </c>
      <c r="AC69" s="47">
        <v>0</v>
      </c>
      <c r="AD69" s="47">
        <v>0</v>
      </c>
      <c r="AE69" s="47">
        <v>0</v>
      </c>
      <c r="AF69" s="47">
        <f t="shared" si="49"/>
        <v>0</v>
      </c>
      <c r="AG69" s="47">
        <f t="shared" si="49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891" t="s">
        <v>16</v>
      </c>
      <c r="C71" s="1327"/>
      <c r="D71" s="1327"/>
      <c r="E71" s="1327"/>
      <c r="F71" s="1327"/>
      <c r="G71" s="866">
        <v>2020</v>
      </c>
      <c r="H71" s="866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878"/>
      <c r="B72" s="609" t="s">
        <v>403</v>
      </c>
      <c r="C72" s="341"/>
      <c r="D72" s="341"/>
      <c r="E72" s="341"/>
      <c r="F72" s="341"/>
      <c r="G72" s="872"/>
      <c r="H72" s="872"/>
      <c r="I72" s="868"/>
      <c r="J72" s="908"/>
      <c r="K72" s="3">
        <v>0</v>
      </c>
      <c r="L72" s="3">
        <f>L73+L76</f>
        <v>0</v>
      </c>
      <c r="M72" s="3">
        <f>M73+M76</f>
        <v>0</v>
      </c>
      <c r="N72" s="3">
        <f>N73+N76</f>
        <v>0</v>
      </c>
      <c r="O72" s="3">
        <f>O73+O76</f>
        <v>0</v>
      </c>
      <c r="P72" s="3">
        <f>P73+P76</f>
        <v>0</v>
      </c>
      <c r="Q72" s="3">
        <f>SUM(Q73)</f>
        <v>1.58</v>
      </c>
      <c r="R72" s="3">
        <f t="shared" ref="R72:AA72" si="50">SUM(R73)</f>
        <v>0</v>
      </c>
      <c r="S72" s="3">
        <f t="shared" si="50"/>
        <v>0</v>
      </c>
      <c r="T72" s="3">
        <f t="shared" si="50"/>
        <v>0</v>
      </c>
      <c r="U72" s="3">
        <f t="shared" si="50"/>
        <v>0</v>
      </c>
      <c r="V72" s="3">
        <f t="shared" si="50"/>
        <v>0</v>
      </c>
      <c r="W72" s="3">
        <f t="shared" si="50"/>
        <v>0</v>
      </c>
      <c r="X72" s="3">
        <f t="shared" si="50"/>
        <v>0</v>
      </c>
      <c r="Y72" s="3">
        <f t="shared" si="50"/>
        <v>0</v>
      </c>
      <c r="Z72" s="3">
        <f t="shared" si="50"/>
        <v>0</v>
      </c>
      <c r="AA72" s="3">
        <f t="shared" si="50"/>
        <v>1.58</v>
      </c>
      <c r="AB72" s="3">
        <f t="shared" ref="AB72:AJ72" si="51">AB73+AB76</f>
        <v>0</v>
      </c>
      <c r="AC72" s="3">
        <f t="shared" si="51"/>
        <v>0</v>
      </c>
      <c r="AD72" s="3">
        <f t="shared" si="51"/>
        <v>0</v>
      </c>
      <c r="AE72" s="3">
        <f t="shared" si="51"/>
        <v>0</v>
      </c>
      <c r="AF72" s="3">
        <f t="shared" si="51"/>
        <v>0</v>
      </c>
      <c r="AG72" s="3">
        <f t="shared" si="51"/>
        <v>0</v>
      </c>
      <c r="AH72" s="3">
        <f t="shared" si="51"/>
        <v>0</v>
      </c>
      <c r="AI72" s="3">
        <f t="shared" si="51"/>
        <v>0</v>
      </c>
      <c r="AJ72" s="3">
        <f t="shared" si="51"/>
        <v>0</v>
      </c>
      <c r="AK72" s="3">
        <f>P72-Q72</f>
        <v>-1.58</v>
      </c>
      <c r="AL72" s="3">
        <f>AK72</f>
        <v>-1.58</v>
      </c>
      <c r="AM72" s="318" t="e">
        <f>ROUND((Q72*100%/P72*100),2)</f>
        <v>#DIV/0!</v>
      </c>
      <c r="AN72" s="3">
        <f>AN73+AN76</f>
        <v>0</v>
      </c>
      <c r="AO72" s="3">
        <f>AO73+AO76</f>
        <v>0</v>
      </c>
      <c r="AP72" s="633" t="s">
        <v>272</v>
      </c>
      <c r="AQ72" s="95">
        <v>40</v>
      </c>
    </row>
    <row r="73" spans="1:43" ht="15.75" customHeight="1" x14ac:dyDescent="0.25">
      <c r="A73" s="878"/>
      <c r="B73" s="42" t="s">
        <v>16</v>
      </c>
      <c r="C73" s="341"/>
      <c r="D73" s="341"/>
      <c r="E73" s="341"/>
      <c r="F73" s="341"/>
      <c r="G73" s="313"/>
      <c r="H73" s="916"/>
      <c r="I73" s="868"/>
      <c r="J73" s="908"/>
      <c r="K73" s="4"/>
      <c r="L73" s="47"/>
      <c r="M73" s="47"/>
      <c r="N73" s="47"/>
      <c r="O73" s="47"/>
      <c r="P73" s="47">
        <v>0</v>
      </c>
      <c r="Q73" s="47">
        <v>1.58</v>
      </c>
      <c r="R73" s="47"/>
      <c r="S73" s="47"/>
      <c r="T73" s="47"/>
      <c r="U73" s="47"/>
      <c r="V73" s="47"/>
      <c r="W73" s="47"/>
      <c r="X73" s="47"/>
      <c r="Y73" s="47"/>
      <c r="Z73" s="96"/>
      <c r="AA73" s="47">
        <v>1.58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327" customFormat="1" ht="28.5" customHeight="1" x14ac:dyDescent="0.25">
      <c r="A74" s="878"/>
      <c r="B74" s="609" t="s">
        <v>404</v>
      </c>
      <c r="C74" s="341"/>
      <c r="D74" s="341"/>
      <c r="E74" s="341"/>
      <c r="F74" s="341"/>
      <c r="G74" s="872"/>
      <c r="H74" s="872"/>
      <c r="I74" s="868"/>
      <c r="J74" s="908"/>
      <c r="K74" s="3">
        <v>0</v>
      </c>
      <c r="L74" s="3">
        <f>L75+L78</f>
        <v>0</v>
      </c>
      <c r="M74" s="3">
        <f>M75+M78</f>
        <v>0</v>
      </c>
      <c r="N74" s="3">
        <f>N75+N78</f>
        <v>0</v>
      </c>
      <c r="O74" s="3">
        <f>O75+O78</f>
        <v>0</v>
      </c>
      <c r="P74" s="3">
        <f>P75+P78</f>
        <v>0</v>
      </c>
      <c r="Q74" s="3">
        <f>SUM(Q75)</f>
        <v>0</v>
      </c>
      <c r="R74" s="3">
        <f t="shared" ref="R74:AA74" si="52">SUM(R75)</f>
        <v>0</v>
      </c>
      <c r="S74" s="3">
        <f t="shared" si="52"/>
        <v>0</v>
      </c>
      <c r="T74" s="3">
        <f t="shared" si="52"/>
        <v>0</v>
      </c>
      <c r="U74" s="3">
        <f t="shared" si="52"/>
        <v>0</v>
      </c>
      <c r="V74" s="3">
        <f t="shared" si="52"/>
        <v>0</v>
      </c>
      <c r="W74" s="3">
        <f t="shared" si="52"/>
        <v>0</v>
      </c>
      <c r="X74" s="3">
        <f t="shared" si="52"/>
        <v>0</v>
      </c>
      <c r="Y74" s="3">
        <f t="shared" si="52"/>
        <v>0</v>
      </c>
      <c r="Z74" s="3">
        <f t="shared" si="52"/>
        <v>0</v>
      </c>
      <c r="AA74" s="3">
        <f t="shared" si="52"/>
        <v>0</v>
      </c>
      <c r="AB74" s="3">
        <f t="shared" ref="AB74:AJ74" si="53">AB75+AB78</f>
        <v>0</v>
      </c>
      <c r="AC74" s="3">
        <f t="shared" si="53"/>
        <v>0</v>
      </c>
      <c r="AD74" s="3">
        <f t="shared" si="53"/>
        <v>0</v>
      </c>
      <c r="AE74" s="3">
        <f t="shared" si="53"/>
        <v>0</v>
      </c>
      <c r="AF74" s="3">
        <f t="shared" si="53"/>
        <v>0</v>
      </c>
      <c r="AG74" s="3">
        <f t="shared" si="53"/>
        <v>0</v>
      </c>
      <c r="AH74" s="3">
        <f t="shared" si="53"/>
        <v>0</v>
      </c>
      <c r="AI74" s="3">
        <f t="shared" si="53"/>
        <v>0</v>
      </c>
      <c r="AJ74" s="3">
        <f t="shared" si="53"/>
        <v>0</v>
      </c>
      <c r="AK74" s="3">
        <f>P74-Q74</f>
        <v>0</v>
      </c>
      <c r="AL74" s="3">
        <f>AK74</f>
        <v>0</v>
      </c>
      <c r="AM74" s="318" t="e">
        <f>ROUND((Q74*100%/P74*100),2)</f>
        <v>#DIV/0!</v>
      </c>
      <c r="AN74" s="3">
        <f>AN75+AN78</f>
        <v>0</v>
      </c>
      <c r="AO74" s="3">
        <f>AO75+AO78</f>
        <v>0</v>
      </c>
      <c r="AP74" s="633" t="s">
        <v>272</v>
      </c>
      <c r="AQ74" s="95">
        <v>40</v>
      </c>
    </row>
    <row r="75" spans="1:43" ht="15.75" customHeight="1" x14ac:dyDescent="0.25">
      <c r="A75" s="878"/>
      <c r="B75" s="42" t="s">
        <v>16</v>
      </c>
      <c r="C75" s="341"/>
      <c r="D75" s="341"/>
      <c r="E75" s="341"/>
      <c r="F75" s="341"/>
      <c r="G75" s="313"/>
      <c r="H75" s="916"/>
      <c r="I75" s="868"/>
      <c r="J75" s="908"/>
      <c r="K75" s="4"/>
      <c r="L75" s="47"/>
      <c r="M75" s="47"/>
      <c r="N75" s="47"/>
      <c r="O75" s="47"/>
      <c r="P75" s="47">
        <v>0</v>
      </c>
      <c r="Q75" s="47">
        <v>0</v>
      </c>
      <c r="R75" s="47"/>
      <c r="S75" s="47"/>
      <c r="T75" s="47"/>
      <c r="U75" s="47"/>
      <c r="V75" s="47"/>
      <c r="W75" s="47"/>
      <c r="X75" s="47"/>
      <c r="Y75" s="47"/>
      <c r="Z75" s="96"/>
      <c r="AA75" s="47"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397"/>
      <c r="AQ75" s="96"/>
    </row>
    <row r="76" spans="1:43" ht="52.5" hidden="1" customHeight="1" x14ac:dyDescent="0.25">
      <c r="A76" s="1332" t="s">
        <v>56</v>
      </c>
      <c r="B76" s="1613" t="s">
        <v>41</v>
      </c>
      <c r="C76" s="1614"/>
      <c r="D76" s="1614"/>
      <c r="E76" s="1614"/>
      <c r="F76" s="1614"/>
      <c r="G76" s="1614"/>
      <c r="H76" s="1615"/>
      <c r="I76" s="23" t="s">
        <v>19</v>
      </c>
      <c r="J76" s="900">
        <v>0</v>
      </c>
      <c r="K76" s="900">
        <v>0</v>
      </c>
      <c r="L76" s="47">
        <f>M76+N76+O76</f>
        <v>0</v>
      </c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47">
        <v>0</v>
      </c>
      <c r="X76" s="47">
        <v>0</v>
      </c>
      <c r="Y76" s="47">
        <v>0</v>
      </c>
      <c r="Z76" s="96"/>
      <c r="AA76" s="47">
        <v>0</v>
      </c>
      <c r="AB76" s="47">
        <v>0</v>
      </c>
      <c r="AC76" s="47">
        <v>0</v>
      </c>
      <c r="AD76" s="47">
        <v>0</v>
      </c>
      <c r="AE76" s="47">
        <v>0</v>
      </c>
      <c r="AF76" s="47">
        <v>0</v>
      </c>
      <c r="AG76" s="47">
        <v>0</v>
      </c>
      <c r="AH76" s="47">
        <v>0</v>
      </c>
      <c r="AI76" s="47">
        <v>0</v>
      </c>
      <c r="AJ76" s="47">
        <v>0</v>
      </c>
      <c r="AK76" s="47">
        <v>0</v>
      </c>
      <c r="AL76" s="47">
        <v>0</v>
      </c>
      <c r="AM76" s="47">
        <v>0</v>
      </c>
      <c r="AN76" s="47">
        <v>0</v>
      </c>
      <c r="AO76" s="47">
        <v>0</v>
      </c>
      <c r="AP76" s="397"/>
      <c r="AQ76" s="96"/>
    </row>
    <row r="77" spans="1:43" ht="48" hidden="1" customHeight="1" x14ac:dyDescent="0.25">
      <c r="A77" s="1333"/>
      <c r="B77" s="1616"/>
      <c r="C77" s="1617"/>
      <c r="D77" s="1617"/>
      <c r="E77" s="1617"/>
      <c r="F77" s="1617"/>
      <c r="G77" s="1617"/>
      <c r="H77" s="1618"/>
      <c r="I77" s="23" t="s">
        <v>20</v>
      </c>
      <c r="J77" s="900">
        <f>L77</f>
        <v>212998.96</v>
      </c>
      <c r="K77" s="900">
        <f>K80+K127+K128+K129</f>
        <v>0</v>
      </c>
      <c r="L77" s="47">
        <f>L80+L84+L90+L91+L94+L97+L100+L106+L111+L114+L118+L123</f>
        <v>212998.96</v>
      </c>
      <c r="M77" s="47">
        <f>M80+M84+M90+M91+M94+M97+M100+M106</f>
        <v>23675.279999999999</v>
      </c>
      <c r="N77" s="47">
        <f>N80+N84+N90+N91+N94+N97+N100+N106+N111+N114+N118+N123</f>
        <v>44561.120000000003</v>
      </c>
      <c r="O77" s="47">
        <f>O80+O84+O90+O91+O94+O97+O100+O106+O111+O114+O118+O123</f>
        <v>26487.67</v>
      </c>
      <c r="P77" s="47">
        <f>P80+P84+P90+P91+P94+P97+P100+P106+P111+P114+P118+P123</f>
        <v>42150.159999999996</v>
      </c>
      <c r="Q77" s="47">
        <f>Q80+Q84+Q90+Q91+Q94+Q97+Q100+Q106+Q111+Q114+Q118+Q123</f>
        <v>0</v>
      </c>
      <c r="R77" s="47">
        <f t="shared" ref="R77:Y77" si="54">R80+R84+R90+R91+R94+R97+R100+R106+R111+R114+R118+R123</f>
        <v>11372.53</v>
      </c>
      <c r="S77" s="47">
        <f t="shared" si="54"/>
        <v>11789.196</v>
      </c>
      <c r="T77" s="47">
        <f t="shared" si="54"/>
        <v>17105.953000000001</v>
      </c>
      <c r="U77" s="47">
        <f t="shared" si="54"/>
        <v>16853.532999999999</v>
      </c>
      <c r="V77" s="47">
        <f t="shared" si="54"/>
        <v>1876.1869999999999</v>
      </c>
      <c r="W77" s="47">
        <f t="shared" si="54"/>
        <v>1916.0429999999999</v>
      </c>
      <c r="X77" s="47">
        <f t="shared" si="54"/>
        <v>0</v>
      </c>
      <c r="Y77" s="47">
        <f t="shared" si="54"/>
        <v>0</v>
      </c>
      <c r="Z77" s="96"/>
      <c r="AA77" s="47">
        <f>AA80+AA84+AA90+AA91+AA94+AA97+AA100+AA106+AA111+AA114+AA118+AA123</f>
        <v>0</v>
      </c>
      <c r="AB77" s="47">
        <f>AB80+AB84+AB90+AB91+AB94+AB97+AB100+AB106+AB111+AB114+AB118+AB123</f>
        <v>40.5</v>
      </c>
      <c r="AC77" s="47">
        <f>AC80+AC84+AC90+AC91+AC94+AC97+AC100+AC106+AC111+AC114+AC118+AC123</f>
        <v>907.08299999999997</v>
      </c>
      <c r="AD77" s="47">
        <f>AD80+AD84+AD90+AD91+AD94+AD97+AD100+AD106+AD111+AD114+AD118+AD123</f>
        <v>2805.3339999999998</v>
      </c>
      <c r="AE77" s="47">
        <f>AE80+AE84+AE90+AE91+AE94+AE97+AE100+AE106+AE111+AE114+AE118+AE123</f>
        <v>0</v>
      </c>
      <c r="AF77" s="47">
        <f t="shared" ref="AF77:AO77" si="55">AF80+AF84+AF90</f>
        <v>0</v>
      </c>
      <c r="AG77" s="47">
        <f t="shared" si="55"/>
        <v>0</v>
      </c>
      <c r="AH77" s="47">
        <f t="shared" si="55"/>
        <v>0</v>
      </c>
      <c r="AI77" s="47">
        <f t="shared" si="55"/>
        <v>0</v>
      </c>
      <c r="AJ77" s="47">
        <f>AJ80+AJ84+AJ90+AJ123</f>
        <v>0</v>
      </c>
      <c r="AK77" s="47">
        <f t="shared" si="55"/>
        <v>4809.3900000000003</v>
      </c>
      <c r="AL77" s="47">
        <f t="shared" si="55"/>
        <v>4809.3900000000003</v>
      </c>
      <c r="AM77" s="47" t="e">
        <f t="shared" si="55"/>
        <v>#DIV/0!</v>
      </c>
      <c r="AN77" s="47">
        <f t="shared" si="55"/>
        <v>0</v>
      </c>
      <c r="AO77" s="47">
        <f t="shared" si="55"/>
        <v>0</v>
      </c>
      <c r="AP77" s="397"/>
      <c r="AQ77" s="96"/>
    </row>
    <row r="78" spans="1:43" ht="27" hidden="1" customHeight="1" x14ac:dyDescent="0.25">
      <c r="A78" s="1333"/>
      <c r="B78" s="1616"/>
      <c r="C78" s="1617"/>
      <c r="D78" s="1617"/>
      <c r="E78" s="1617"/>
      <c r="F78" s="1617"/>
      <c r="G78" s="1617"/>
      <c r="H78" s="1618"/>
      <c r="I78" s="23" t="s">
        <v>10</v>
      </c>
      <c r="J78" s="900">
        <f>L78</f>
        <v>0</v>
      </c>
      <c r="K78" s="900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27" hidden="1" customHeight="1" x14ac:dyDescent="0.25">
      <c r="A79" s="1334"/>
      <c r="B79" s="1619"/>
      <c r="C79" s="1620"/>
      <c r="D79" s="1620"/>
      <c r="E79" s="1620"/>
      <c r="F79" s="1620"/>
      <c r="G79" s="1620"/>
      <c r="H79" s="1621"/>
      <c r="I79" s="23" t="s">
        <v>9</v>
      </c>
      <c r="J79" s="900">
        <f>L79</f>
        <v>0</v>
      </c>
      <c r="K79" s="900">
        <v>0</v>
      </c>
      <c r="L79" s="47">
        <f>M79+N79+O79</f>
        <v>0</v>
      </c>
      <c r="M79" s="47">
        <v>0</v>
      </c>
      <c r="N79" s="47">
        <v>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96"/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397"/>
      <c r="AQ79" s="96"/>
    </row>
    <row r="80" spans="1:43" s="327" customFormat="1" ht="27.75" customHeight="1" x14ac:dyDescent="0.25">
      <c r="A80" s="1372" t="s">
        <v>57</v>
      </c>
      <c r="B80" s="780" t="s">
        <v>200</v>
      </c>
      <c r="C80" s="890"/>
      <c r="D80" s="890"/>
      <c r="E80" s="890"/>
      <c r="F80" s="890"/>
      <c r="G80" s="890">
        <v>2019</v>
      </c>
      <c r="H80" s="890">
        <v>2019</v>
      </c>
      <c r="I80" s="1326" t="s">
        <v>20</v>
      </c>
      <c r="J80" s="3">
        <f>L80</f>
        <v>30833.33</v>
      </c>
      <c r="K80" s="3"/>
      <c r="L80" s="3">
        <f t="shared" ref="L80:AC80" si="56">L81</f>
        <v>30833.33</v>
      </c>
      <c r="M80" s="3">
        <f t="shared" si="56"/>
        <v>20000</v>
      </c>
      <c r="N80" s="3">
        <f t="shared" si="56"/>
        <v>9151.41</v>
      </c>
      <c r="O80" s="3">
        <f t="shared" si="56"/>
        <v>0</v>
      </c>
      <c r="P80" s="3">
        <v>0</v>
      </c>
      <c r="Q80" s="3">
        <f t="shared" si="56"/>
        <v>0</v>
      </c>
      <c r="R80" s="3">
        <f t="shared" si="56"/>
        <v>0</v>
      </c>
      <c r="S80" s="3">
        <f t="shared" si="56"/>
        <v>0</v>
      </c>
      <c r="T80" s="3">
        <f t="shared" si="56"/>
        <v>0</v>
      </c>
      <c r="U80" s="3">
        <f t="shared" si="56"/>
        <v>0</v>
      </c>
      <c r="V80" s="3">
        <f t="shared" si="56"/>
        <v>0</v>
      </c>
      <c r="W80" s="3">
        <f t="shared" si="56"/>
        <v>0</v>
      </c>
      <c r="X80" s="3">
        <f t="shared" si="56"/>
        <v>0</v>
      </c>
      <c r="Y80" s="3">
        <f t="shared" si="56"/>
        <v>0</v>
      </c>
      <c r="Z80" s="95">
        <v>0</v>
      </c>
      <c r="AA80" s="3">
        <f t="shared" si="56"/>
        <v>0</v>
      </c>
      <c r="AB80" s="3">
        <f t="shared" si="56"/>
        <v>0</v>
      </c>
      <c r="AC80" s="3">
        <f t="shared" si="56"/>
        <v>0</v>
      </c>
      <c r="AD80" s="3">
        <f>AD81</f>
        <v>0</v>
      </c>
      <c r="AE80" s="3">
        <f t="shared" ref="AE80:AJ80" si="57">AE81</f>
        <v>0</v>
      </c>
      <c r="AF80" s="3">
        <f t="shared" si="57"/>
        <v>0</v>
      </c>
      <c r="AG80" s="3">
        <f t="shared" si="57"/>
        <v>0</v>
      </c>
      <c r="AH80" s="3">
        <f t="shared" si="57"/>
        <v>0</v>
      </c>
      <c r="AI80" s="3">
        <f t="shared" si="57"/>
        <v>0</v>
      </c>
      <c r="AJ80" s="3">
        <f t="shared" si="57"/>
        <v>0</v>
      </c>
      <c r="AK80" s="3">
        <v>0</v>
      </c>
      <c r="AL80" s="3">
        <f>AK80</f>
        <v>0</v>
      </c>
      <c r="AM80" s="318" t="e">
        <f>ROUND((Q80*100%/P80*100),2)</f>
        <v>#DIV/0!</v>
      </c>
      <c r="AN80" s="3">
        <v>0</v>
      </c>
      <c r="AO80" s="3">
        <v>0</v>
      </c>
      <c r="AP80" s="633" t="s">
        <v>273</v>
      </c>
      <c r="AQ80" s="95">
        <v>0</v>
      </c>
    </row>
    <row r="81" spans="1:43" ht="14.25" hidden="1" customHeight="1" x14ac:dyDescent="0.25">
      <c r="A81" s="1383"/>
      <c r="B81" s="1" t="s">
        <v>201</v>
      </c>
      <c r="C81" s="866"/>
      <c r="D81" s="866"/>
      <c r="E81" s="866"/>
      <c r="F81" s="866"/>
      <c r="G81" s="885"/>
      <c r="H81" s="885"/>
      <c r="I81" s="1639"/>
      <c r="J81" s="47"/>
      <c r="K81" s="47"/>
      <c r="L81" s="47">
        <v>30833.33</v>
      </c>
      <c r="M81" s="47">
        <v>20000</v>
      </c>
      <c r="N81" s="47">
        <v>9151.41</v>
      </c>
      <c r="O81" s="47">
        <v>0</v>
      </c>
      <c r="P81" s="47">
        <v>1681.92</v>
      </c>
      <c r="Q81" s="47">
        <f>SUM(Q82:Q83)</f>
        <v>0</v>
      </c>
      <c r="R81" s="47">
        <f>SUM(R82:R83)</f>
        <v>0</v>
      </c>
      <c r="S81" s="47">
        <f>SUM(S82:S83)</f>
        <v>0</v>
      </c>
      <c r="T81" s="47">
        <f t="shared" ref="T81:AC81" si="58">SUM(T82:T83)</f>
        <v>0</v>
      </c>
      <c r="U81" s="47">
        <f t="shared" si="58"/>
        <v>0</v>
      </c>
      <c r="V81" s="47">
        <f t="shared" si="58"/>
        <v>0</v>
      </c>
      <c r="W81" s="47">
        <f t="shared" si="58"/>
        <v>0</v>
      </c>
      <c r="X81" s="47">
        <f t="shared" si="58"/>
        <v>0</v>
      </c>
      <c r="Y81" s="47">
        <f t="shared" si="58"/>
        <v>0</v>
      </c>
      <c r="Z81" s="96"/>
      <c r="AA81" s="47">
        <f t="shared" si="58"/>
        <v>0</v>
      </c>
      <c r="AB81" s="47">
        <f t="shared" si="58"/>
        <v>0</v>
      </c>
      <c r="AC81" s="47">
        <f t="shared" si="58"/>
        <v>0</v>
      </c>
      <c r="AD81" s="47">
        <f>SUM(AD82:AD83)</f>
        <v>0</v>
      </c>
      <c r="AE81" s="47">
        <f t="shared" ref="AE81:AJ81" si="59">SUM(AE82:AE83)</f>
        <v>0</v>
      </c>
      <c r="AF81" s="47">
        <f t="shared" si="59"/>
        <v>0</v>
      </c>
      <c r="AG81" s="47">
        <f t="shared" si="59"/>
        <v>0</v>
      </c>
      <c r="AH81" s="47">
        <f t="shared" si="59"/>
        <v>0</v>
      </c>
      <c r="AI81" s="47">
        <f t="shared" si="59"/>
        <v>0</v>
      </c>
      <c r="AJ81" s="47">
        <f t="shared" si="59"/>
        <v>0</v>
      </c>
      <c r="AK81" s="47">
        <v>0</v>
      </c>
      <c r="AL81" s="47">
        <v>0</v>
      </c>
      <c r="AM81" s="4">
        <v>0</v>
      </c>
      <c r="AN81" s="47">
        <v>0</v>
      </c>
      <c r="AO81" s="47">
        <v>0</v>
      </c>
      <c r="AP81" s="397"/>
      <c r="AQ81" s="96"/>
    </row>
    <row r="82" spans="1:43" s="266" customFormat="1" ht="15.75" hidden="1" x14ac:dyDescent="0.25">
      <c r="A82" s="879"/>
      <c r="B82" s="102"/>
      <c r="C82" s="262"/>
      <c r="D82" s="262"/>
      <c r="E82" s="262"/>
      <c r="F82" s="262"/>
      <c r="G82" s="104"/>
      <c r="H82" s="104"/>
      <c r="I82" s="907"/>
      <c r="J82" s="96"/>
      <c r="K82" s="96"/>
      <c r="L82" s="96"/>
      <c r="M82" s="96"/>
      <c r="N82" s="96"/>
      <c r="O82" s="96"/>
      <c r="P82" s="47">
        <f>Q82</f>
        <v>0</v>
      </c>
      <c r="Q82" s="96">
        <f>S82+U82+W82+Y82</f>
        <v>0</v>
      </c>
      <c r="R82" s="96">
        <f>S82</f>
        <v>0</v>
      </c>
      <c r="S82" s="96">
        <v>0</v>
      </c>
      <c r="T82" s="96">
        <v>0</v>
      </c>
      <c r="U82" s="96">
        <v>0</v>
      </c>
      <c r="V82" s="96">
        <f>W82</f>
        <v>0</v>
      </c>
      <c r="W82" s="96">
        <v>0</v>
      </c>
      <c r="X82" s="96">
        <f>Y82</f>
        <v>0</v>
      </c>
      <c r="Y82" s="96">
        <v>0</v>
      </c>
      <c r="Z82" s="96"/>
      <c r="AA82" s="96">
        <f>AB82+AD82</f>
        <v>0</v>
      </c>
      <c r="AB82" s="96">
        <v>0</v>
      </c>
      <c r="AC82" s="96">
        <v>0</v>
      </c>
      <c r="AD82" s="96">
        <v>0</v>
      </c>
      <c r="AE82" s="96">
        <v>0</v>
      </c>
      <c r="AF82" s="96">
        <f>AG82+AH82+AI82</f>
        <v>0</v>
      </c>
      <c r="AG82" s="96"/>
      <c r="AH82" s="96"/>
      <c r="AI82" s="96">
        <v>0</v>
      </c>
      <c r="AJ82" s="96"/>
      <c r="AK82" s="96"/>
      <c r="AL82" s="96"/>
      <c r="AM82" s="268"/>
      <c r="AN82" s="96"/>
      <c r="AO82" s="96"/>
      <c r="AP82" s="405"/>
      <c r="AQ82" s="96"/>
    </row>
    <row r="83" spans="1:43" ht="14.25" hidden="1" customHeight="1" x14ac:dyDescent="0.25">
      <c r="A83" s="879"/>
      <c r="B83" s="1"/>
      <c r="C83" s="866"/>
      <c r="D83" s="866"/>
      <c r="E83" s="866"/>
      <c r="F83" s="866"/>
      <c r="G83" s="885"/>
      <c r="H83" s="885"/>
      <c r="I83" s="90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96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"/>
      <c r="AN83" s="47"/>
      <c r="AO83" s="47"/>
      <c r="AP83" s="397"/>
      <c r="AQ83" s="96"/>
    </row>
    <row r="84" spans="1:43" s="327" customFormat="1" ht="27" customHeight="1" x14ac:dyDescent="0.25">
      <c r="A84" s="787" t="s">
        <v>58</v>
      </c>
      <c r="B84" s="780" t="s">
        <v>87</v>
      </c>
      <c r="C84" s="1326"/>
      <c r="D84" s="1326"/>
      <c r="E84" s="1326"/>
      <c r="F84" s="1326"/>
      <c r="G84" s="890"/>
      <c r="H84" s="890"/>
      <c r="I84" s="1326" t="s">
        <v>20</v>
      </c>
      <c r="J84" s="3">
        <f t="shared" ref="J84:J89" si="60">L84</f>
        <v>20425.87</v>
      </c>
      <c r="K84" s="3"/>
      <c r="L84" s="3">
        <f>L85+L89</f>
        <v>20425.87</v>
      </c>
      <c r="M84" s="3">
        <f t="shared" ref="M84:AO84" si="61">M85+M89</f>
        <v>616.66</v>
      </c>
      <c r="N84" s="3">
        <f t="shared" si="61"/>
        <v>6665.55</v>
      </c>
      <c r="O84" s="3">
        <f t="shared" si="61"/>
        <v>4018.39</v>
      </c>
      <c r="P84" s="3">
        <f t="shared" si="61"/>
        <v>4809.3900000000003</v>
      </c>
      <c r="Q84" s="3">
        <f t="shared" si="61"/>
        <v>0</v>
      </c>
      <c r="R84" s="3">
        <f t="shared" si="61"/>
        <v>0</v>
      </c>
      <c r="S84" s="3">
        <f t="shared" si="61"/>
        <v>416.67</v>
      </c>
      <c r="T84" s="3">
        <f t="shared" si="61"/>
        <v>495.38399999999996</v>
      </c>
      <c r="U84" s="3">
        <f t="shared" si="61"/>
        <v>495.38399999999996</v>
      </c>
      <c r="V84" s="3">
        <f t="shared" si="61"/>
        <v>278.41000000000003</v>
      </c>
      <c r="W84" s="3">
        <f t="shared" si="61"/>
        <v>318.26600000000002</v>
      </c>
      <c r="X84" s="3">
        <f t="shared" si="61"/>
        <v>0</v>
      </c>
      <c r="Y84" s="3">
        <f t="shared" si="61"/>
        <v>0</v>
      </c>
      <c r="Z84" s="95">
        <v>0</v>
      </c>
      <c r="AA84" s="3">
        <f>AA85+AA89+AQ84</f>
        <v>0</v>
      </c>
      <c r="AB84" s="3">
        <f t="shared" si="61"/>
        <v>0</v>
      </c>
      <c r="AC84" s="3">
        <f t="shared" si="61"/>
        <v>907.08299999999997</v>
      </c>
      <c r="AD84" s="3">
        <f t="shared" si="61"/>
        <v>308.33300000000003</v>
      </c>
      <c r="AE84" s="3">
        <f t="shared" si="61"/>
        <v>0</v>
      </c>
      <c r="AF84" s="3">
        <f t="shared" si="61"/>
        <v>0</v>
      </c>
      <c r="AG84" s="3">
        <f t="shared" si="61"/>
        <v>0</v>
      </c>
      <c r="AH84" s="3">
        <f t="shared" si="61"/>
        <v>0</v>
      </c>
      <c r="AI84" s="3">
        <f t="shared" si="61"/>
        <v>0</v>
      </c>
      <c r="AJ84" s="3">
        <f t="shared" si="61"/>
        <v>0</v>
      </c>
      <c r="AK84" s="3">
        <f>P84-Q84</f>
        <v>4809.3900000000003</v>
      </c>
      <c r="AL84" s="3">
        <f>AK84</f>
        <v>4809.3900000000003</v>
      </c>
      <c r="AM84" s="318">
        <f>ROUND((Q84*100%/P84*100),2)</f>
        <v>0</v>
      </c>
      <c r="AN84" s="3">
        <f t="shared" si="61"/>
        <v>0</v>
      </c>
      <c r="AO84" s="3">
        <f t="shared" si="61"/>
        <v>0</v>
      </c>
      <c r="AP84" s="633" t="s">
        <v>243</v>
      </c>
      <c r="AQ84" s="95">
        <v>0</v>
      </c>
    </row>
    <row r="85" spans="1:43" ht="14.25" customHeight="1" x14ac:dyDescent="0.25">
      <c r="A85" s="44"/>
      <c r="B85" s="1" t="s">
        <v>15</v>
      </c>
      <c r="C85" s="1327"/>
      <c r="D85" s="1327"/>
      <c r="E85" s="1327"/>
      <c r="F85" s="1327"/>
      <c r="G85" s="885">
        <v>2020</v>
      </c>
      <c r="H85" s="885">
        <v>2020</v>
      </c>
      <c r="I85" s="1327"/>
      <c r="J85" s="47">
        <f t="shared" si="60"/>
        <v>7560.63</v>
      </c>
      <c r="K85" s="47"/>
      <c r="L85" s="47">
        <v>7560.63</v>
      </c>
      <c r="M85" s="47">
        <v>616.66</v>
      </c>
      <c r="N85" s="47">
        <v>6665.55</v>
      </c>
      <c r="O85" s="47">
        <v>0</v>
      </c>
      <c r="P85" s="47">
        <v>791.01</v>
      </c>
      <c r="Q85" s="47">
        <v>0</v>
      </c>
      <c r="R85" s="47">
        <f>R88+R86+R87</f>
        <v>0</v>
      </c>
      <c r="S85" s="47">
        <f>S88+S86+S87</f>
        <v>416.67</v>
      </c>
      <c r="T85" s="47">
        <f>T88+T86+T87</f>
        <v>495.38399999999996</v>
      </c>
      <c r="U85" s="47">
        <f>SUM(U86:U88)</f>
        <v>495.38399999999996</v>
      </c>
      <c r="V85" s="47">
        <f t="shared" ref="V85:AK85" si="62">V88+V86</f>
        <v>278.41000000000003</v>
      </c>
      <c r="W85" s="47">
        <f>W88+W86+W87</f>
        <v>318.26600000000002</v>
      </c>
      <c r="X85" s="47">
        <f t="shared" si="62"/>
        <v>0</v>
      </c>
      <c r="Y85" s="47">
        <f t="shared" si="62"/>
        <v>0</v>
      </c>
      <c r="Z85" s="96"/>
      <c r="AA85" s="47">
        <v>0</v>
      </c>
      <c r="AB85" s="47">
        <f t="shared" si="62"/>
        <v>0</v>
      </c>
      <c r="AC85" s="47">
        <f t="shared" si="62"/>
        <v>907.08299999999997</v>
      </c>
      <c r="AD85" s="47">
        <f t="shared" si="62"/>
        <v>308.33300000000003</v>
      </c>
      <c r="AE85" s="47">
        <f t="shared" si="62"/>
        <v>0</v>
      </c>
      <c r="AF85" s="47">
        <f t="shared" si="62"/>
        <v>0</v>
      </c>
      <c r="AG85" s="47">
        <f t="shared" si="62"/>
        <v>0</v>
      </c>
      <c r="AH85" s="47">
        <f t="shared" si="62"/>
        <v>0</v>
      </c>
      <c r="AI85" s="47">
        <f t="shared" si="62"/>
        <v>0</v>
      </c>
      <c r="AJ85" s="47">
        <f t="shared" si="62"/>
        <v>0</v>
      </c>
      <c r="AK85" s="47">
        <f t="shared" si="62"/>
        <v>0</v>
      </c>
      <c r="AL85" s="47">
        <v>0</v>
      </c>
      <c r="AM85" s="47">
        <v>0</v>
      </c>
      <c r="AN85" s="47">
        <v>0</v>
      </c>
      <c r="AO85" s="47">
        <v>0</v>
      </c>
      <c r="AP85" s="397"/>
      <c r="AQ85" s="96"/>
    </row>
    <row r="86" spans="1:43" s="266" customFormat="1" ht="19.5" hidden="1" customHeight="1" x14ac:dyDescent="0.25">
      <c r="A86" s="251"/>
      <c r="B86" s="102" t="s">
        <v>297</v>
      </c>
      <c r="C86" s="1327"/>
      <c r="D86" s="1327"/>
      <c r="E86" s="1327"/>
      <c r="F86" s="1327"/>
      <c r="G86" s="104"/>
      <c r="H86" s="104"/>
      <c r="I86" s="1327"/>
      <c r="J86" s="96"/>
      <c r="K86" s="96"/>
      <c r="L86" s="96"/>
      <c r="M86" s="96"/>
      <c r="N86" s="96"/>
      <c r="O86" s="96"/>
      <c r="P86" s="96"/>
      <c r="Q86" s="96">
        <f>S86+U86+Y86+W86</f>
        <v>1215.42</v>
      </c>
      <c r="R86" s="96"/>
      <c r="S86" s="96">
        <v>416.67</v>
      </c>
      <c r="T86" s="96">
        <f>U86</f>
        <v>490.41699999999997</v>
      </c>
      <c r="U86" s="96">
        <v>490.41699999999997</v>
      </c>
      <c r="V86" s="96">
        <v>278.41000000000003</v>
      </c>
      <c r="W86" s="96">
        <v>308.33300000000003</v>
      </c>
      <c r="X86" s="96"/>
      <c r="Y86" s="96"/>
      <c r="Z86" s="96"/>
      <c r="AA86" s="96">
        <f>AC86+AD86</f>
        <v>1215.4159999999999</v>
      </c>
      <c r="AB86" s="96"/>
      <c r="AC86" s="96">
        <v>907.08299999999997</v>
      </c>
      <c r="AD86" s="96">
        <v>308.33300000000003</v>
      </c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405"/>
      <c r="AQ86" s="96"/>
    </row>
    <row r="87" spans="1:43" s="266" customFormat="1" ht="19.5" hidden="1" customHeight="1" x14ac:dyDescent="0.25">
      <c r="A87" s="251"/>
      <c r="B87" s="102" t="s">
        <v>315</v>
      </c>
      <c r="C87" s="1327"/>
      <c r="D87" s="1327"/>
      <c r="E87" s="1327"/>
      <c r="F87" s="1327"/>
      <c r="G87" s="104"/>
      <c r="H87" s="104"/>
      <c r="I87" s="1327"/>
      <c r="J87" s="96"/>
      <c r="K87" s="96"/>
      <c r="L87" s="96"/>
      <c r="M87" s="96"/>
      <c r="N87" s="96"/>
      <c r="O87" s="96"/>
      <c r="P87" s="96"/>
      <c r="Q87" s="96">
        <f>U87+W87</f>
        <v>14.899999999999999</v>
      </c>
      <c r="R87" s="96"/>
      <c r="S87" s="96">
        <v>0</v>
      </c>
      <c r="T87" s="96">
        <f>U87</f>
        <v>4.9669999999999996</v>
      </c>
      <c r="U87" s="96">
        <v>4.9669999999999996</v>
      </c>
      <c r="V87" s="96"/>
      <c r="W87" s="96">
        <v>9.9329999999999998</v>
      </c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405"/>
      <c r="AQ87" s="96"/>
    </row>
    <row r="88" spans="1:43" s="266" customFormat="1" ht="16.5" hidden="1" customHeight="1" x14ac:dyDescent="0.25">
      <c r="A88" s="251"/>
      <c r="B88" s="102" t="s">
        <v>255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47">
        <v>0</v>
      </c>
      <c r="Q88" s="96">
        <f>S88+U88+Y88</f>
        <v>0</v>
      </c>
      <c r="R88" s="96">
        <f>S88</f>
        <v>0</v>
      </c>
      <c r="S88" s="96"/>
      <c r="T88" s="96"/>
      <c r="U88" s="96"/>
      <c r="V88" s="96"/>
      <c r="W88" s="96"/>
      <c r="X88" s="96"/>
      <c r="Y88" s="96">
        <v>0</v>
      </c>
      <c r="Z88" s="96"/>
      <c r="AA88" s="96">
        <f>AB88</f>
        <v>0</v>
      </c>
      <c r="AB88" s="96"/>
      <c r="AC88" s="96">
        <v>0</v>
      </c>
      <c r="AD88" s="96"/>
      <c r="AE88" s="96"/>
      <c r="AF88" s="96">
        <f>SUM(AG88:AG88)</f>
        <v>0</v>
      </c>
      <c r="AG88" s="96"/>
      <c r="AH88" s="96"/>
      <c r="AI88" s="96"/>
      <c r="AJ88" s="96"/>
      <c r="AK88" s="96">
        <v>0</v>
      </c>
      <c r="AL88" s="96">
        <v>0</v>
      </c>
      <c r="AM88" s="96">
        <v>0</v>
      </c>
      <c r="AN88" s="96">
        <v>0</v>
      </c>
      <c r="AO88" s="96">
        <v>0</v>
      </c>
      <c r="AP88" s="405"/>
      <c r="AQ88" s="96"/>
    </row>
    <row r="89" spans="1:43" ht="15.75" customHeight="1" x14ac:dyDescent="0.25">
      <c r="A89" s="44"/>
      <c r="B89" s="1" t="s">
        <v>16</v>
      </c>
      <c r="C89" s="1328"/>
      <c r="D89" s="1328"/>
      <c r="E89" s="1328"/>
      <c r="F89" s="1328"/>
      <c r="G89" s="885">
        <v>2020</v>
      </c>
      <c r="H89" s="885">
        <v>2020</v>
      </c>
      <c r="I89" s="1328"/>
      <c r="J89" s="47">
        <f t="shared" si="60"/>
        <v>12865.24</v>
      </c>
      <c r="K89" s="47"/>
      <c r="L89" s="47">
        <v>12865.24</v>
      </c>
      <c r="M89" s="47">
        <v>0</v>
      </c>
      <c r="N89" s="47">
        <v>0</v>
      </c>
      <c r="O89" s="47">
        <v>4018.39</v>
      </c>
      <c r="P89" s="47">
        <v>4018.38</v>
      </c>
      <c r="Q89" s="47">
        <v>0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47">
        <v>0</v>
      </c>
      <c r="X89" s="47">
        <v>0</v>
      </c>
      <c r="Y89" s="47">
        <v>0</v>
      </c>
      <c r="Z89" s="96"/>
      <c r="AA89" s="47">
        <v>0</v>
      </c>
      <c r="AB89" s="47">
        <v>0</v>
      </c>
      <c r="AC89" s="47">
        <v>0</v>
      </c>
      <c r="AD89" s="47">
        <v>0</v>
      </c>
      <c r="AE89" s="47">
        <v>0</v>
      </c>
      <c r="AF89" s="47">
        <v>0</v>
      </c>
      <c r="AG89" s="47">
        <v>0</v>
      </c>
      <c r="AH89" s="47">
        <v>0</v>
      </c>
      <c r="AI89" s="47">
        <v>0</v>
      </c>
      <c r="AJ89" s="47">
        <v>0</v>
      </c>
      <c r="AK89" s="47">
        <v>0</v>
      </c>
      <c r="AL89" s="47">
        <v>0</v>
      </c>
      <c r="AM89" s="47">
        <v>0</v>
      </c>
      <c r="AN89" s="47">
        <v>0</v>
      </c>
      <c r="AO89" s="47">
        <v>0</v>
      </c>
      <c r="AP89" s="397"/>
      <c r="AQ89" s="96"/>
    </row>
    <row r="90" spans="1:43" ht="44.25" hidden="1" customHeight="1" x14ac:dyDescent="0.25">
      <c r="A90" s="44" t="s">
        <v>59</v>
      </c>
      <c r="B90" s="1" t="s">
        <v>55</v>
      </c>
      <c r="C90" s="885"/>
      <c r="D90" s="885"/>
      <c r="E90" s="885"/>
      <c r="F90" s="885"/>
      <c r="G90" s="885">
        <v>2021</v>
      </c>
      <c r="H90" s="885"/>
      <c r="I90" s="868" t="s">
        <v>20</v>
      </c>
      <c r="J90" s="902">
        <v>313558.92</v>
      </c>
      <c r="K90" s="47"/>
      <c r="L90" s="47">
        <f>M90+N90+O90</f>
        <v>0</v>
      </c>
      <c r="M90" s="47">
        <v>0</v>
      </c>
      <c r="N90" s="47">
        <v>0</v>
      </c>
      <c r="O90" s="47">
        <v>0</v>
      </c>
      <c r="P90" s="47">
        <v>0</v>
      </c>
      <c r="Q90" s="47">
        <v>0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47">
        <v>0</v>
      </c>
      <c r="X90" s="47">
        <v>0</v>
      </c>
      <c r="Y90" s="47">
        <v>0</v>
      </c>
      <c r="Z90" s="96"/>
      <c r="AA90" s="47">
        <v>0</v>
      </c>
      <c r="AB90" s="47">
        <v>0</v>
      </c>
      <c r="AC90" s="47"/>
      <c r="AD90" s="47"/>
      <c r="AE90" s="47"/>
      <c r="AF90" s="47">
        <v>0</v>
      </c>
      <c r="AG90" s="47"/>
      <c r="AH90" s="47"/>
      <c r="AI90" s="47"/>
      <c r="AJ90" s="47"/>
      <c r="AK90" s="47">
        <f>P90-Q90</f>
        <v>0</v>
      </c>
      <c r="AL90" s="47">
        <f>AK90</f>
        <v>0</v>
      </c>
      <c r="AM90" s="4">
        <v>0</v>
      </c>
      <c r="AN90" s="47">
        <v>0</v>
      </c>
      <c r="AO90" s="47">
        <v>0</v>
      </c>
      <c r="AP90" s="397" t="s">
        <v>158</v>
      </c>
      <c r="AQ90" s="96"/>
    </row>
    <row r="91" spans="1:43" s="327" customFormat="1" ht="40.5" customHeight="1" x14ac:dyDescent="0.25">
      <c r="A91" s="1372" t="s">
        <v>278</v>
      </c>
      <c r="B91" s="772" t="s">
        <v>202</v>
      </c>
      <c r="C91" s="312"/>
      <c r="D91" s="312"/>
      <c r="E91" s="312"/>
      <c r="F91" s="312"/>
      <c r="G91" s="312"/>
      <c r="H91" s="871"/>
      <c r="I91" s="1326" t="s">
        <v>20</v>
      </c>
      <c r="J91" s="880"/>
      <c r="K91" s="3"/>
      <c r="L91" s="3">
        <f>L92</f>
        <v>4214.49</v>
      </c>
      <c r="M91" s="3">
        <f t="shared" ref="M91:AO92" si="63">M92</f>
        <v>0</v>
      </c>
      <c r="N91" s="3">
        <f t="shared" si="63"/>
        <v>3995.07</v>
      </c>
      <c r="O91" s="3">
        <f t="shared" si="63"/>
        <v>0</v>
      </c>
      <c r="P91" s="3">
        <v>0</v>
      </c>
      <c r="Q91" s="3">
        <v>0</v>
      </c>
      <c r="R91" s="3">
        <f t="shared" si="63"/>
        <v>0</v>
      </c>
      <c r="S91" s="3">
        <f t="shared" si="63"/>
        <v>0</v>
      </c>
      <c r="T91" s="3">
        <f t="shared" si="63"/>
        <v>219.42</v>
      </c>
      <c r="U91" s="3">
        <f t="shared" si="63"/>
        <v>537.85</v>
      </c>
      <c r="V91" s="3">
        <f t="shared" si="63"/>
        <v>0</v>
      </c>
      <c r="W91" s="3">
        <f t="shared" si="63"/>
        <v>0</v>
      </c>
      <c r="X91" s="3">
        <f t="shared" si="63"/>
        <v>0</v>
      </c>
      <c r="Y91" s="3">
        <f t="shared" si="63"/>
        <v>0</v>
      </c>
      <c r="Z91" s="95">
        <v>0</v>
      </c>
      <c r="AA91" s="3">
        <v>0</v>
      </c>
      <c r="AB91" s="3">
        <f t="shared" si="63"/>
        <v>0</v>
      </c>
      <c r="AC91" s="3">
        <f t="shared" si="63"/>
        <v>0</v>
      </c>
      <c r="AD91" s="3">
        <f t="shared" si="63"/>
        <v>537.85400000000004</v>
      </c>
      <c r="AE91" s="3">
        <f t="shared" si="63"/>
        <v>0</v>
      </c>
      <c r="AF91" s="3">
        <f t="shared" si="63"/>
        <v>0</v>
      </c>
      <c r="AG91" s="3">
        <f t="shared" si="63"/>
        <v>0</v>
      </c>
      <c r="AH91" s="3">
        <f t="shared" si="63"/>
        <v>0</v>
      </c>
      <c r="AI91" s="3">
        <f t="shared" si="63"/>
        <v>0</v>
      </c>
      <c r="AJ91" s="3">
        <f t="shared" si="63"/>
        <v>0</v>
      </c>
      <c r="AK91" s="3">
        <f t="shared" si="63"/>
        <v>0</v>
      </c>
      <c r="AL91" s="3">
        <f t="shared" si="63"/>
        <v>0</v>
      </c>
      <c r="AM91" s="3">
        <f t="shared" si="63"/>
        <v>0</v>
      </c>
      <c r="AN91" s="3">
        <f t="shared" si="63"/>
        <v>0</v>
      </c>
      <c r="AO91" s="3">
        <f t="shared" si="63"/>
        <v>0</v>
      </c>
      <c r="AP91" s="633" t="s">
        <v>244</v>
      </c>
      <c r="AQ91" s="95">
        <v>0</v>
      </c>
    </row>
    <row r="92" spans="1:43" ht="17.25" hidden="1" customHeight="1" x14ac:dyDescent="0.25">
      <c r="A92" s="1638"/>
      <c r="B92" s="42" t="s">
        <v>203</v>
      </c>
      <c r="C92" s="313"/>
      <c r="D92" s="313"/>
      <c r="E92" s="313"/>
      <c r="F92" s="313"/>
      <c r="G92" s="313"/>
      <c r="H92" s="916"/>
      <c r="I92" s="1639"/>
      <c r="J92" s="902"/>
      <c r="K92" s="47"/>
      <c r="L92" s="47">
        <v>4214.49</v>
      </c>
      <c r="M92" s="47">
        <v>0</v>
      </c>
      <c r="N92" s="47">
        <v>3995.07</v>
      </c>
      <c r="O92" s="47">
        <v>0</v>
      </c>
      <c r="P92" s="47">
        <v>219.42</v>
      </c>
      <c r="Q92" s="47">
        <f>Q93</f>
        <v>537.85</v>
      </c>
      <c r="R92" s="47">
        <f t="shared" si="63"/>
        <v>0</v>
      </c>
      <c r="S92" s="47">
        <f t="shared" si="63"/>
        <v>0</v>
      </c>
      <c r="T92" s="47">
        <f t="shared" si="63"/>
        <v>219.42</v>
      </c>
      <c r="U92" s="47">
        <f t="shared" si="63"/>
        <v>537.85</v>
      </c>
      <c r="V92" s="47">
        <f t="shared" si="63"/>
        <v>0</v>
      </c>
      <c r="W92" s="47">
        <f t="shared" si="63"/>
        <v>0</v>
      </c>
      <c r="X92" s="47">
        <f t="shared" si="63"/>
        <v>0</v>
      </c>
      <c r="Y92" s="47">
        <f t="shared" si="63"/>
        <v>0</v>
      </c>
      <c r="Z92" s="96"/>
      <c r="AA92" s="47">
        <f t="shared" si="63"/>
        <v>537.85400000000004</v>
      </c>
      <c r="AB92" s="47">
        <f t="shared" si="63"/>
        <v>0</v>
      </c>
      <c r="AC92" s="47">
        <f t="shared" si="63"/>
        <v>0</v>
      </c>
      <c r="AD92" s="47">
        <f t="shared" si="63"/>
        <v>537.85400000000004</v>
      </c>
      <c r="AE92" s="47">
        <f t="shared" si="63"/>
        <v>0</v>
      </c>
      <c r="AF92" s="47">
        <v>0</v>
      </c>
      <c r="AG92" s="47">
        <v>0</v>
      </c>
      <c r="AH92" s="47">
        <v>0</v>
      </c>
      <c r="AI92" s="47">
        <v>0</v>
      </c>
      <c r="AJ92" s="47">
        <v>0</v>
      </c>
      <c r="AK92" s="47">
        <v>0</v>
      </c>
      <c r="AL92" s="47">
        <v>0</v>
      </c>
      <c r="AM92" s="47">
        <v>0</v>
      </c>
      <c r="AN92" s="47">
        <v>0</v>
      </c>
      <c r="AO92" s="47">
        <v>0</v>
      </c>
      <c r="AP92" s="397"/>
      <c r="AQ92" s="96"/>
    </row>
    <row r="93" spans="1:43" s="266" customFormat="1" ht="28.5" hidden="1" customHeight="1" x14ac:dyDescent="0.25">
      <c r="A93" s="1639"/>
      <c r="B93" s="252" t="s">
        <v>267</v>
      </c>
      <c r="C93" s="363"/>
      <c r="D93" s="363"/>
      <c r="E93" s="363"/>
      <c r="F93" s="363"/>
      <c r="G93" s="363"/>
      <c r="H93" s="364"/>
      <c r="I93" s="539"/>
      <c r="J93" s="258"/>
      <c r="K93" s="96"/>
      <c r="L93" s="96"/>
      <c r="M93" s="96"/>
      <c r="N93" s="96"/>
      <c r="O93" s="96"/>
      <c r="P93" s="96"/>
      <c r="Q93" s="96">
        <f>S93+U93</f>
        <v>537.85</v>
      </c>
      <c r="R93" s="96"/>
      <c r="S93" s="96"/>
      <c r="T93" s="96">
        <v>219.42</v>
      </c>
      <c r="U93" s="96">
        <f>ROUND((645.425/1.2),2)</f>
        <v>537.85</v>
      </c>
      <c r="V93" s="96"/>
      <c r="W93" s="96"/>
      <c r="X93" s="96"/>
      <c r="Y93" s="96"/>
      <c r="Z93" s="96"/>
      <c r="AA93" s="96">
        <f>AD93</f>
        <v>537.85400000000004</v>
      </c>
      <c r="AB93" s="96"/>
      <c r="AC93" s="96"/>
      <c r="AD93" s="96">
        <v>537.85400000000004</v>
      </c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405"/>
      <c r="AQ93" s="96"/>
    </row>
    <row r="94" spans="1:43" s="327" customFormat="1" ht="42.75" customHeight="1" x14ac:dyDescent="0.25">
      <c r="A94" s="1372" t="s">
        <v>279</v>
      </c>
      <c r="B94" s="772" t="s">
        <v>204</v>
      </c>
      <c r="C94" s="312"/>
      <c r="D94" s="312"/>
      <c r="E94" s="312"/>
      <c r="F94" s="312"/>
      <c r="G94" s="312"/>
      <c r="H94" s="871"/>
      <c r="I94" s="1326" t="s">
        <v>20</v>
      </c>
      <c r="J94" s="880"/>
      <c r="K94" s="3"/>
      <c r="L94" s="3">
        <f>L95</f>
        <v>3214.56</v>
      </c>
      <c r="M94" s="3">
        <f t="shared" ref="M94:AO95" si="64">M95</f>
        <v>0</v>
      </c>
      <c r="N94" s="3">
        <f t="shared" si="64"/>
        <v>2956.68</v>
      </c>
      <c r="O94" s="3">
        <f t="shared" si="64"/>
        <v>0</v>
      </c>
      <c r="P94" s="3">
        <v>0</v>
      </c>
      <c r="Q94" s="3">
        <v>0</v>
      </c>
      <c r="R94" s="3">
        <f t="shared" si="64"/>
        <v>0</v>
      </c>
      <c r="S94" s="3">
        <f t="shared" si="64"/>
        <v>0</v>
      </c>
      <c r="T94" s="3">
        <f t="shared" si="64"/>
        <v>0</v>
      </c>
      <c r="U94" s="3">
        <f t="shared" si="64"/>
        <v>409.15</v>
      </c>
      <c r="V94" s="3">
        <f t="shared" si="64"/>
        <v>0</v>
      </c>
      <c r="W94" s="3">
        <f t="shared" si="64"/>
        <v>0</v>
      </c>
      <c r="X94" s="3">
        <f t="shared" si="64"/>
        <v>0</v>
      </c>
      <c r="Y94" s="3">
        <f t="shared" si="64"/>
        <v>0</v>
      </c>
      <c r="Z94" s="95">
        <v>0</v>
      </c>
      <c r="AA94" s="3">
        <v>0</v>
      </c>
      <c r="AB94" s="3">
        <f t="shared" si="64"/>
        <v>0</v>
      </c>
      <c r="AC94" s="3">
        <f t="shared" si="64"/>
        <v>0</v>
      </c>
      <c r="AD94" s="3">
        <f t="shared" si="64"/>
        <v>409.14699999999999</v>
      </c>
      <c r="AE94" s="3">
        <f t="shared" si="64"/>
        <v>0</v>
      </c>
      <c r="AF94" s="3">
        <f>AF95</f>
        <v>0</v>
      </c>
      <c r="AG94" s="3">
        <f t="shared" si="64"/>
        <v>0</v>
      </c>
      <c r="AH94" s="3">
        <f t="shared" si="64"/>
        <v>0</v>
      </c>
      <c r="AI94" s="3">
        <f t="shared" si="64"/>
        <v>0</v>
      </c>
      <c r="AJ94" s="3">
        <f t="shared" si="64"/>
        <v>0</v>
      </c>
      <c r="AK94" s="3">
        <f t="shared" si="64"/>
        <v>0</v>
      </c>
      <c r="AL94" s="3">
        <f t="shared" si="64"/>
        <v>0</v>
      </c>
      <c r="AM94" s="3">
        <f t="shared" si="64"/>
        <v>0</v>
      </c>
      <c r="AN94" s="3">
        <f t="shared" si="64"/>
        <v>0</v>
      </c>
      <c r="AO94" s="3">
        <f t="shared" si="64"/>
        <v>0</v>
      </c>
      <c r="AP94" s="633" t="s">
        <v>244</v>
      </c>
      <c r="AQ94" s="95">
        <v>0</v>
      </c>
    </row>
    <row r="95" spans="1:43" ht="17.25" hidden="1" customHeight="1" x14ac:dyDescent="0.25">
      <c r="A95" s="1382"/>
      <c r="B95" s="42" t="s">
        <v>203</v>
      </c>
      <c r="C95" s="313"/>
      <c r="D95" s="313"/>
      <c r="E95" s="313"/>
      <c r="F95" s="313"/>
      <c r="G95" s="313"/>
      <c r="H95" s="916"/>
      <c r="I95" s="1639"/>
      <c r="J95" s="902"/>
      <c r="K95" s="47"/>
      <c r="L95" s="47">
        <v>3214.56</v>
      </c>
      <c r="M95" s="47">
        <v>0</v>
      </c>
      <c r="N95" s="47">
        <v>2956.68</v>
      </c>
      <c r="O95" s="47">
        <v>0</v>
      </c>
      <c r="P95" s="47">
        <v>257.88</v>
      </c>
      <c r="Q95" s="47">
        <f>Q96</f>
        <v>409.15</v>
      </c>
      <c r="R95" s="47">
        <f t="shared" si="64"/>
        <v>0</v>
      </c>
      <c r="S95" s="47">
        <f t="shared" si="64"/>
        <v>0</v>
      </c>
      <c r="T95" s="47">
        <f t="shared" si="64"/>
        <v>0</v>
      </c>
      <c r="U95" s="47">
        <f t="shared" si="64"/>
        <v>409.15</v>
      </c>
      <c r="V95" s="47">
        <f t="shared" si="64"/>
        <v>0</v>
      </c>
      <c r="W95" s="47">
        <f t="shared" si="64"/>
        <v>0</v>
      </c>
      <c r="X95" s="47">
        <f t="shared" si="64"/>
        <v>0</v>
      </c>
      <c r="Y95" s="47">
        <f t="shared" si="64"/>
        <v>0</v>
      </c>
      <c r="Z95" s="96"/>
      <c r="AA95" s="47">
        <f t="shared" si="64"/>
        <v>409.14699999999999</v>
      </c>
      <c r="AB95" s="47">
        <f t="shared" si="64"/>
        <v>0</v>
      </c>
      <c r="AC95" s="47">
        <f t="shared" si="64"/>
        <v>0</v>
      </c>
      <c r="AD95" s="47">
        <f t="shared" si="64"/>
        <v>409.14699999999999</v>
      </c>
      <c r="AE95" s="47">
        <v>0</v>
      </c>
      <c r="AF95" s="47">
        <v>0</v>
      </c>
      <c r="AG95" s="47">
        <v>0</v>
      </c>
      <c r="AH95" s="47">
        <v>0</v>
      </c>
      <c r="AI95" s="47">
        <v>0</v>
      </c>
      <c r="AJ95" s="47">
        <v>0</v>
      </c>
      <c r="AK95" s="47">
        <v>0</v>
      </c>
      <c r="AL95" s="47">
        <v>0</v>
      </c>
      <c r="AM95" s="47">
        <v>0</v>
      </c>
      <c r="AN95" s="47">
        <v>0</v>
      </c>
      <c r="AO95" s="47">
        <v>0</v>
      </c>
      <c r="AP95" s="397"/>
      <c r="AQ95" s="96"/>
    </row>
    <row r="96" spans="1:43" s="266" customFormat="1" ht="27.75" hidden="1" customHeight="1" x14ac:dyDescent="0.25">
      <c r="A96" s="1639"/>
      <c r="B96" s="252" t="s">
        <v>267</v>
      </c>
      <c r="C96" s="363"/>
      <c r="D96" s="363"/>
      <c r="E96" s="363"/>
      <c r="F96" s="363"/>
      <c r="G96" s="363"/>
      <c r="H96" s="364"/>
      <c r="I96" s="539"/>
      <c r="J96" s="258"/>
      <c r="K96" s="96"/>
      <c r="L96" s="96"/>
      <c r="M96" s="96"/>
      <c r="N96" s="96"/>
      <c r="O96" s="96"/>
      <c r="P96" s="96"/>
      <c r="Q96" s="96">
        <f>S96+U96</f>
        <v>409.15</v>
      </c>
      <c r="R96" s="96"/>
      <c r="S96" s="96"/>
      <c r="T96" s="96"/>
      <c r="U96" s="96">
        <f>ROUND((490.979/1.2),2)</f>
        <v>409.15</v>
      </c>
      <c r="V96" s="96"/>
      <c r="W96" s="96"/>
      <c r="X96" s="96"/>
      <c r="Y96" s="96"/>
      <c r="Z96" s="96"/>
      <c r="AA96" s="96">
        <f>AD96</f>
        <v>409.14699999999999</v>
      </c>
      <c r="AB96" s="96"/>
      <c r="AC96" s="96"/>
      <c r="AD96" s="96">
        <v>409.14699999999999</v>
      </c>
      <c r="AE96" s="96"/>
      <c r="AF96" s="96"/>
      <c r="AG96" s="96"/>
      <c r="AH96" s="96"/>
      <c r="AI96" s="96"/>
      <c r="AJ96" s="96"/>
      <c r="AK96" s="96"/>
      <c r="AL96" s="96"/>
      <c r="AM96" s="268"/>
      <c r="AN96" s="96"/>
      <c r="AO96" s="96"/>
      <c r="AP96" s="405"/>
      <c r="AQ96" s="96"/>
    </row>
    <row r="97" spans="1:43" s="327" customFormat="1" ht="41.25" customHeight="1" x14ac:dyDescent="0.25">
      <c r="A97" s="1372" t="s">
        <v>159</v>
      </c>
      <c r="B97" s="772" t="s">
        <v>326</v>
      </c>
      <c r="C97" s="312"/>
      <c r="D97" s="312"/>
      <c r="E97" s="312"/>
      <c r="F97" s="312"/>
      <c r="G97" s="312"/>
      <c r="H97" s="871"/>
      <c r="I97" s="1326" t="s">
        <v>20</v>
      </c>
      <c r="J97" s="880"/>
      <c r="K97" s="3"/>
      <c r="L97" s="3">
        <f>L98</f>
        <v>372.9</v>
      </c>
      <c r="M97" s="3">
        <f>M98</f>
        <v>0</v>
      </c>
      <c r="N97" s="3">
        <f t="shared" ref="N97:AO98" si="65">N98</f>
        <v>372.9</v>
      </c>
      <c r="O97" s="3">
        <f t="shared" si="65"/>
        <v>0</v>
      </c>
      <c r="P97" s="3">
        <f t="shared" si="65"/>
        <v>0</v>
      </c>
      <c r="Q97" s="3">
        <f t="shared" si="65"/>
        <v>0</v>
      </c>
      <c r="R97" s="3">
        <f t="shared" si="65"/>
        <v>0</v>
      </c>
      <c r="S97" s="3">
        <f t="shared" si="65"/>
        <v>0</v>
      </c>
      <c r="T97" s="3">
        <f t="shared" si="65"/>
        <v>0</v>
      </c>
      <c r="U97" s="3">
        <f t="shared" si="65"/>
        <v>0</v>
      </c>
      <c r="V97" s="3">
        <f t="shared" si="65"/>
        <v>0</v>
      </c>
      <c r="W97" s="3">
        <f t="shared" si="65"/>
        <v>0</v>
      </c>
      <c r="X97" s="3">
        <f t="shared" si="65"/>
        <v>0</v>
      </c>
      <c r="Y97" s="3">
        <f t="shared" si="65"/>
        <v>0</v>
      </c>
      <c r="Z97" s="95">
        <v>0</v>
      </c>
      <c r="AA97" s="3">
        <f t="shared" si="65"/>
        <v>0</v>
      </c>
      <c r="AB97" s="3">
        <f t="shared" si="65"/>
        <v>0</v>
      </c>
      <c r="AC97" s="3">
        <f t="shared" si="65"/>
        <v>0</v>
      </c>
      <c r="AD97" s="3">
        <f t="shared" si="65"/>
        <v>0</v>
      </c>
      <c r="AE97" s="3">
        <f t="shared" si="65"/>
        <v>0</v>
      </c>
      <c r="AF97" s="3">
        <f t="shared" si="65"/>
        <v>0</v>
      </c>
      <c r="AG97" s="3">
        <f t="shared" si="65"/>
        <v>0</v>
      </c>
      <c r="AH97" s="3">
        <f t="shared" si="65"/>
        <v>0</v>
      </c>
      <c r="AI97" s="3">
        <f t="shared" si="65"/>
        <v>0</v>
      </c>
      <c r="AJ97" s="3">
        <f t="shared" si="65"/>
        <v>0</v>
      </c>
      <c r="AK97" s="3">
        <f>P97-Q97</f>
        <v>0</v>
      </c>
      <c r="AL97" s="3">
        <f t="shared" si="65"/>
        <v>0</v>
      </c>
      <c r="AM97" s="318">
        <v>0</v>
      </c>
      <c r="AN97" s="3">
        <f t="shared" si="65"/>
        <v>0</v>
      </c>
      <c r="AO97" s="3">
        <f t="shared" si="65"/>
        <v>0</v>
      </c>
      <c r="AP97" s="633" t="s">
        <v>274</v>
      </c>
      <c r="AQ97" s="95">
        <v>0</v>
      </c>
    </row>
    <row r="98" spans="1:43" ht="17.25" hidden="1" customHeight="1" x14ac:dyDescent="0.25">
      <c r="A98" s="1383"/>
      <c r="B98" s="42" t="s">
        <v>203</v>
      </c>
      <c r="C98" s="313"/>
      <c r="D98" s="313"/>
      <c r="E98" s="313"/>
      <c r="F98" s="313"/>
      <c r="G98" s="313"/>
      <c r="H98" s="916"/>
      <c r="I98" s="1639"/>
      <c r="J98" s="902"/>
      <c r="K98" s="47"/>
      <c r="L98" s="47">
        <v>372.9</v>
      </c>
      <c r="M98" s="47">
        <v>0</v>
      </c>
      <c r="N98" s="47">
        <v>372.9</v>
      </c>
      <c r="O98" s="47">
        <v>0</v>
      </c>
      <c r="P98" s="47">
        <v>0</v>
      </c>
      <c r="Q98" s="47">
        <f>Q99</f>
        <v>0</v>
      </c>
      <c r="R98" s="47">
        <f t="shared" si="65"/>
        <v>0</v>
      </c>
      <c r="S98" s="47">
        <f t="shared" si="65"/>
        <v>0</v>
      </c>
      <c r="T98" s="47">
        <f t="shared" si="65"/>
        <v>0</v>
      </c>
      <c r="U98" s="47">
        <f t="shared" si="65"/>
        <v>0</v>
      </c>
      <c r="V98" s="47">
        <f t="shared" si="65"/>
        <v>0</v>
      </c>
      <c r="W98" s="47">
        <f t="shared" si="65"/>
        <v>0</v>
      </c>
      <c r="X98" s="47">
        <f t="shared" si="65"/>
        <v>0</v>
      </c>
      <c r="Y98" s="47">
        <f t="shared" si="65"/>
        <v>0</v>
      </c>
      <c r="Z98" s="96"/>
      <c r="AA98" s="47">
        <f t="shared" si="65"/>
        <v>0</v>
      </c>
      <c r="AB98" s="47">
        <f t="shared" si="65"/>
        <v>0</v>
      </c>
      <c r="AC98" s="47">
        <f t="shared" si="65"/>
        <v>0</v>
      </c>
      <c r="AD98" s="47">
        <f t="shared" si="65"/>
        <v>0</v>
      </c>
      <c r="AE98" s="47">
        <f t="shared" si="65"/>
        <v>0</v>
      </c>
      <c r="AF98" s="47">
        <f>AF99</f>
        <v>0</v>
      </c>
      <c r="AG98" s="47">
        <f t="shared" si="65"/>
        <v>0</v>
      </c>
      <c r="AH98" s="47">
        <f t="shared" si="65"/>
        <v>0</v>
      </c>
      <c r="AI98" s="47">
        <f t="shared" si="65"/>
        <v>0</v>
      </c>
      <c r="AJ98" s="47">
        <f t="shared" si="65"/>
        <v>0</v>
      </c>
      <c r="AK98" s="47">
        <v>0</v>
      </c>
      <c r="AL98" s="47">
        <v>0</v>
      </c>
      <c r="AM98" s="47">
        <v>0</v>
      </c>
      <c r="AN98" s="47">
        <v>0</v>
      </c>
      <c r="AO98" s="47">
        <v>0</v>
      </c>
      <c r="AP98" s="397"/>
      <c r="AQ98" s="96"/>
    </row>
    <row r="99" spans="1:43" s="266" customFormat="1" ht="17.25" hidden="1" customHeight="1" x14ac:dyDescent="0.25">
      <c r="A99" s="362"/>
      <c r="B99" s="252" t="s">
        <v>224</v>
      </c>
      <c r="C99" s="363"/>
      <c r="D99" s="363"/>
      <c r="E99" s="363"/>
      <c r="F99" s="363"/>
      <c r="G99" s="363"/>
      <c r="H99" s="364"/>
      <c r="I99" s="539"/>
      <c r="J99" s="258"/>
      <c r="K99" s="96"/>
      <c r="L99" s="96"/>
      <c r="M99" s="96"/>
      <c r="N99" s="96"/>
      <c r="O99" s="96"/>
      <c r="P99" s="47"/>
      <c r="Q99" s="96">
        <f>Y99</f>
        <v>0</v>
      </c>
      <c r="R99" s="96"/>
      <c r="S99" s="96"/>
      <c r="T99" s="96"/>
      <c r="U99" s="96"/>
      <c r="V99" s="96"/>
      <c r="W99" s="96"/>
      <c r="X99" s="96">
        <v>0</v>
      </c>
      <c r="Y99" s="96">
        <v>0</v>
      </c>
      <c r="Z99" s="96"/>
      <c r="AA99" s="96">
        <v>0</v>
      </c>
      <c r="AB99" s="96">
        <v>0</v>
      </c>
      <c r="AC99" s="96"/>
      <c r="AD99" s="96"/>
      <c r="AE99" s="96"/>
      <c r="AF99" s="96">
        <f>SUM(AG99:AG99)</f>
        <v>0</v>
      </c>
      <c r="AG99" s="96"/>
      <c r="AH99" s="96"/>
      <c r="AI99" s="96"/>
      <c r="AJ99" s="96"/>
      <c r="AK99" s="96"/>
      <c r="AL99" s="96"/>
      <c r="AM99" s="96"/>
      <c r="AN99" s="96"/>
      <c r="AO99" s="96"/>
      <c r="AP99" s="405"/>
      <c r="AQ99" s="96"/>
    </row>
    <row r="100" spans="1:43" s="327" customFormat="1" ht="41.25" customHeight="1" x14ac:dyDescent="0.25">
      <c r="A100" s="1372" t="s">
        <v>160</v>
      </c>
      <c r="B100" s="772" t="s">
        <v>163</v>
      </c>
      <c r="C100" s="312"/>
      <c r="D100" s="312"/>
      <c r="E100" s="312"/>
      <c r="F100" s="312"/>
      <c r="G100" s="312"/>
      <c r="H100" s="871"/>
      <c r="I100" s="1326" t="s">
        <v>20</v>
      </c>
      <c r="J100" s="880"/>
      <c r="K100" s="3"/>
      <c r="L100" s="3">
        <f>L101+L105</f>
        <v>5513.9</v>
      </c>
      <c r="M100" s="3">
        <f t="shared" ref="M100:AO100" si="66">M101+M105</f>
        <v>297.18</v>
      </c>
      <c r="N100" s="3">
        <f t="shared" si="66"/>
        <v>1639.84</v>
      </c>
      <c r="O100" s="3">
        <f t="shared" si="66"/>
        <v>0</v>
      </c>
      <c r="P100" s="3">
        <f t="shared" si="66"/>
        <v>0</v>
      </c>
      <c r="Q100" s="3">
        <f t="shared" si="66"/>
        <v>0</v>
      </c>
      <c r="R100" s="3">
        <f t="shared" si="66"/>
        <v>0</v>
      </c>
      <c r="S100" s="3">
        <f t="shared" si="66"/>
        <v>0</v>
      </c>
      <c r="T100" s="3">
        <f t="shared" si="66"/>
        <v>0</v>
      </c>
      <c r="U100" s="3">
        <f t="shared" si="66"/>
        <v>0</v>
      </c>
      <c r="V100" s="3">
        <f t="shared" si="66"/>
        <v>0</v>
      </c>
      <c r="W100" s="3">
        <f t="shared" si="66"/>
        <v>0</v>
      </c>
      <c r="X100" s="3">
        <f t="shared" si="66"/>
        <v>0</v>
      </c>
      <c r="Y100" s="3">
        <f t="shared" si="66"/>
        <v>0</v>
      </c>
      <c r="Z100" s="95">
        <v>0</v>
      </c>
      <c r="AA100" s="3">
        <f t="shared" si="66"/>
        <v>0</v>
      </c>
      <c r="AB100" s="3">
        <f t="shared" si="66"/>
        <v>0</v>
      </c>
      <c r="AC100" s="3">
        <f t="shared" si="66"/>
        <v>0</v>
      </c>
      <c r="AD100" s="3">
        <f t="shared" si="66"/>
        <v>0</v>
      </c>
      <c r="AE100" s="3">
        <f t="shared" si="66"/>
        <v>0</v>
      </c>
      <c r="AF100" s="3">
        <f t="shared" si="66"/>
        <v>0</v>
      </c>
      <c r="AG100" s="3">
        <f t="shared" si="66"/>
        <v>0</v>
      </c>
      <c r="AH100" s="3">
        <f>AH101+AH105</f>
        <v>0</v>
      </c>
      <c r="AI100" s="3">
        <f>AI101+AI105</f>
        <v>0</v>
      </c>
      <c r="AJ100" s="3">
        <f>AJ101+AJ105</f>
        <v>0</v>
      </c>
      <c r="AK100" s="3">
        <f>P100-Q100</f>
        <v>0</v>
      </c>
      <c r="AL100" s="3">
        <f t="shared" si="66"/>
        <v>0</v>
      </c>
      <c r="AM100" s="318">
        <v>0</v>
      </c>
      <c r="AN100" s="3">
        <f t="shared" si="66"/>
        <v>0</v>
      </c>
      <c r="AO100" s="3">
        <f t="shared" si="66"/>
        <v>0</v>
      </c>
      <c r="AP100" s="633" t="s">
        <v>256</v>
      </c>
      <c r="AQ100" s="95">
        <v>0</v>
      </c>
    </row>
    <row r="101" spans="1:43" ht="17.25" hidden="1" customHeight="1" x14ac:dyDescent="0.25">
      <c r="A101" s="1382"/>
      <c r="B101" s="42" t="s">
        <v>15</v>
      </c>
      <c r="C101" s="313"/>
      <c r="D101" s="313"/>
      <c r="E101" s="313"/>
      <c r="F101" s="313"/>
      <c r="G101" s="313"/>
      <c r="H101" s="916"/>
      <c r="I101" s="1638"/>
      <c r="J101" s="902"/>
      <c r="K101" s="47"/>
      <c r="L101" s="47">
        <v>594.36</v>
      </c>
      <c r="M101" s="47">
        <v>297.18</v>
      </c>
      <c r="N101" s="47">
        <v>0</v>
      </c>
      <c r="O101" s="47">
        <v>0</v>
      </c>
      <c r="P101" s="47">
        <f>N101</f>
        <v>0</v>
      </c>
      <c r="Q101" s="47">
        <f>SUM(Q102:Q104)</f>
        <v>0</v>
      </c>
      <c r="R101" s="47">
        <f t="shared" ref="R101:AJ101" si="67">SUM(R102:R104)</f>
        <v>0</v>
      </c>
      <c r="S101" s="47">
        <f>SUM(S102:S104)</f>
        <v>0</v>
      </c>
      <c r="T101" s="47">
        <f t="shared" si="67"/>
        <v>0</v>
      </c>
      <c r="U101" s="47">
        <f t="shared" si="67"/>
        <v>0</v>
      </c>
      <c r="V101" s="47">
        <f t="shared" si="67"/>
        <v>0</v>
      </c>
      <c r="W101" s="47">
        <f t="shared" si="67"/>
        <v>0</v>
      </c>
      <c r="X101" s="47">
        <v>0</v>
      </c>
      <c r="Y101" s="47">
        <f t="shared" si="67"/>
        <v>0</v>
      </c>
      <c r="Z101" s="96"/>
      <c r="AA101" s="47">
        <f t="shared" si="67"/>
        <v>0</v>
      </c>
      <c r="AB101" s="47">
        <f t="shared" si="67"/>
        <v>0</v>
      </c>
      <c r="AC101" s="47">
        <f t="shared" si="67"/>
        <v>0</v>
      </c>
      <c r="AD101" s="47">
        <f t="shared" si="67"/>
        <v>0</v>
      </c>
      <c r="AE101" s="47">
        <f t="shared" si="67"/>
        <v>0</v>
      </c>
      <c r="AF101" s="47">
        <f>SUM(AF102:AF104)</f>
        <v>0</v>
      </c>
      <c r="AG101" s="47">
        <f t="shared" si="67"/>
        <v>0</v>
      </c>
      <c r="AH101" s="47">
        <f t="shared" si="67"/>
        <v>0</v>
      </c>
      <c r="AI101" s="47">
        <f t="shared" si="67"/>
        <v>0</v>
      </c>
      <c r="AJ101" s="47">
        <f t="shared" si="67"/>
        <v>0</v>
      </c>
      <c r="AK101" s="47">
        <v>0</v>
      </c>
      <c r="AL101" s="47">
        <v>0</v>
      </c>
      <c r="AM101" s="47">
        <v>0</v>
      </c>
      <c r="AN101" s="47">
        <v>0</v>
      </c>
      <c r="AO101" s="47">
        <v>0</v>
      </c>
      <c r="AP101" s="397">
        <v>159.434</v>
      </c>
      <c r="AQ101" s="96"/>
    </row>
    <row r="102" spans="1:43" s="266" customFormat="1" ht="17.25" hidden="1" customHeight="1" x14ac:dyDescent="0.25">
      <c r="A102" s="1382"/>
      <c r="B102" s="252" t="s">
        <v>225</v>
      </c>
      <c r="C102" s="363"/>
      <c r="D102" s="363"/>
      <c r="E102" s="363"/>
      <c r="F102" s="363"/>
      <c r="G102" s="363"/>
      <c r="H102" s="364"/>
      <c r="I102" s="1638"/>
      <c r="J102" s="258"/>
      <c r="K102" s="96"/>
      <c r="L102" s="96"/>
      <c r="M102" s="96"/>
      <c r="N102" s="96"/>
      <c r="O102" s="96"/>
      <c r="P102" s="47"/>
      <c r="Q102" s="96">
        <f>Y102</f>
        <v>0</v>
      </c>
      <c r="R102" s="96"/>
      <c r="S102" s="96"/>
      <c r="T102" s="96"/>
      <c r="U102" s="96"/>
      <c r="V102" s="96"/>
      <c r="W102" s="96"/>
      <c r="X102" s="96">
        <v>0</v>
      </c>
      <c r="Y102" s="96">
        <v>0</v>
      </c>
      <c r="Z102" s="96"/>
      <c r="AA102" s="96">
        <v>0</v>
      </c>
      <c r="AB102" s="96">
        <v>0</v>
      </c>
      <c r="AC102" s="96"/>
      <c r="AD102" s="96"/>
      <c r="AE102" s="96"/>
      <c r="AF102" s="96">
        <f>SUM(AG102:AG102)</f>
        <v>0</v>
      </c>
      <c r="AG102" s="96"/>
      <c r="AH102" s="96"/>
      <c r="AI102" s="96"/>
      <c r="AJ102" s="96"/>
      <c r="AK102" s="96"/>
      <c r="AL102" s="96"/>
      <c r="AM102" s="96"/>
      <c r="AN102" s="96"/>
      <c r="AO102" s="96"/>
      <c r="AP102" s="405"/>
      <c r="AQ102" s="96"/>
    </row>
    <row r="103" spans="1:43" s="266" customFormat="1" ht="17.25" hidden="1" customHeight="1" x14ac:dyDescent="0.25">
      <c r="A103" s="1382"/>
      <c r="B103" s="252" t="s">
        <v>226</v>
      </c>
      <c r="C103" s="363"/>
      <c r="D103" s="363"/>
      <c r="E103" s="363"/>
      <c r="F103" s="363"/>
      <c r="G103" s="363"/>
      <c r="H103" s="364"/>
      <c r="I103" s="1638"/>
      <c r="J103" s="258"/>
      <c r="K103" s="96"/>
      <c r="L103" s="96"/>
      <c r="M103" s="96"/>
      <c r="N103" s="96"/>
      <c r="O103" s="96"/>
      <c r="P103" s="47"/>
      <c r="Q103" s="96">
        <f>S103</f>
        <v>0</v>
      </c>
      <c r="R103" s="96">
        <f>S103</f>
        <v>0</v>
      </c>
      <c r="S103" s="96">
        <v>0</v>
      </c>
      <c r="T103" s="96"/>
      <c r="U103" s="96"/>
      <c r="V103" s="96"/>
      <c r="W103" s="96"/>
      <c r="X103" s="96">
        <v>0</v>
      </c>
      <c r="Y103" s="96">
        <v>0</v>
      </c>
      <c r="Z103" s="96"/>
      <c r="AA103" s="96">
        <f>AB103</f>
        <v>0</v>
      </c>
      <c r="AB103" s="96">
        <v>0</v>
      </c>
      <c r="AC103" s="96"/>
      <c r="AD103" s="96"/>
      <c r="AE103" s="96"/>
      <c r="AF103" s="96">
        <f>SUM(AG103:AG103)</f>
        <v>0</v>
      </c>
      <c r="AG103" s="96"/>
      <c r="AH103" s="96"/>
      <c r="AI103" s="96"/>
      <c r="AJ103" s="96"/>
      <c r="AK103" s="96"/>
      <c r="AL103" s="96"/>
      <c r="AM103" s="96"/>
      <c r="AN103" s="96"/>
      <c r="AO103" s="96"/>
      <c r="AP103" s="405"/>
      <c r="AQ103" s="96"/>
    </row>
    <row r="104" spans="1:43" s="266" customFormat="1" ht="17.25" hidden="1" customHeight="1" x14ac:dyDescent="0.25">
      <c r="A104" s="1382"/>
      <c r="B104" s="252" t="s">
        <v>227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ht="16.5" hidden="1" customHeight="1" x14ac:dyDescent="0.25">
      <c r="A105" s="1383"/>
      <c r="B105" s="42" t="s">
        <v>32</v>
      </c>
      <c r="C105" s="313"/>
      <c r="D105" s="313"/>
      <c r="E105" s="313"/>
      <c r="F105" s="313"/>
      <c r="G105" s="313"/>
      <c r="H105" s="916"/>
      <c r="I105" s="1639"/>
      <c r="J105" s="902"/>
      <c r="K105" s="47"/>
      <c r="L105" s="47">
        <v>4919.54</v>
      </c>
      <c r="M105" s="47">
        <v>0</v>
      </c>
      <c r="N105" s="47">
        <v>1639.84</v>
      </c>
      <c r="O105" s="47">
        <v>0</v>
      </c>
      <c r="P105" s="47">
        <v>0</v>
      </c>
      <c r="Q105" s="47">
        <v>0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47">
        <v>0</v>
      </c>
      <c r="X105" s="47">
        <v>0</v>
      </c>
      <c r="Y105" s="47">
        <v>0</v>
      </c>
      <c r="Z105" s="96"/>
      <c r="AA105" s="47">
        <v>0</v>
      </c>
      <c r="AB105" s="47">
        <v>0</v>
      </c>
      <c r="AC105" s="47">
        <v>0</v>
      </c>
      <c r="AD105" s="47">
        <v>0</v>
      </c>
      <c r="AE105" s="47">
        <v>0</v>
      </c>
      <c r="AF105" s="47">
        <v>0</v>
      </c>
      <c r="AG105" s="47">
        <v>0</v>
      </c>
      <c r="AH105" s="47">
        <v>0</v>
      </c>
      <c r="AI105" s="47">
        <v>0</v>
      </c>
      <c r="AJ105" s="47">
        <v>0</v>
      </c>
      <c r="AK105" s="47">
        <v>0</v>
      </c>
      <c r="AL105" s="47">
        <v>0</v>
      </c>
      <c r="AM105" s="47">
        <v>0</v>
      </c>
      <c r="AN105" s="47">
        <v>0</v>
      </c>
      <c r="AO105" s="47">
        <v>0</v>
      </c>
      <c r="AP105" s="397">
        <v>1639.8466699999999</v>
      </c>
      <c r="AQ105" s="96"/>
    </row>
    <row r="106" spans="1:43" s="327" customFormat="1" ht="40.5" customHeight="1" x14ac:dyDescent="0.25">
      <c r="A106" s="1372" t="s">
        <v>162</v>
      </c>
      <c r="B106" s="772" t="s">
        <v>166</v>
      </c>
      <c r="C106" s="312"/>
      <c r="D106" s="312"/>
      <c r="E106" s="312"/>
      <c r="F106" s="312"/>
      <c r="G106" s="312"/>
      <c r="H106" s="871"/>
      <c r="I106" s="1326" t="s">
        <v>20</v>
      </c>
      <c r="J106" s="880"/>
      <c r="K106" s="3"/>
      <c r="L106" s="3">
        <f>L107+L110</f>
        <v>94875.549999999988</v>
      </c>
      <c r="M106" s="3">
        <f t="shared" ref="M106:AO106" si="68">M107+M110</f>
        <v>2761.44</v>
      </c>
      <c r="N106" s="3">
        <f t="shared" si="68"/>
        <v>9629.67</v>
      </c>
      <c r="O106" s="3">
        <f t="shared" si="68"/>
        <v>22469.279999999999</v>
      </c>
      <c r="P106" s="3">
        <f>P107+P109</f>
        <v>18622.57</v>
      </c>
      <c r="Q106" s="3">
        <f t="shared" si="68"/>
        <v>0</v>
      </c>
      <c r="R106" s="3">
        <f t="shared" si="68"/>
        <v>646.03</v>
      </c>
      <c r="S106" s="3">
        <f t="shared" si="68"/>
        <v>646.02599999999995</v>
      </c>
      <c r="T106" s="3">
        <f t="shared" si="68"/>
        <v>872.63599999999997</v>
      </c>
      <c r="U106" s="3">
        <f t="shared" si="68"/>
        <v>872.63599999999997</v>
      </c>
      <c r="V106" s="3">
        <f t="shared" si="68"/>
        <v>0</v>
      </c>
      <c r="W106" s="3">
        <f t="shared" si="68"/>
        <v>0</v>
      </c>
      <c r="X106" s="3">
        <f t="shared" si="68"/>
        <v>0</v>
      </c>
      <c r="Y106" s="3">
        <f t="shared" si="68"/>
        <v>0</v>
      </c>
      <c r="Z106" s="95">
        <v>0</v>
      </c>
      <c r="AA106" s="3">
        <f t="shared" si="68"/>
        <v>0</v>
      </c>
      <c r="AB106" s="3">
        <f t="shared" si="68"/>
        <v>0</v>
      </c>
      <c r="AC106" s="3">
        <f t="shared" si="68"/>
        <v>0</v>
      </c>
      <c r="AD106" s="3">
        <f t="shared" si="68"/>
        <v>0</v>
      </c>
      <c r="AE106" s="3">
        <f t="shared" si="68"/>
        <v>0</v>
      </c>
      <c r="AF106" s="3">
        <f t="shared" si="68"/>
        <v>0</v>
      </c>
      <c r="AG106" s="3">
        <f t="shared" si="68"/>
        <v>0</v>
      </c>
      <c r="AH106" s="3">
        <f t="shared" si="68"/>
        <v>0</v>
      </c>
      <c r="AI106" s="3">
        <f t="shared" si="68"/>
        <v>0</v>
      </c>
      <c r="AJ106" s="3">
        <f t="shared" si="68"/>
        <v>0</v>
      </c>
      <c r="AK106" s="3">
        <f>P106-Q106</f>
        <v>18622.57</v>
      </c>
      <c r="AL106" s="3">
        <f t="shared" si="68"/>
        <v>0</v>
      </c>
      <c r="AM106" s="318">
        <f>ROUND((Q106*100%/P106*100),2)</f>
        <v>0</v>
      </c>
      <c r="AN106" s="3">
        <f t="shared" si="68"/>
        <v>0</v>
      </c>
      <c r="AO106" s="3">
        <f t="shared" si="68"/>
        <v>0</v>
      </c>
      <c r="AP106" s="633" t="s">
        <v>256</v>
      </c>
      <c r="AQ106" s="95">
        <v>0</v>
      </c>
    </row>
    <row r="107" spans="1:43" ht="16.5" customHeight="1" x14ac:dyDescent="0.25">
      <c r="A107" s="1382"/>
      <c r="B107" s="42" t="s">
        <v>15</v>
      </c>
      <c r="C107" s="313"/>
      <c r="D107" s="313"/>
      <c r="E107" s="313"/>
      <c r="F107" s="313"/>
      <c r="G107" s="313"/>
      <c r="H107" s="916"/>
      <c r="I107" s="1638"/>
      <c r="J107" s="902"/>
      <c r="K107" s="47"/>
      <c r="L107" s="47">
        <v>5734.87</v>
      </c>
      <c r="M107" s="47">
        <v>2761.44</v>
      </c>
      <c r="N107" s="47">
        <v>105.99</v>
      </c>
      <c r="O107" s="47">
        <v>0</v>
      </c>
      <c r="P107" s="47">
        <v>0</v>
      </c>
      <c r="Q107" s="47">
        <v>0</v>
      </c>
      <c r="R107" s="47">
        <v>646.03</v>
      </c>
      <c r="S107" s="47">
        <f t="shared" ref="S107:AJ107" si="69">SUM(S108:S109)</f>
        <v>646.02599999999995</v>
      </c>
      <c r="T107" s="47">
        <f t="shared" si="69"/>
        <v>872.63599999999997</v>
      </c>
      <c r="U107" s="47">
        <f t="shared" si="69"/>
        <v>872.63599999999997</v>
      </c>
      <c r="V107" s="47">
        <f t="shared" si="69"/>
        <v>0</v>
      </c>
      <c r="W107" s="47">
        <f t="shared" si="69"/>
        <v>0</v>
      </c>
      <c r="X107" s="47">
        <v>0</v>
      </c>
      <c r="Y107" s="47">
        <f t="shared" si="69"/>
        <v>0</v>
      </c>
      <c r="Z107" s="96"/>
      <c r="AA107" s="47">
        <f t="shared" si="69"/>
        <v>0</v>
      </c>
      <c r="AB107" s="47">
        <f t="shared" si="69"/>
        <v>0</v>
      </c>
      <c r="AC107" s="47">
        <f t="shared" si="69"/>
        <v>0</v>
      </c>
      <c r="AD107" s="47">
        <f t="shared" si="69"/>
        <v>0</v>
      </c>
      <c r="AE107" s="47">
        <f t="shared" si="69"/>
        <v>0</v>
      </c>
      <c r="AF107" s="47">
        <f t="shared" si="69"/>
        <v>0</v>
      </c>
      <c r="AG107" s="47">
        <f t="shared" si="69"/>
        <v>0</v>
      </c>
      <c r="AH107" s="47">
        <f t="shared" si="69"/>
        <v>0</v>
      </c>
      <c r="AI107" s="47">
        <f t="shared" si="69"/>
        <v>0</v>
      </c>
      <c r="AJ107" s="47">
        <f t="shared" si="69"/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/>
      <c r="AQ107" s="96"/>
    </row>
    <row r="108" spans="1:43" s="266" customFormat="1" ht="16.5" hidden="1" customHeight="1" x14ac:dyDescent="0.25">
      <c r="A108" s="1382"/>
      <c r="B108" s="252" t="s">
        <v>268</v>
      </c>
      <c r="C108" s="363"/>
      <c r="D108" s="363"/>
      <c r="E108" s="363"/>
      <c r="F108" s="363"/>
      <c r="G108" s="363"/>
      <c r="H108" s="364"/>
      <c r="I108" s="1638"/>
      <c r="J108" s="258"/>
      <c r="K108" s="96"/>
      <c r="L108" s="47">
        <f>SUM(M108:O108)</f>
        <v>0</v>
      </c>
      <c r="M108" s="96"/>
      <c r="N108" s="96"/>
      <c r="O108" s="96"/>
      <c r="P108" s="47"/>
      <c r="Q108" s="96">
        <f>S108+U108</f>
        <v>1518.6619999999998</v>
      </c>
      <c r="R108" s="96">
        <v>0</v>
      </c>
      <c r="S108" s="96">
        <v>646.02599999999995</v>
      </c>
      <c r="T108" s="96">
        <f>U108</f>
        <v>872.63599999999997</v>
      </c>
      <c r="U108" s="96">
        <v>872.63599999999997</v>
      </c>
      <c r="V108" s="96"/>
      <c r="W108" s="96"/>
      <c r="X108" s="96">
        <v>0</v>
      </c>
      <c r="Y108" s="96">
        <v>0</v>
      </c>
      <c r="Z108" s="96"/>
      <c r="AA108" s="96">
        <v>0</v>
      </c>
      <c r="AB108" s="96">
        <v>0</v>
      </c>
      <c r="AC108" s="96"/>
      <c r="AD108" s="96"/>
      <c r="AE108" s="96">
        <v>0</v>
      </c>
      <c r="AF108" s="96">
        <f>SUM(AG108:AG108)</f>
        <v>0</v>
      </c>
      <c r="AG108" s="96"/>
      <c r="AH108" s="96"/>
      <c r="AI108" s="96"/>
      <c r="AJ108" s="96"/>
      <c r="AK108" s="96">
        <v>0</v>
      </c>
      <c r="AL108" s="96">
        <v>0</v>
      </c>
      <c r="AM108" s="96">
        <v>0</v>
      </c>
      <c r="AN108" s="96">
        <v>0</v>
      </c>
      <c r="AO108" s="96">
        <v>0</v>
      </c>
      <c r="AP108" s="405"/>
      <c r="AQ108" s="96"/>
    </row>
    <row r="109" spans="1:43" ht="16.5" customHeight="1" x14ac:dyDescent="0.25">
      <c r="A109" s="1382"/>
      <c r="B109" s="42" t="s">
        <v>32</v>
      </c>
      <c r="C109" s="313"/>
      <c r="D109" s="313"/>
      <c r="E109" s="313"/>
      <c r="F109" s="313"/>
      <c r="G109" s="313"/>
      <c r="H109" s="916"/>
      <c r="I109" s="1638"/>
      <c r="J109" s="902"/>
      <c r="K109" s="47"/>
      <c r="L109" s="47">
        <f>SUM(M109:O109)</f>
        <v>0</v>
      </c>
      <c r="M109" s="47"/>
      <c r="N109" s="47"/>
      <c r="O109" s="47"/>
      <c r="P109" s="47">
        <v>18622.57</v>
      </c>
      <c r="Q109" s="47">
        <v>0</v>
      </c>
      <c r="R109" s="47"/>
      <c r="S109" s="47"/>
      <c r="T109" s="47">
        <f>U109</f>
        <v>0</v>
      </c>
      <c r="U109" s="47">
        <v>0</v>
      </c>
      <c r="V109" s="47"/>
      <c r="W109" s="47"/>
      <c r="X109" s="47"/>
      <c r="Y109" s="47"/>
      <c r="Z109" s="47"/>
      <c r="AA109" s="47">
        <f>SUM(AB109:AD109)</f>
        <v>0</v>
      </c>
      <c r="AB109" s="47"/>
      <c r="AC109" s="47">
        <v>0</v>
      </c>
      <c r="AD109" s="47">
        <v>0</v>
      </c>
      <c r="AE109" s="47"/>
      <c r="AF109" s="47">
        <f>SUM(AG109:AG109)</f>
        <v>0</v>
      </c>
      <c r="AG109" s="47"/>
      <c r="AH109" s="47"/>
      <c r="AI109" s="47"/>
      <c r="AJ109" s="47"/>
      <c r="AK109" s="47"/>
      <c r="AL109" s="47"/>
      <c r="AM109" s="47"/>
      <c r="AN109" s="47"/>
      <c r="AO109" s="47"/>
      <c r="AP109" s="397"/>
      <c r="AQ109" s="47"/>
    </row>
    <row r="110" spans="1:43" ht="0.75" customHeight="1" x14ac:dyDescent="0.25">
      <c r="A110" s="1383"/>
      <c r="B110" s="42" t="s">
        <v>32</v>
      </c>
      <c r="C110" s="313"/>
      <c r="D110" s="313"/>
      <c r="E110" s="313"/>
      <c r="F110" s="313"/>
      <c r="G110" s="313"/>
      <c r="H110" s="916"/>
      <c r="I110" s="1639"/>
      <c r="J110" s="902"/>
      <c r="K110" s="47"/>
      <c r="L110" s="47">
        <v>89140.68</v>
      </c>
      <c r="M110" s="47">
        <v>0</v>
      </c>
      <c r="N110" s="47">
        <v>9523.68</v>
      </c>
      <c r="O110" s="47">
        <v>22469.279999999999</v>
      </c>
      <c r="P110" s="47">
        <v>2605.9899999999998</v>
      </c>
      <c r="Q110" s="47">
        <v>0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47">
        <v>0</v>
      </c>
      <c r="X110" s="47">
        <v>0</v>
      </c>
      <c r="Y110" s="47">
        <v>0</v>
      </c>
      <c r="Z110" s="96"/>
      <c r="AA110" s="47">
        <v>0</v>
      </c>
      <c r="AB110" s="47">
        <v>0</v>
      </c>
      <c r="AC110" s="47">
        <v>0</v>
      </c>
      <c r="AD110" s="47">
        <v>0</v>
      </c>
      <c r="AE110" s="47">
        <v>0</v>
      </c>
      <c r="AF110" s="47">
        <v>0</v>
      </c>
      <c r="AG110" s="47">
        <v>0</v>
      </c>
      <c r="AH110" s="47">
        <v>0</v>
      </c>
      <c r="AI110" s="47">
        <v>0</v>
      </c>
      <c r="AJ110" s="47">
        <v>0</v>
      </c>
      <c r="AK110" s="47">
        <v>0</v>
      </c>
      <c r="AL110" s="47">
        <v>0</v>
      </c>
      <c r="AM110" s="47">
        <v>0</v>
      </c>
      <c r="AN110" s="47">
        <v>0</v>
      </c>
      <c r="AO110" s="47">
        <v>0</v>
      </c>
      <c r="AP110" s="397"/>
      <c r="AQ110" s="96"/>
    </row>
    <row r="111" spans="1:43" s="327" customFormat="1" ht="52.5" customHeight="1" x14ac:dyDescent="0.25">
      <c r="A111" s="1372" t="s">
        <v>165</v>
      </c>
      <c r="B111" s="780" t="s">
        <v>280</v>
      </c>
      <c r="C111" s="312"/>
      <c r="D111" s="312"/>
      <c r="E111" s="312"/>
      <c r="F111" s="312"/>
      <c r="G111" s="312"/>
      <c r="H111" s="871"/>
      <c r="I111" s="1326" t="s">
        <v>20</v>
      </c>
      <c r="J111" s="880"/>
      <c r="K111" s="3"/>
      <c r="L111" s="3">
        <f>L112</f>
        <v>10177.64</v>
      </c>
      <c r="M111" s="3">
        <f>M112</f>
        <v>0</v>
      </c>
      <c r="N111" s="3">
        <f t="shared" ref="N111:AO115" si="70">N112</f>
        <v>0</v>
      </c>
      <c r="O111" s="3">
        <f t="shared" si="70"/>
        <v>0</v>
      </c>
      <c r="P111" s="3">
        <v>7317.14</v>
      </c>
      <c r="Q111" s="3">
        <v>0</v>
      </c>
      <c r="R111" s="3">
        <f t="shared" si="70"/>
        <v>40.5</v>
      </c>
      <c r="S111" s="3">
        <f t="shared" si="70"/>
        <v>40.5</v>
      </c>
      <c r="T111" s="3">
        <f t="shared" si="70"/>
        <v>0</v>
      </c>
      <c r="U111" s="3">
        <f t="shared" si="70"/>
        <v>0</v>
      </c>
      <c r="V111" s="3">
        <f t="shared" si="70"/>
        <v>0</v>
      </c>
      <c r="W111" s="3">
        <f t="shared" si="70"/>
        <v>0</v>
      </c>
      <c r="X111" s="3">
        <f t="shared" si="70"/>
        <v>0</v>
      </c>
      <c r="Y111" s="3">
        <f t="shared" si="70"/>
        <v>0</v>
      </c>
      <c r="Z111" s="95">
        <v>0</v>
      </c>
      <c r="AA111" s="3">
        <v>0</v>
      </c>
      <c r="AB111" s="3">
        <f t="shared" si="70"/>
        <v>40.5</v>
      </c>
      <c r="AC111" s="3">
        <f t="shared" si="70"/>
        <v>0</v>
      </c>
      <c r="AD111" s="3">
        <f t="shared" si="70"/>
        <v>0</v>
      </c>
      <c r="AE111" s="3">
        <f t="shared" si="70"/>
        <v>0</v>
      </c>
      <c r="AF111" s="3">
        <f t="shared" si="70"/>
        <v>0</v>
      </c>
      <c r="AG111" s="3">
        <f t="shared" si="70"/>
        <v>0</v>
      </c>
      <c r="AH111" s="3">
        <f t="shared" si="70"/>
        <v>0</v>
      </c>
      <c r="AI111" s="3">
        <f t="shared" si="70"/>
        <v>0</v>
      </c>
      <c r="AJ111" s="3">
        <f t="shared" si="70"/>
        <v>0</v>
      </c>
      <c r="AK111" s="3">
        <f>P111-Q111</f>
        <v>7317.14</v>
      </c>
      <c r="AL111" s="3">
        <f t="shared" si="70"/>
        <v>0</v>
      </c>
      <c r="AM111" s="3">
        <f t="shared" si="70"/>
        <v>0</v>
      </c>
      <c r="AN111" s="3">
        <f t="shared" si="70"/>
        <v>0</v>
      </c>
      <c r="AO111" s="3">
        <f t="shared" si="70"/>
        <v>0</v>
      </c>
      <c r="AP111" s="633"/>
      <c r="AQ111" s="95">
        <v>0</v>
      </c>
    </row>
    <row r="112" spans="1:43" ht="17.25" hidden="1" customHeight="1" x14ac:dyDescent="0.25">
      <c r="A112" s="1639"/>
      <c r="B112" s="42" t="s">
        <v>203</v>
      </c>
      <c r="C112" s="313"/>
      <c r="D112" s="313"/>
      <c r="E112" s="313"/>
      <c r="F112" s="313"/>
      <c r="G112" s="313"/>
      <c r="H112" s="916"/>
      <c r="I112" s="1639"/>
      <c r="J112" s="902"/>
      <c r="K112" s="47"/>
      <c r="L112" s="47">
        <v>10177.64</v>
      </c>
      <c r="M112" s="47">
        <v>0</v>
      </c>
      <c r="N112" s="47">
        <v>0</v>
      </c>
      <c r="O112" s="47">
        <v>0</v>
      </c>
      <c r="P112" s="47">
        <v>2591.96</v>
      </c>
      <c r="Q112" s="47">
        <f>Q113</f>
        <v>40.5</v>
      </c>
      <c r="R112" s="47">
        <f t="shared" si="70"/>
        <v>40.5</v>
      </c>
      <c r="S112" s="47">
        <f t="shared" si="70"/>
        <v>40.5</v>
      </c>
      <c r="T112" s="47">
        <f t="shared" si="70"/>
        <v>0</v>
      </c>
      <c r="U112" s="47">
        <f t="shared" si="70"/>
        <v>0</v>
      </c>
      <c r="V112" s="47">
        <f t="shared" si="70"/>
        <v>0</v>
      </c>
      <c r="W112" s="47">
        <f t="shared" si="70"/>
        <v>0</v>
      </c>
      <c r="X112" s="47">
        <f t="shared" si="70"/>
        <v>0</v>
      </c>
      <c r="Y112" s="47">
        <f t="shared" si="70"/>
        <v>0</v>
      </c>
      <c r="Z112" s="96"/>
      <c r="AA112" s="47">
        <f t="shared" si="70"/>
        <v>40.5</v>
      </c>
      <c r="AB112" s="47">
        <f t="shared" si="70"/>
        <v>40.5</v>
      </c>
      <c r="AC112" s="47">
        <f t="shared" si="70"/>
        <v>0</v>
      </c>
      <c r="AD112" s="47">
        <f t="shared" si="70"/>
        <v>0</v>
      </c>
      <c r="AE112" s="47">
        <f t="shared" si="70"/>
        <v>0</v>
      </c>
      <c r="AF112" s="47">
        <f t="shared" si="70"/>
        <v>0</v>
      </c>
      <c r="AG112" s="47">
        <f t="shared" si="70"/>
        <v>0</v>
      </c>
      <c r="AH112" s="47">
        <f t="shared" si="70"/>
        <v>0</v>
      </c>
      <c r="AI112" s="47">
        <f t="shared" si="70"/>
        <v>0</v>
      </c>
      <c r="AJ112" s="47">
        <f t="shared" si="70"/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266" customFormat="1" ht="17.25" hidden="1" customHeight="1" x14ac:dyDescent="0.25">
      <c r="A113" s="539"/>
      <c r="B113" s="252" t="s">
        <v>298</v>
      </c>
      <c r="C113" s="363"/>
      <c r="D113" s="363"/>
      <c r="E113" s="363"/>
      <c r="F113" s="363"/>
      <c r="G113" s="363"/>
      <c r="H113" s="364"/>
      <c r="I113" s="539"/>
      <c r="J113" s="258"/>
      <c r="K113" s="96"/>
      <c r="L113" s="96"/>
      <c r="M113" s="96"/>
      <c r="N113" s="96"/>
      <c r="O113" s="96"/>
      <c r="P113" s="96"/>
      <c r="Q113" s="96">
        <f>S113</f>
        <v>40.5</v>
      </c>
      <c r="R113" s="96">
        <f>S113</f>
        <v>40.5</v>
      </c>
      <c r="S113" s="96">
        <v>40.5</v>
      </c>
      <c r="T113" s="96"/>
      <c r="U113" s="96"/>
      <c r="V113" s="96"/>
      <c r="W113" s="96"/>
      <c r="X113" s="96"/>
      <c r="Y113" s="96"/>
      <c r="Z113" s="96"/>
      <c r="AA113" s="96">
        <f>AB113</f>
        <v>40.5</v>
      </c>
      <c r="AB113" s="96">
        <v>40.5</v>
      </c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268"/>
      <c r="AN113" s="96"/>
      <c r="AO113" s="96"/>
      <c r="AP113" s="405"/>
      <c r="AQ113" s="96"/>
    </row>
    <row r="114" spans="1:45" s="327" customFormat="1" ht="27.75" customHeight="1" x14ac:dyDescent="0.25">
      <c r="A114" s="1372" t="s">
        <v>281</v>
      </c>
      <c r="B114" s="772" t="s">
        <v>284</v>
      </c>
      <c r="C114" s="312"/>
      <c r="D114" s="312"/>
      <c r="E114" s="312"/>
      <c r="F114" s="312"/>
      <c r="G114" s="312"/>
      <c r="H114" s="871"/>
      <c r="I114" s="1326" t="s">
        <v>20</v>
      </c>
      <c r="J114" s="880"/>
      <c r="K114" s="3"/>
      <c r="L114" s="3">
        <f>SUM(L115:L117)</f>
        <v>12294.88</v>
      </c>
      <c r="M114" s="3">
        <f>SUM(M115:M117)</f>
        <v>0</v>
      </c>
      <c r="N114" s="3">
        <f>SUM(N115:N117)</f>
        <v>0</v>
      </c>
      <c r="O114" s="3">
        <f>SUM(O115:O117)</f>
        <v>0</v>
      </c>
      <c r="P114" s="3">
        <f>SUM(P115:P117)</f>
        <v>11314.88</v>
      </c>
      <c r="Q114" s="3">
        <f t="shared" si="70"/>
        <v>0</v>
      </c>
      <c r="R114" s="3">
        <f t="shared" si="70"/>
        <v>686</v>
      </c>
      <c r="S114" s="3">
        <f t="shared" si="70"/>
        <v>686</v>
      </c>
      <c r="T114" s="3">
        <f t="shared" si="70"/>
        <v>294</v>
      </c>
      <c r="U114" s="3">
        <f t="shared" si="70"/>
        <v>294</v>
      </c>
      <c r="V114" s="3">
        <f t="shared" si="70"/>
        <v>0</v>
      </c>
      <c r="W114" s="3">
        <f t="shared" si="70"/>
        <v>0</v>
      </c>
      <c r="X114" s="3">
        <f t="shared" si="70"/>
        <v>0</v>
      </c>
      <c r="Y114" s="3">
        <f t="shared" si="70"/>
        <v>0</v>
      </c>
      <c r="Z114" s="95">
        <v>0</v>
      </c>
      <c r="AA114" s="3">
        <f t="shared" si="70"/>
        <v>0</v>
      </c>
      <c r="AB114" s="3">
        <f t="shared" si="70"/>
        <v>0</v>
      </c>
      <c r="AC114" s="3">
        <f t="shared" si="70"/>
        <v>0</v>
      </c>
      <c r="AD114" s="3">
        <f t="shared" si="70"/>
        <v>0</v>
      </c>
      <c r="AE114" s="3">
        <f t="shared" si="70"/>
        <v>0</v>
      </c>
      <c r="AF114" s="3">
        <f t="shared" si="70"/>
        <v>0</v>
      </c>
      <c r="AG114" s="3">
        <f t="shared" si="70"/>
        <v>0</v>
      </c>
      <c r="AH114" s="3">
        <f t="shared" si="70"/>
        <v>0</v>
      </c>
      <c r="AI114" s="3">
        <f t="shared" si="70"/>
        <v>0</v>
      </c>
      <c r="AJ114" s="3">
        <f t="shared" si="70"/>
        <v>0</v>
      </c>
      <c r="AK114" s="3">
        <f>P114-Q114</f>
        <v>11314.88</v>
      </c>
      <c r="AL114" s="3">
        <f>AL117</f>
        <v>0</v>
      </c>
      <c r="AM114" s="318">
        <v>0</v>
      </c>
      <c r="AN114" s="3">
        <f>AN117</f>
        <v>0</v>
      </c>
      <c r="AO114" s="3">
        <f>AO117</f>
        <v>0</v>
      </c>
      <c r="AP114" s="633" t="s">
        <v>256</v>
      </c>
      <c r="AQ114" s="95">
        <v>0</v>
      </c>
    </row>
    <row r="115" spans="1:45" ht="20.25" customHeight="1" x14ac:dyDescent="0.25">
      <c r="A115" s="1382"/>
      <c r="B115" s="42" t="s">
        <v>285</v>
      </c>
      <c r="C115" s="313"/>
      <c r="D115" s="313"/>
      <c r="E115" s="313"/>
      <c r="F115" s="313"/>
      <c r="G115" s="313"/>
      <c r="H115" s="916"/>
      <c r="I115" s="1327"/>
      <c r="J115" s="902"/>
      <c r="K115" s="47"/>
      <c r="L115" s="47">
        <v>980</v>
      </c>
      <c r="M115" s="47"/>
      <c r="N115" s="47">
        <v>0</v>
      </c>
      <c r="O115" s="47"/>
      <c r="P115" s="47">
        <v>0</v>
      </c>
      <c r="Q115" s="47">
        <v>0</v>
      </c>
      <c r="R115" s="47">
        <f t="shared" si="70"/>
        <v>686</v>
      </c>
      <c r="S115" s="47">
        <f t="shared" si="70"/>
        <v>686</v>
      </c>
      <c r="T115" s="47">
        <f t="shared" si="70"/>
        <v>294</v>
      </c>
      <c r="U115" s="47">
        <f t="shared" si="70"/>
        <v>294</v>
      </c>
      <c r="V115" s="47">
        <f t="shared" si="70"/>
        <v>0</v>
      </c>
      <c r="W115" s="47">
        <f t="shared" si="70"/>
        <v>0</v>
      </c>
      <c r="X115" s="47">
        <f t="shared" si="70"/>
        <v>0</v>
      </c>
      <c r="Y115" s="47">
        <f t="shared" si="70"/>
        <v>0</v>
      </c>
      <c r="Z115" s="96"/>
      <c r="AA115" s="47">
        <f t="shared" si="70"/>
        <v>0</v>
      </c>
      <c r="AB115" s="47">
        <f t="shared" si="70"/>
        <v>0</v>
      </c>
      <c r="AC115" s="47">
        <f t="shared" si="70"/>
        <v>0</v>
      </c>
      <c r="AD115" s="47">
        <f t="shared" si="70"/>
        <v>0</v>
      </c>
      <c r="AE115" s="47">
        <f t="shared" si="70"/>
        <v>0</v>
      </c>
      <c r="AF115" s="47">
        <f t="shared" si="70"/>
        <v>0</v>
      </c>
      <c r="AG115" s="47">
        <f t="shared" si="70"/>
        <v>0</v>
      </c>
      <c r="AH115" s="47">
        <f t="shared" si="70"/>
        <v>0</v>
      </c>
      <c r="AI115" s="47">
        <f t="shared" si="70"/>
        <v>0</v>
      </c>
      <c r="AJ115" s="47">
        <f t="shared" si="70"/>
        <v>0</v>
      </c>
      <c r="AK115" s="47">
        <v>0</v>
      </c>
      <c r="AL115" s="47"/>
      <c r="AM115" s="47"/>
      <c r="AN115" s="47"/>
      <c r="AO115" s="47"/>
      <c r="AP115" s="397"/>
      <c r="AQ115" s="96"/>
    </row>
    <row r="116" spans="1:45" s="266" customFormat="1" ht="20.25" hidden="1" customHeight="1" x14ac:dyDescent="0.25">
      <c r="A116" s="1382"/>
      <c r="B116" s="252" t="s">
        <v>299</v>
      </c>
      <c r="C116" s="363"/>
      <c r="D116" s="363"/>
      <c r="E116" s="363"/>
      <c r="F116" s="363"/>
      <c r="G116" s="363"/>
      <c r="H116" s="364"/>
      <c r="I116" s="1327"/>
      <c r="J116" s="258"/>
      <c r="K116" s="96"/>
      <c r="L116" s="96"/>
      <c r="M116" s="96"/>
      <c r="N116" s="96"/>
      <c r="O116" s="96"/>
      <c r="P116" s="96"/>
      <c r="Q116" s="96">
        <f>S116+U116</f>
        <v>980</v>
      </c>
      <c r="R116" s="96">
        <f>S116</f>
        <v>686</v>
      </c>
      <c r="S116" s="96">
        <v>686</v>
      </c>
      <c r="T116" s="96">
        <v>294</v>
      </c>
      <c r="U116" s="96">
        <v>294</v>
      </c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405"/>
      <c r="AQ116" s="96"/>
    </row>
    <row r="117" spans="1:45" ht="17.25" customHeight="1" x14ac:dyDescent="0.25">
      <c r="A117" s="1639"/>
      <c r="B117" s="42" t="s">
        <v>287</v>
      </c>
      <c r="C117" s="313"/>
      <c r="D117" s="313"/>
      <c r="E117" s="313"/>
      <c r="F117" s="313"/>
      <c r="G117" s="313"/>
      <c r="H117" s="916"/>
      <c r="I117" s="1639"/>
      <c r="J117" s="902"/>
      <c r="K117" s="47"/>
      <c r="L117" s="47">
        <v>11314.88</v>
      </c>
      <c r="M117" s="47">
        <v>0</v>
      </c>
      <c r="N117" s="47">
        <v>0</v>
      </c>
      <c r="O117" s="47">
        <v>0</v>
      </c>
      <c r="P117" s="47">
        <v>11314.88</v>
      </c>
      <c r="Q117" s="47">
        <v>0</v>
      </c>
      <c r="R117" s="47">
        <v>0</v>
      </c>
      <c r="S117" s="47">
        <v>0</v>
      </c>
      <c r="T117" s="47">
        <f t="shared" ref="T117:Y117" si="71">T127</f>
        <v>980</v>
      </c>
      <c r="U117" s="47">
        <v>0</v>
      </c>
      <c r="V117" s="47">
        <f t="shared" si="71"/>
        <v>0</v>
      </c>
      <c r="W117" s="47">
        <f t="shared" si="71"/>
        <v>0</v>
      </c>
      <c r="X117" s="47">
        <f t="shared" si="71"/>
        <v>0</v>
      </c>
      <c r="Y117" s="47">
        <f t="shared" si="71"/>
        <v>0</v>
      </c>
      <c r="Z117" s="96"/>
      <c r="AA117" s="47">
        <v>0</v>
      </c>
      <c r="AB117" s="47">
        <v>0</v>
      </c>
      <c r="AC117" s="47">
        <f t="shared" ref="AC117:AJ117" si="72">AC127</f>
        <v>0</v>
      </c>
      <c r="AD117" s="47">
        <f t="shared" si="72"/>
        <v>0</v>
      </c>
      <c r="AE117" s="47">
        <f t="shared" si="72"/>
        <v>0</v>
      </c>
      <c r="AF117" s="47">
        <f t="shared" si="72"/>
        <v>0</v>
      </c>
      <c r="AG117" s="47">
        <f t="shared" si="72"/>
        <v>0</v>
      </c>
      <c r="AH117" s="47">
        <f t="shared" si="72"/>
        <v>0</v>
      </c>
      <c r="AI117" s="47">
        <f t="shared" si="72"/>
        <v>0</v>
      </c>
      <c r="AJ117" s="47">
        <f t="shared" si="72"/>
        <v>0</v>
      </c>
      <c r="AK117" s="47">
        <v>0</v>
      </c>
      <c r="AL117" s="47">
        <v>0</v>
      </c>
      <c r="AM117" s="47">
        <v>0</v>
      </c>
      <c r="AN117" s="47">
        <v>0</v>
      </c>
      <c r="AO117" s="47">
        <v>0</v>
      </c>
      <c r="AP117" s="397"/>
      <c r="AQ117" s="96"/>
    </row>
    <row r="118" spans="1:45" s="327" customFormat="1" ht="24.75" customHeight="1" x14ac:dyDescent="0.25">
      <c r="A118" s="1372" t="s">
        <v>282</v>
      </c>
      <c r="B118" s="772" t="s">
        <v>286</v>
      </c>
      <c r="C118" s="312"/>
      <c r="D118" s="312"/>
      <c r="E118" s="312"/>
      <c r="F118" s="312"/>
      <c r="G118" s="312"/>
      <c r="H118" s="871"/>
      <c r="I118" s="1326" t="s">
        <v>20</v>
      </c>
      <c r="J118" s="880"/>
      <c r="K118" s="3"/>
      <c r="L118" s="3">
        <f>SUM(L119:L122)</f>
        <v>2085.84</v>
      </c>
      <c r="M118" s="3">
        <f>SUM(M119:M122)</f>
        <v>0</v>
      </c>
      <c r="N118" s="3">
        <f>SUM(N119:N122)</f>
        <v>0</v>
      </c>
      <c r="O118" s="3">
        <f>SUM(O119:O122)</f>
        <v>0</v>
      </c>
      <c r="P118" s="3">
        <f>SUM(P119:P122)</f>
        <v>86.18</v>
      </c>
      <c r="Q118" s="3">
        <f>Q119+Q122</f>
        <v>0</v>
      </c>
      <c r="R118" s="3">
        <f t="shared" ref="R118:AD118" si="73">R119+R122</f>
        <v>0</v>
      </c>
      <c r="S118" s="3">
        <f t="shared" si="73"/>
        <v>0</v>
      </c>
      <c r="T118" s="3">
        <f t="shared" si="73"/>
        <v>1066.18</v>
      </c>
      <c r="U118" s="3">
        <f t="shared" si="73"/>
        <v>86.18</v>
      </c>
      <c r="V118" s="3">
        <f t="shared" si="73"/>
        <v>1597.7769999999998</v>
      </c>
      <c r="W118" s="3">
        <f t="shared" si="73"/>
        <v>1597.7769999999998</v>
      </c>
      <c r="X118" s="3">
        <f t="shared" si="73"/>
        <v>0</v>
      </c>
      <c r="Y118" s="3">
        <f t="shared" si="73"/>
        <v>0</v>
      </c>
      <c r="Z118" s="95">
        <v>0</v>
      </c>
      <c r="AA118" s="3">
        <v>0</v>
      </c>
      <c r="AB118" s="3">
        <f t="shared" si="73"/>
        <v>0</v>
      </c>
      <c r="AC118" s="3">
        <f t="shared" si="73"/>
        <v>0</v>
      </c>
      <c r="AD118" s="3">
        <f t="shared" si="73"/>
        <v>1550</v>
      </c>
      <c r="AE118" s="3">
        <f t="shared" ref="AE118:AJ118" si="74">AE122</f>
        <v>0</v>
      </c>
      <c r="AF118" s="3">
        <f t="shared" si="74"/>
        <v>0</v>
      </c>
      <c r="AG118" s="3">
        <f t="shared" si="74"/>
        <v>0</v>
      </c>
      <c r="AH118" s="3">
        <f t="shared" si="74"/>
        <v>0</v>
      </c>
      <c r="AI118" s="3">
        <f t="shared" si="74"/>
        <v>0</v>
      </c>
      <c r="AJ118" s="3">
        <f t="shared" si="74"/>
        <v>0</v>
      </c>
      <c r="AK118" s="3">
        <f>P118-Q118</f>
        <v>86.18</v>
      </c>
      <c r="AL118" s="3">
        <f>AL122</f>
        <v>0</v>
      </c>
      <c r="AM118" s="3">
        <f>AM122</f>
        <v>0</v>
      </c>
      <c r="AN118" s="3">
        <f>AN122</f>
        <v>0</v>
      </c>
      <c r="AO118" s="3">
        <f>AO122</f>
        <v>0</v>
      </c>
      <c r="AP118" s="633" t="s">
        <v>244</v>
      </c>
      <c r="AQ118" s="95">
        <v>0</v>
      </c>
      <c r="AS118" s="3"/>
    </row>
    <row r="119" spans="1:45" ht="20.25" customHeight="1" x14ac:dyDescent="0.25">
      <c r="A119" s="1382"/>
      <c r="B119" s="42" t="s">
        <v>285</v>
      </c>
      <c r="C119" s="313"/>
      <c r="D119" s="313"/>
      <c r="E119" s="313"/>
      <c r="F119" s="313"/>
      <c r="G119" s="313"/>
      <c r="H119" s="916"/>
      <c r="I119" s="1327"/>
      <c r="J119" s="902"/>
      <c r="K119" s="47"/>
      <c r="L119" s="47">
        <v>2085.84</v>
      </c>
      <c r="M119" s="47"/>
      <c r="N119" s="47">
        <v>0</v>
      </c>
      <c r="O119" s="47"/>
      <c r="P119" s="47">
        <v>86.18</v>
      </c>
      <c r="Q119" s="47">
        <v>0</v>
      </c>
      <c r="R119" s="47">
        <f t="shared" ref="R119:AD119" si="75">R121+R120</f>
        <v>0</v>
      </c>
      <c r="S119" s="47">
        <f t="shared" si="75"/>
        <v>0</v>
      </c>
      <c r="T119" s="47">
        <f t="shared" si="75"/>
        <v>86.18</v>
      </c>
      <c r="U119" s="47">
        <f t="shared" si="75"/>
        <v>86.18</v>
      </c>
      <c r="V119" s="47">
        <f t="shared" si="75"/>
        <v>1597.7769999999998</v>
      </c>
      <c r="W119" s="47">
        <f t="shared" si="75"/>
        <v>1597.7769999999998</v>
      </c>
      <c r="X119" s="47">
        <f t="shared" si="75"/>
        <v>0</v>
      </c>
      <c r="Y119" s="47">
        <f t="shared" si="75"/>
        <v>0</v>
      </c>
      <c r="Z119" s="96"/>
      <c r="AA119" s="47">
        <v>0</v>
      </c>
      <c r="AB119" s="47">
        <f t="shared" si="75"/>
        <v>0</v>
      </c>
      <c r="AC119" s="47">
        <f t="shared" si="75"/>
        <v>0</v>
      </c>
      <c r="AD119" s="47">
        <f t="shared" si="75"/>
        <v>1550</v>
      </c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397"/>
      <c r="AQ119" s="96"/>
    </row>
    <row r="120" spans="1:45" s="266" customFormat="1" ht="38.25" hidden="1" customHeight="1" x14ac:dyDescent="0.25">
      <c r="A120" s="1382"/>
      <c r="B120" s="252" t="s">
        <v>321</v>
      </c>
      <c r="C120" s="363"/>
      <c r="D120" s="363"/>
      <c r="E120" s="363"/>
      <c r="F120" s="363"/>
      <c r="G120" s="363"/>
      <c r="H120" s="364"/>
      <c r="I120" s="1327"/>
      <c r="J120" s="258"/>
      <c r="K120" s="96"/>
      <c r="L120" s="96"/>
      <c r="M120" s="96"/>
      <c r="N120" s="96"/>
      <c r="O120" s="96"/>
      <c r="P120" s="96"/>
      <c r="Q120" s="96">
        <f>W120</f>
        <v>1511.6</v>
      </c>
      <c r="R120" s="96"/>
      <c r="S120" s="96"/>
      <c r="T120" s="96"/>
      <c r="U120" s="96"/>
      <c r="V120" s="96">
        <f>W120</f>
        <v>1511.6</v>
      </c>
      <c r="W120" s="96">
        <v>1511.6</v>
      </c>
      <c r="X120" s="96"/>
      <c r="Y120" s="96"/>
      <c r="Z120" s="96"/>
      <c r="AA120" s="96">
        <f>AD120</f>
        <v>1550</v>
      </c>
      <c r="AB120" s="96"/>
      <c r="AC120" s="96"/>
      <c r="AD120" s="96">
        <v>1550</v>
      </c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405"/>
      <c r="AQ120" s="96"/>
    </row>
    <row r="121" spans="1:45" s="266" customFormat="1" ht="27" hidden="1" customHeight="1" x14ac:dyDescent="0.25">
      <c r="A121" s="1382"/>
      <c r="B121" s="252" t="s">
        <v>313</v>
      </c>
      <c r="C121" s="363"/>
      <c r="D121" s="363"/>
      <c r="E121" s="363"/>
      <c r="F121" s="363"/>
      <c r="G121" s="363"/>
      <c r="H121" s="364"/>
      <c r="I121" s="1327"/>
      <c r="J121" s="258"/>
      <c r="K121" s="96"/>
      <c r="L121" s="96"/>
      <c r="M121" s="96"/>
      <c r="N121" s="96"/>
      <c r="O121" s="96"/>
      <c r="P121" s="96"/>
      <c r="Q121" s="96">
        <f>S121+U121</f>
        <v>86.18</v>
      </c>
      <c r="R121" s="96"/>
      <c r="S121" s="96"/>
      <c r="T121" s="96">
        <f>U121</f>
        <v>86.18</v>
      </c>
      <c r="U121" s="96">
        <f>ROUND((103.412/1.2),2)</f>
        <v>86.18</v>
      </c>
      <c r="V121" s="96">
        <f>W121</f>
        <v>86.177000000000007</v>
      </c>
      <c r="W121" s="96">
        <v>86.177000000000007</v>
      </c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405"/>
      <c r="AQ121" s="96"/>
    </row>
    <row r="122" spans="1:45" ht="17.25" customHeight="1" x14ac:dyDescent="0.25">
      <c r="A122" s="1639"/>
      <c r="B122" s="42" t="s">
        <v>287</v>
      </c>
      <c r="C122" s="313"/>
      <c r="D122" s="313"/>
      <c r="E122" s="313"/>
      <c r="F122" s="313"/>
      <c r="G122" s="313"/>
      <c r="H122" s="916"/>
      <c r="I122" s="1639"/>
      <c r="J122" s="902"/>
      <c r="K122" s="47"/>
      <c r="L122" s="47">
        <v>0</v>
      </c>
      <c r="M122" s="47">
        <v>0</v>
      </c>
      <c r="N122" s="47">
        <v>0</v>
      </c>
      <c r="O122" s="47">
        <v>0</v>
      </c>
      <c r="P122" s="47">
        <f>N122</f>
        <v>0</v>
      </c>
      <c r="Q122" s="47">
        <v>0</v>
      </c>
      <c r="R122" s="47">
        <v>0</v>
      </c>
      <c r="S122" s="47">
        <v>0</v>
      </c>
      <c r="T122" s="47">
        <f t="shared" ref="T122:Y122" si="76">T136</f>
        <v>980</v>
      </c>
      <c r="U122" s="47">
        <v>0</v>
      </c>
      <c r="V122" s="47">
        <f t="shared" si="76"/>
        <v>0</v>
      </c>
      <c r="W122" s="47">
        <f t="shared" si="76"/>
        <v>0</v>
      </c>
      <c r="X122" s="47">
        <f t="shared" si="76"/>
        <v>0</v>
      </c>
      <c r="Y122" s="47">
        <f t="shared" si="76"/>
        <v>0</v>
      </c>
      <c r="Z122" s="96"/>
      <c r="AA122" s="47">
        <v>0</v>
      </c>
      <c r="AB122" s="47">
        <v>0</v>
      </c>
      <c r="AC122" s="47">
        <f t="shared" ref="AC122:AJ122" si="77">AC136</f>
        <v>0</v>
      </c>
      <c r="AD122" s="47">
        <f t="shared" si="77"/>
        <v>0</v>
      </c>
      <c r="AE122" s="47">
        <f t="shared" si="77"/>
        <v>0</v>
      </c>
      <c r="AF122" s="47">
        <f t="shared" si="77"/>
        <v>0</v>
      </c>
      <c r="AG122" s="47">
        <f t="shared" si="77"/>
        <v>0</v>
      </c>
      <c r="AH122" s="47">
        <f t="shared" si="77"/>
        <v>0</v>
      </c>
      <c r="AI122" s="47">
        <f t="shared" si="77"/>
        <v>0</v>
      </c>
      <c r="AJ122" s="47">
        <f t="shared" si="77"/>
        <v>0</v>
      </c>
      <c r="AK122" s="47">
        <v>0</v>
      </c>
      <c r="AL122" s="47">
        <v>0</v>
      </c>
      <c r="AM122" s="47">
        <v>0</v>
      </c>
      <c r="AN122" s="47">
        <v>0</v>
      </c>
      <c r="AO122" s="47">
        <v>0</v>
      </c>
      <c r="AP122" s="397"/>
      <c r="AQ122" s="96"/>
    </row>
    <row r="123" spans="1:45" s="327" customFormat="1" ht="31.5" customHeight="1" x14ac:dyDescent="0.25">
      <c r="A123" s="1372" t="s">
        <v>283</v>
      </c>
      <c r="B123" s="772" t="s">
        <v>288</v>
      </c>
      <c r="C123" s="312"/>
      <c r="D123" s="312"/>
      <c r="E123" s="312"/>
      <c r="F123" s="312"/>
      <c r="G123" s="312"/>
      <c r="H123" s="871"/>
      <c r="I123" s="1326" t="s">
        <v>20</v>
      </c>
      <c r="J123" s="880"/>
      <c r="K123" s="3"/>
      <c r="L123" s="3">
        <f t="shared" ref="L123:AJ124" si="78">L124</f>
        <v>28990</v>
      </c>
      <c r="M123" s="3">
        <f t="shared" si="78"/>
        <v>0</v>
      </c>
      <c r="N123" s="3">
        <f t="shared" si="78"/>
        <v>10150</v>
      </c>
      <c r="O123" s="3">
        <f t="shared" si="78"/>
        <v>0</v>
      </c>
      <c r="P123" s="3">
        <v>0</v>
      </c>
      <c r="Q123" s="3">
        <v>0</v>
      </c>
      <c r="R123" s="3">
        <f t="shared" si="78"/>
        <v>10000</v>
      </c>
      <c r="S123" s="3">
        <f t="shared" si="78"/>
        <v>10000</v>
      </c>
      <c r="T123" s="3">
        <f t="shared" si="78"/>
        <v>14158.333000000001</v>
      </c>
      <c r="U123" s="3">
        <f t="shared" si="78"/>
        <v>14158.333000000001</v>
      </c>
      <c r="V123" s="3">
        <f t="shared" si="78"/>
        <v>0</v>
      </c>
      <c r="W123" s="3">
        <f t="shared" si="78"/>
        <v>0</v>
      </c>
      <c r="X123" s="3">
        <f t="shared" si="78"/>
        <v>0</v>
      </c>
      <c r="Y123" s="3">
        <f t="shared" si="78"/>
        <v>0</v>
      </c>
      <c r="Z123" s="95">
        <v>0</v>
      </c>
      <c r="AA123" s="3">
        <f t="shared" si="78"/>
        <v>0</v>
      </c>
      <c r="AB123" s="3">
        <f t="shared" si="78"/>
        <v>0</v>
      </c>
      <c r="AC123" s="3">
        <f t="shared" si="78"/>
        <v>0</v>
      </c>
      <c r="AD123" s="3">
        <f t="shared" si="78"/>
        <v>0</v>
      </c>
      <c r="AE123" s="3">
        <f t="shared" si="78"/>
        <v>0</v>
      </c>
      <c r="AF123" s="3">
        <f t="shared" si="78"/>
        <v>0</v>
      </c>
      <c r="AG123" s="3">
        <f t="shared" si="78"/>
        <v>0</v>
      </c>
      <c r="AH123" s="3">
        <f t="shared" si="78"/>
        <v>0</v>
      </c>
      <c r="AI123" s="3">
        <f t="shared" si="78"/>
        <v>0</v>
      </c>
      <c r="AJ123" s="3">
        <f t="shared" si="78"/>
        <v>0</v>
      </c>
      <c r="AK123" s="3">
        <f>P123-Q123</f>
        <v>0</v>
      </c>
      <c r="AL123" s="3">
        <f>AL124</f>
        <v>0</v>
      </c>
      <c r="AM123" s="318" t="e">
        <f>ROUND((Q123*100%/P123*100),2)</f>
        <v>#DIV/0!</v>
      </c>
      <c r="AN123" s="3">
        <f>AN124</f>
        <v>0</v>
      </c>
      <c r="AO123" s="3">
        <f>AO124</f>
        <v>0</v>
      </c>
      <c r="AP123" s="633" t="s">
        <v>295</v>
      </c>
      <c r="AQ123" s="95">
        <v>0</v>
      </c>
    </row>
    <row r="124" spans="1:45" ht="17.25" hidden="1" customHeight="1" x14ac:dyDescent="0.25">
      <c r="A124" s="1639"/>
      <c r="B124" s="42" t="s">
        <v>201</v>
      </c>
      <c r="C124" s="313"/>
      <c r="D124" s="313"/>
      <c r="E124" s="313"/>
      <c r="F124" s="313"/>
      <c r="G124" s="313"/>
      <c r="H124" s="916"/>
      <c r="I124" s="1639"/>
      <c r="J124" s="902"/>
      <c r="K124" s="47"/>
      <c r="L124" s="47">
        <v>28990</v>
      </c>
      <c r="M124" s="47">
        <v>0</v>
      </c>
      <c r="N124" s="47">
        <v>10150</v>
      </c>
      <c r="O124" s="47">
        <v>0</v>
      </c>
      <c r="P124" s="47">
        <v>18840</v>
      </c>
      <c r="Q124" s="47">
        <f>Q125</f>
        <v>24158.332999999999</v>
      </c>
      <c r="R124" s="47">
        <f t="shared" si="78"/>
        <v>10000</v>
      </c>
      <c r="S124" s="47">
        <f t="shared" si="78"/>
        <v>10000</v>
      </c>
      <c r="T124" s="47">
        <f t="shared" si="78"/>
        <v>14158.333000000001</v>
      </c>
      <c r="U124" s="47">
        <f t="shared" si="78"/>
        <v>14158.333000000001</v>
      </c>
      <c r="V124" s="47">
        <f t="shared" si="78"/>
        <v>0</v>
      </c>
      <c r="W124" s="47">
        <f t="shared" si="78"/>
        <v>0</v>
      </c>
      <c r="X124" s="47">
        <f t="shared" si="78"/>
        <v>0</v>
      </c>
      <c r="Y124" s="47">
        <f t="shared" si="78"/>
        <v>0</v>
      </c>
      <c r="Z124" s="96"/>
      <c r="AA124" s="47">
        <f t="shared" si="78"/>
        <v>0</v>
      </c>
      <c r="AB124" s="47">
        <f t="shared" si="78"/>
        <v>0</v>
      </c>
      <c r="AC124" s="47">
        <f t="shared" si="78"/>
        <v>0</v>
      </c>
      <c r="AD124" s="47">
        <f t="shared" si="78"/>
        <v>0</v>
      </c>
      <c r="AE124" s="47">
        <f>AE125</f>
        <v>0</v>
      </c>
      <c r="AF124" s="47">
        <f>AF139+AJ124</f>
        <v>0</v>
      </c>
      <c r="AG124" s="47">
        <f>AG139</f>
        <v>0</v>
      </c>
      <c r="AH124" s="47">
        <f>AH139</f>
        <v>0</v>
      </c>
      <c r="AI124" s="47">
        <f>AI139</f>
        <v>0</v>
      </c>
      <c r="AJ124" s="47"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266" customFormat="1" ht="24.75" hidden="1" customHeight="1" x14ac:dyDescent="0.25">
      <c r="A125" s="539"/>
      <c r="B125" s="252" t="s">
        <v>290</v>
      </c>
      <c r="C125" s="363"/>
      <c r="D125" s="363"/>
      <c r="E125" s="363"/>
      <c r="F125" s="363"/>
      <c r="G125" s="363"/>
      <c r="H125" s="364"/>
      <c r="I125" s="614"/>
      <c r="J125" s="258"/>
      <c r="K125" s="96"/>
      <c r="L125" s="96"/>
      <c r="M125" s="96"/>
      <c r="N125" s="96"/>
      <c r="O125" s="96"/>
      <c r="P125" s="96"/>
      <c r="Q125" s="96">
        <f>S125+U125</f>
        <v>24158.332999999999</v>
      </c>
      <c r="R125" s="96">
        <f>S125</f>
        <v>10000</v>
      </c>
      <c r="S125" s="96">
        <v>10000</v>
      </c>
      <c r="T125" s="96">
        <f>U125</f>
        <v>14158.333000000001</v>
      </c>
      <c r="U125" s="96">
        <v>14158.333000000001</v>
      </c>
      <c r="V125" s="96"/>
      <c r="W125" s="96"/>
      <c r="X125" s="96"/>
      <c r="Y125" s="96"/>
      <c r="Z125" s="96"/>
      <c r="AA125" s="96">
        <f>SUM(AB125:AE125)</f>
        <v>0</v>
      </c>
      <c r="AB125" s="96"/>
      <c r="AC125" s="96"/>
      <c r="AD125" s="96"/>
      <c r="AE125" s="96">
        <v>0</v>
      </c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405"/>
      <c r="AQ125" s="96"/>
    </row>
    <row r="126" spans="1:45" ht="54" hidden="1" customHeight="1" x14ac:dyDescent="0.25">
      <c r="A126" s="1332" t="s">
        <v>60</v>
      </c>
      <c r="B126" s="1613" t="s">
        <v>45</v>
      </c>
      <c r="C126" s="1614"/>
      <c r="D126" s="1614"/>
      <c r="E126" s="1614"/>
      <c r="F126" s="1614"/>
      <c r="G126" s="1614"/>
      <c r="H126" s="1615"/>
      <c r="I126" s="23" t="s">
        <v>19</v>
      </c>
      <c r="J126" s="47">
        <v>0</v>
      </c>
      <c r="K126" s="47">
        <f>K129</f>
        <v>0</v>
      </c>
      <c r="L126" s="47">
        <f>M126+N126+O126</f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47">
        <v>0</v>
      </c>
      <c r="X126" s="47">
        <v>0</v>
      </c>
      <c r="Y126" s="47">
        <v>0</v>
      </c>
      <c r="Z126" s="96"/>
      <c r="AA126" s="47">
        <v>0</v>
      </c>
      <c r="AB126" s="47">
        <v>0</v>
      </c>
      <c r="AC126" s="47">
        <v>0</v>
      </c>
      <c r="AD126" s="47">
        <v>0</v>
      </c>
      <c r="AE126" s="47">
        <v>0</v>
      </c>
      <c r="AF126" s="47">
        <v>0</v>
      </c>
      <c r="AG126" s="47">
        <v>0</v>
      </c>
      <c r="AH126" s="47">
        <v>0</v>
      </c>
      <c r="AI126" s="47"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ht="42.75" hidden="1" customHeight="1" x14ac:dyDescent="0.25">
      <c r="A127" s="1333"/>
      <c r="B127" s="1616"/>
      <c r="C127" s="1617"/>
      <c r="D127" s="1617"/>
      <c r="E127" s="1617"/>
      <c r="F127" s="1617"/>
      <c r="G127" s="1617"/>
      <c r="H127" s="1618"/>
      <c r="I127" s="23" t="s">
        <v>20</v>
      </c>
      <c r="J127" s="47">
        <f>J136</f>
        <v>4106.3500000000004</v>
      </c>
      <c r="K127" s="47">
        <v>0</v>
      </c>
      <c r="L127" s="47">
        <f>L136</f>
        <v>6022.96</v>
      </c>
      <c r="M127" s="47">
        <f>M136</f>
        <v>0</v>
      </c>
      <c r="N127" s="47">
        <f t="shared" ref="N127:AO127" si="79">N136</f>
        <v>980</v>
      </c>
      <c r="O127" s="47">
        <f t="shared" si="79"/>
        <v>0</v>
      </c>
      <c r="P127" s="47">
        <f t="shared" si="79"/>
        <v>420.48</v>
      </c>
      <c r="Q127" s="47">
        <f t="shared" si="79"/>
        <v>0</v>
      </c>
      <c r="R127" s="47">
        <f t="shared" si="79"/>
        <v>0</v>
      </c>
      <c r="S127" s="47">
        <f t="shared" si="79"/>
        <v>0</v>
      </c>
      <c r="T127" s="47">
        <f t="shared" si="79"/>
        <v>980</v>
      </c>
      <c r="U127" s="47">
        <f t="shared" si="79"/>
        <v>980</v>
      </c>
      <c r="V127" s="47">
        <f t="shared" si="79"/>
        <v>0</v>
      </c>
      <c r="W127" s="47">
        <f t="shared" si="79"/>
        <v>0</v>
      </c>
      <c r="X127" s="47">
        <f t="shared" si="79"/>
        <v>0</v>
      </c>
      <c r="Y127" s="47">
        <f t="shared" si="79"/>
        <v>0</v>
      </c>
      <c r="Z127" s="96"/>
      <c r="AA127" s="47">
        <f t="shared" si="79"/>
        <v>0</v>
      </c>
      <c r="AB127" s="47">
        <f t="shared" si="79"/>
        <v>0</v>
      </c>
      <c r="AC127" s="47">
        <f t="shared" si="79"/>
        <v>0</v>
      </c>
      <c r="AD127" s="47">
        <f t="shared" si="79"/>
        <v>0</v>
      </c>
      <c r="AE127" s="47">
        <f t="shared" si="79"/>
        <v>0</v>
      </c>
      <c r="AF127" s="47">
        <f t="shared" si="79"/>
        <v>0</v>
      </c>
      <c r="AG127" s="47">
        <f t="shared" si="79"/>
        <v>0</v>
      </c>
      <c r="AH127" s="47">
        <f t="shared" si="79"/>
        <v>0</v>
      </c>
      <c r="AI127" s="47">
        <f t="shared" si="79"/>
        <v>0</v>
      </c>
      <c r="AJ127" s="47">
        <f t="shared" si="79"/>
        <v>0</v>
      </c>
      <c r="AK127" s="47">
        <f t="shared" si="79"/>
        <v>420.48</v>
      </c>
      <c r="AL127" s="47">
        <f t="shared" si="79"/>
        <v>420.48</v>
      </c>
      <c r="AM127" s="47">
        <f t="shared" si="79"/>
        <v>0</v>
      </c>
      <c r="AN127" s="47">
        <f t="shared" si="79"/>
        <v>0</v>
      </c>
      <c r="AO127" s="47">
        <f t="shared" si="79"/>
        <v>0</v>
      </c>
      <c r="AP127" s="397"/>
      <c r="AQ127" s="96"/>
    </row>
    <row r="128" spans="1:45" ht="25.5" hidden="1" x14ac:dyDescent="0.25">
      <c r="A128" s="1333"/>
      <c r="B128" s="1616"/>
      <c r="C128" s="1617"/>
      <c r="D128" s="1617"/>
      <c r="E128" s="1617"/>
      <c r="F128" s="1617"/>
      <c r="G128" s="1617"/>
      <c r="H128" s="1618"/>
      <c r="I128" s="23" t="s">
        <v>10</v>
      </c>
      <c r="J128" s="47">
        <v>0</v>
      </c>
      <c r="K128" s="47"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129" hidden="1" customHeight="1" x14ac:dyDescent="0.25">
      <c r="A129" s="1334"/>
      <c r="B129" s="1619"/>
      <c r="C129" s="1620"/>
      <c r="D129" s="1620"/>
      <c r="E129" s="1620"/>
      <c r="F129" s="1620"/>
      <c r="G129" s="1620"/>
      <c r="H129" s="1621"/>
      <c r="I129" s="23" t="s">
        <v>9</v>
      </c>
      <c r="J129" s="47">
        <v>0</v>
      </c>
      <c r="K129" s="47"/>
      <c r="L129" s="47">
        <f>M129+N129+O129</f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47">
        <v>0</v>
      </c>
      <c r="X129" s="47">
        <v>0</v>
      </c>
      <c r="Y129" s="47">
        <v>0</v>
      </c>
      <c r="Z129" s="96"/>
      <c r="AA129" s="47">
        <v>0</v>
      </c>
      <c r="AB129" s="47">
        <v>0</v>
      </c>
      <c r="AC129" s="47">
        <v>0</v>
      </c>
      <c r="AD129" s="47">
        <v>0</v>
      </c>
      <c r="AE129" s="47">
        <v>0</v>
      </c>
      <c r="AF129" s="47">
        <v>0</v>
      </c>
      <c r="AG129" s="47">
        <v>0</v>
      </c>
      <c r="AH129" s="47">
        <v>0</v>
      </c>
      <c r="AI129" s="47">
        <v>0</v>
      </c>
      <c r="AJ129" s="47">
        <v>0</v>
      </c>
      <c r="AK129" s="47">
        <v>0</v>
      </c>
      <c r="AL129" s="47">
        <v>0</v>
      </c>
      <c r="AM129" s="47">
        <v>0</v>
      </c>
      <c r="AN129" s="47">
        <v>0</v>
      </c>
      <c r="AO129" s="47">
        <v>0</v>
      </c>
      <c r="AP129" s="397"/>
      <c r="AQ129" s="96"/>
    </row>
    <row r="130" spans="1:43" s="327" customFormat="1" ht="31.5" customHeight="1" x14ac:dyDescent="0.25">
      <c r="A130" s="789"/>
      <c r="B130" s="772" t="s">
        <v>405</v>
      </c>
      <c r="C130" s="312"/>
      <c r="D130" s="312"/>
      <c r="E130" s="312"/>
      <c r="F130" s="312"/>
      <c r="G130" s="312"/>
      <c r="H130" s="871"/>
      <c r="I130" s="913"/>
      <c r="J130" s="880"/>
      <c r="K130" s="3"/>
      <c r="L130" s="3"/>
      <c r="M130" s="3"/>
      <c r="N130" s="3"/>
      <c r="O130" s="3"/>
      <c r="P130" s="3">
        <f>SUM(P131:P132)</f>
        <v>2820.43</v>
      </c>
      <c r="Q130" s="3">
        <f t="shared" ref="Q130:AA130" si="80">SUM(Q131:Q132)</f>
        <v>0</v>
      </c>
      <c r="R130" s="3">
        <f t="shared" si="80"/>
        <v>0</v>
      </c>
      <c r="S130" s="3">
        <f t="shared" si="80"/>
        <v>0</v>
      </c>
      <c r="T130" s="3">
        <f t="shared" si="80"/>
        <v>0</v>
      </c>
      <c r="U130" s="3">
        <f t="shared" si="80"/>
        <v>0</v>
      </c>
      <c r="V130" s="3">
        <f t="shared" si="80"/>
        <v>0</v>
      </c>
      <c r="W130" s="3">
        <f t="shared" si="80"/>
        <v>0</v>
      </c>
      <c r="X130" s="3">
        <f t="shared" si="80"/>
        <v>0</v>
      </c>
      <c r="Y130" s="3">
        <f t="shared" si="80"/>
        <v>0</v>
      </c>
      <c r="Z130" s="3">
        <f t="shared" si="80"/>
        <v>0</v>
      </c>
      <c r="AA130" s="3">
        <f t="shared" si="80"/>
        <v>0</v>
      </c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18"/>
      <c r="AN130" s="3"/>
      <c r="AO130" s="3"/>
      <c r="AP130" s="633"/>
      <c r="AQ130" s="95"/>
    </row>
    <row r="131" spans="1:43" ht="15.75" x14ac:dyDescent="0.25">
      <c r="A131" s="869"/>
      <c r="B131" s="42" t="s">
        <v>285</v>
      </c>
      <c r="C131" s="898"/>
      <c r="D131" s="898"/>
      <c r="E131" s="898"/>
      <c r="F131" s="898"/>
      <c r="G131" s="898"/>
      <c r="H131" s="899"/>
      <c r="I131" s="883"/>
      <c r="J131" s="4"/>
      <c r="K131" s="47"/>
      <c r="L131" s="47"/>
      <c r="M131" s="47"/>
      <c r="N131" s="47"/>
      <c r="O131" s="47"/>
      <c r="P131" s="47">
        <v>508</v>
      </c>
      <c r="Q131" s="47">
        <v>0</v>
      </c>
      <c r="R131" s="47"/>
      <c r="S131" s="47"/>
      <c r="T131" s="47"/>
      <c r="U131" s="47"/>
      <c r="V131" s="47"/>
      <c r="W131" s="47"/>
      <c r="X131" s="47"/>
      <c r="Y131" s="47"/>
      <c r="Z131" s="96"/>
      <c r="AA131" s="47">
        <v>0</v>
      </c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"/>
      <c r="AN131" s="47"/>
      <c r="AO131" s="47"/>
      <c r="AP131" s="397"/>
      <c r="AQ131" s="96"/>
    </row>
    <row r="132" spans="1:43" ht="17.25" customHeight="1" x14ac:dyDescent="0.25">
      <c r="A132" s="869"/>
      <c r="B132" s="42" t="s">
        <v>213</v>
      </c>
      <c r="C132" s="313"/>
      <c r="D132" s="313"/>
      <c r="E132" s="313"/>
      <c r="F132" s="313"/>
      <c r="G132" s="313"/>
      <c r="H132" s="916"/>
      <c r="I132" s="883"/>
      <c r="J132" s="902"/>
      <c r="K132" s="47"/>
      <c r="L132" s="47"/>
      <c r="M132" s="47"/>
      <c r="N132" s="47"/>
      <c r="O132" s="47"/>
      <c r="P132" s="47">
        <v>2312.4299999999998</v>
      </c>
      <c r="Q132" s="47">
        <v>0</v>
      </c>
      <c r="R132" s="47"/>
      <c r="S132" s="47"/>
      <c r="T132" s="47"/>
      <c r="U132" s="47"/>
      <c r="V132" s="47"/>
      <c r="W132" s="47"/>
      <c r="X132" s="47"/>
      <c r="Y132" s="47"/>
      <c r="Z132" s="96"/>
      <c r="AA132" s="47">
        <v>0</v>
      </c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397"/>
      <c r="AQ132" s="96"/>
    </row>
    <row r="133" spans="1:43" s="327" customFormat="1" ht="31.5" customHeight="1" x14ac:dyDescent="0.25">
      <c r="A133" s="789"/>
      <c r="B133" s="772" t="s">
        <v>406</v>
      </c>
      <c r="C133" s="312"/>
      <c r="D133" s="312"/>
      <c r="E133" s="312"/>
      <c r="F133" s="312"/>
      <c r="G133" s="312"/>
      <c r="H133" s="871"/>
      <c r="I133" s="913"/>
      <c r="J133" s="880"/>
      <c r="K133" s="3"/>
      <c r="L133" s="3"/>
      <c r="M133" s="3"/>
      <c r="N133" s="3"/>
      <c r="O133" s="3"/>
      <c r="P133" s="3">
        <f>SUM(P134:P135)</f>
        <v>3423.47</v>
      </c>
      <c r="Q133" s="3">
        <f t="shared" ref="Q133:AA133" si="81">SUM(Q134:Q135)</f>
        <v>0</v>
      </c>
      <c r="R133" s="3">
        <f t="shared" si="81"/>
        <v>0</v>
      </c>
      <c r="S133" s="3">
        <f t="shared" si="81"/>
        <v>0</v>
      </c>
      <c r="T133" s="3">
        <f t="shared" si="81"/>
        <v>0</v>
      </c>
      <c r="U133" s="3">
        <f t="shared" si="81"/>
        <v>0</v>
      </c>
      <c r="V133" s="3">
        <f t="shared" si="81"/>
        <v>0</v>
      </c>
      <c r="W133" s="3">
        <f t="shared" si="81"/>
        <v>0</v>
      </c>
      <c r="X133" s="3">
        <f t="shared" si="81"/>
        <v>0</v>
      </c>
      <c r="Y133" s="3">
        <f t="shared" si="81"/>
        <v>0</v>
      </c>
      <c r="Z133" s="3">
        <f t="shared" si="81"/>
        <v>0</v>
      </c>
      <c r="AA133" s="3">
        <f t="shared" si="81"/>
        <v>0</v>
      </c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18"/>
      <c r="AN133" s="3"/>
      <c r="AO133" s="3"/>
      <c r="AP133" s="633"/>
      <c r="AQ133" s="95"/>
    </row>
    <row r="134" spans="1:43" ht="15.75" x14ac:dyDescent="0.25">
      <c r="A134" s="869"/>
      <c r="B134" s="42" t="s">
        <v>285</v>
      </c>
      <c r="C134" s="898"/>
      <c r="D134" s="898"/>
      <c r="E134" s="898"/>
      <c r="F134" s="898"/>
      <c r="G134" s="898"/>
      <c r="H134" s="899"/>
      <c r="I134" s="883"/>
      <c r="J134" s="4"/>
      <c r="K134" s="47"/>
      <c r="L134" s="47"/>
      <c r="M134" s="47"/>
      <c r="N134" s="47"/>
      <c r="O134" s="47"/>
      <c r="P134" s="47">
        <v>489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"/>
      <c r="AN134" s="47"/>
      <c r="AO134" s="47"/>
      <c r="AP134" s="397"/>
      <c r="AQ134" s="96"/>
    </row>
    <row r="135" spans="1:43" ht="17.25" customHeight="1" x14ac:dyDescent="0.25">
      <c r="A135" s="869"/>
      <c r="B135" s="42" t="s">
        <v>213</v>
      </c>
      <c r="C135" s="313"/>
      <c r="D135" s="313"/>
      <c r="E135" s="313"/>
      <c r="F135" s="313"/>
      <c r="G135" s="313"/>
      <c r="H135" s="916"/>
      <c r="I135" s="883"/>
      <c r="J135" s="902"/>
      <c r="K135" s="47"/>
      <c r="L135" s="47"/>
      <c r="M135" s="47"/>
      <c r="N135" s="47"/>
      <c r="O135" s="47"/>
      <c r="P135" s="47">
        <v>2934.47</v>
      </c>
      <c r="Q135" s="47">
        <v>0</v>
      </c>
      <c r="R135" s="47"/>
      <c r="S135" s="47"/>
      <c r="T135" s="47"/>
      <c r="U135" s="47"/>
      <c r="V135" s="47"/>
      <c r="W135" s="47"/>
      <c r="X135" s="47"/>
      <c r="Y135" s="47"/>
      <c r="Z135" s="96"/>
      <c r="AA135" s="47">
        <v>0</v>
      </c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397"/>
      <c r="AQ135" s="96"/>
    </row>
    <row r="136" spans="1:43" s="327" customFormat="1" ht="30" customHeight="1" x14ac:dyDescent="0.25">
      <c r="A136" s="1372" t="s">
        <v>61</v>
      </c>
      <c r="B136" s="609" t="s">
        <v>88</v>
      </c>
      <c r="C136" s="790"/>
      <c r="D136" s="790"/>
      <c r="E136" s="790"/>
      <c r="F136" s="790"/>
      <c r="G136" s="790"/>
      <c r="H136" s="790"/>
      <c r="I136" s="1463" t="s">
        <v>20</v>
      </c>
      <c r="J136" s="1622">
        <v>4106.3500000000004</v>
      </c>
      <c r="K136" s="3">
        <v>0</v>
      </c>
      <c r="L136" s="3">
        <f>L137+L140</f>
        <v>6022.96</v>
      </c>
      <c r="M136" s="3">
        <f>M137+M140</f>
        <v>0</v>
      </c>
      <c r="N136" s="3">
        <f>N137+N140</f>
        <v>980</v>
      </c>
      <c r="O136" s="3">
        <f>O137+O140</f>
        <v>0</v>
      </c>
      <c r="P136" s="3">
        <f>P137+P140</f>
        <v>420.48</v>
      </c>
      <c r="Q136" s="3">
        <f t="shared" ref="Q136:AO136" si="82">Q137+Q140</f>
        <v>0</v>
      </c>
      <c r="R136" s="3">
        <f t="shared" si="82"/>
        <v>0</v>
      </c>
      <c r="S136" s="3">
        <f t="shared" si="82"/>
        <v>0</v>
      </c>
      <c r="T136" s="3">
        <f t="shared" si="82"/>
        <v>980</v>
      </c>
      <c r="U136" s="3">
        <f t="shared" si="82"/>
        <v>980</v>
      </c>
      <c r="V136" s="3">
        <f t="shared" si="82"/>
        <v>0</v>
      </c>
      <c r="W136" s="3">
        <f t="shared" si="82"/>
        <v>0</v>
      </c>
      <c r="X136" s="3">
        <f t="shared" si="82"/>
        <v>0</v>
      </c>
      <c r="Y136" s="3">
        <f t="shared" si="82"/>
        <v>0</v>
      </c>
      <c r="Z136" s="95">
        <v>0</v>
      </c>
      <c r="AA136" s="3">
        <f t="shared" si="82"/>
        <v>0</v>
      </c>
      <c r="AB136" s="3">
        <f>AB137+AB140</f>
        <v>0</v>
      </c>
      <c r="AC136" s="3">
        <f>AC137+AC140</f>
        <v>0</v>
      </c>
      <c r="AD136" s="3">
        <f>AD137+AD140</f>
        <v>0</v>
      </c>
      <c r="AE136" s="3">
        <f>AE137+AE140</f>
        <v>0</v>
      </c>
      <c r="AF136" s="3">
        <f t="shared" si="82"/>
        <v>0</v>
      </c>
      <c r="AG136" s="3">
        <f t="shared" si="82"/>
        <v>0</v>
      </c>
      <c r="AH136" s="3">
        <f t="shared" si="82"/>
        <v>0</v>
      </c>
      <c r="AI136" s="3">
        <f t="shared" si="82"/>
        <v>0</v>
      </c>
      <c r="AJ136" s="3">
        <f t="shared" si="82"/>
        <v>0</v>
      </c>
      <c r="AK136" s="3">
        <f>P136-Q136</f>
        <v>420.48</v>
      </c>
      <c r="AL136" s="3">
        <f>AK136</f>
        <v>420.48</v>
      </c>
      <c r="AM136" s="318">
        <f>ROUND((Q136*100%/P136*100),2)</f>
        <v>0</v>
      </c>
      <c r="AN136" s="3">
        <f t="shared" si="82"/>
        <v>0</v>
      </c>
      <c r="AO136" s="3">
        <f t="shared" si="82"/>
        <v>0</v>
      </c>
      <c r="AP136" s="633" t="s">
        <v>256</v>
      </c>
      <c r="AQ136" s="95">
        <v>0</v>
      </c>
    </row>
    <row r="137" spans="1:43" x14ac:dyDescent="0.25">
      <c r="A137" s="1382"/>
      <c r="B137" s="23" t="s">
        <v>15</v>
      </c>
      <c r="C137" s="46"/>
      <c r="D137" s="46"/>
      <c r="E137" s="46"/>
      <c r="F137" s="46"/>
      <c r="G137" s="866">
        <v>2019</v>
      </c>
      <c r="H137" s="866">
        <v>2019</v>
      </c>
      <c r="I137" s="1464"/>
      <c r="J137" s="1623"/>
      <c r="K137" s="47"/>
      <c r="L137" s="47">
        <v>1000</v>
      </c>
      <c r="M137" s="47">
        <v>0</v>
      </c>
      <c r="N137" s="47">
        <v>980</v>
      </c>
      <c r="O137" s="47">
        <v>0</v>
      </c>
      <c r="P137" s="47">
        <v>0</v>
      </c>
      <c r="Q137" s="47">
        <v>0</v>
      </c>
      <c r="R137" s="47">
        <f t="shared" ref="R137:AA137" si="83">R138+R139</f>
        <v>0</v>
      </c>
      <c r="S137" s="47">
        <f t="shared" si="83"/>
        <v>0</v>
      </c>
      <c r="T137" s="47">
        <f t="shared" si="83"/>
        <v>980</v>
      </c>
      <c r="U137" s="47">
        <f t="shared" si="83"/>
        <v>980</v>
      </c>
      <c r="V137" s="47">
        <f t="shared" si="83"/>
        <v>0</v>
      </c>
      <c r="W137" s="47">
        <f t="shared" si="83"/>
        <v>0</v>
      </c>
      <c r="X137" s="47">
        <f t="shared" si="83"/>
        <v>0</v>
      </c>
      <c r="Y137" s="47">
        <f t="shared" si="83"/>
        <v>0</v>
      </c>
      <c r="Z137" s="96"/>
      <c r="AA137" s="47">
        <f t="shared" si="83"/>
        <v>0</v>
      </c>
      <c r="AB137" s="47">
        <f>AB138+AB139</f>
        <v>0</v>
      </c>
      <c r="AC137" s="47">
        <f>AC138+AC139</f>
        <v>0</v>
      </c>
      <c r="AD137" s="47">
        <f>AD138+AD139</f>
        <v>0</v>
      </c>
      <c r="AE137" s="47">
        <f>AE138+AE139</f>
        <v>0</v>
      </c>
      <c r="AF137" s="47">
        <v>0</v>
      </c>
      <c r="AG137" s="47">
        <v>0</v>
      </c>
      <c r="AH137" s="47">
        <v>0</v>
      </c>
      <c r="AI137" s="47">
        <v>0</v>
      </c>
      <c r="AJ137" s="47">
        <v>0</v>
      </c>
      <c r="AK137" s="47">
        <v>0</v>
      </c>
      <c r="AL137" s="47">
        <v>0</v>
      </c>
      <c r="AM137" s="47">
        <v>0</v>
      </c>
      <c r="AN137" s="47">
        <v>0</v>
      </c>
      <c r="AO137" s="47">
        <v>0</v>
      </c>
      <c r="AP137" s="397"/>
      <c r="AQ137" s="96"/>
    </row>
    <row r="138" spans="1:43" s="266" customFormat="1" hidden="1" x14ac:dyDescent="0.25">
      <c r="A138" s="1382"/>
      <c r="B138" s="443" t="s">
        <v>251</v>
      </c>
      <c r="C138" s="444"/>
      <c r="D138" s="444"/>
      <c r="E138" s="444"/>
      <c r="F138" s="444"/>
      <c r="G138" s="262"/>
      <c r="H138" s="262"/>
      <c r="I138" s="1464"/>
      <c r="J138" s="1623"/>
      <c r="K138" s="96"/>
      <c r="L138" s="96"/>
      <c r="M138" s="96"/>
      <c r="N138" s="96"/>
      <c r="O138" s="96"/>
      <c r="P138" s="96">
        <v>0</v>
      </c>
      <c r="Q138" s="96">
        <f>S138+U138</f>
        <v>980</v>
      </c>
      <c r="R138" s="96">
        <v>0</v>
      </c>
      <c r="S138" s="96">
        <v>0</v>
      </c>
      <c r="T138" s="96">
        <f>U138</f>
        <v>980</v>
      </c>
      <c r="U138" s="96">
        <v>980</v>
      </c>
      <c r="V138" s="96"/>
      <c r="W138" s="96"/>
      <c r="X138" s="96"/>
      <c r="Y138" s="96"/>
      <c r="Z138" s="96"/>
      <c r="AA138" s="96">
        <f>AB138</f>
        <v>0</v>
      </c>
      <c r="AB138" s="96">
        <v>0</v>
      </c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405"/>
      <c r="AQ138" s="96"/>
    </row>
    <row r="139" spans="1:43" s="266" customFormat="1" hidden="1" x14ac:dyDescent="0.25">
      <c r="A139" s="1382"/>
      <c r="B139" s="443" t="s">
        <v>252</v>
      </c>
      <c r="C139" s="444"/>
      <c r="D139" s="444"/>
      <c r="E139" s="444"/>
      <c r="F139" s="444"/>
      <c r="G139" s="262"/>
      <c r="H139" s="262"/>
      <c r="I139" s="1464"/>
      <c r="J139" s="1623"/>
      <c r="K139" s="96"/>
      <c r="L139" s="96"/>
      <c r="M139" s="96"/>
      <c r="N139" s="96"/>
      <c r="O139" s="96"/>
      <c r="P139" s="96"/>
      <c r="Q139" s="96">
        <f>S139</f>
        <v>0</v>
      </c>
      <c r="R139" s="96">
        <f>S139</f>
        <v>0</v>
      </c>
      <c r="S139" s="96">
        <v>0</v>
      </c>
      <c r="T139" s="96"/>
      <c r="U139" s="96"/>
      <c r="V139" s="96"/>
      <c r="W139" s="96"/>
      <c r="X139" s="96"/>
      <c r="Y139" s="96"/>
      <c r="Z139" s="96"/>
      <c r="AA139" s="96">
        <f>AB139</f>
        <v>0</v>
      </c>
      <c r="AB139" s="96">
        <v>0</v>
      </c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405"/>
      <c r="AQ139" s="96"/>
    </row>
    <row r="140" spans="1:43" x14ac:dyDescent="0.25">
      <c r="A140" s="1383"/>
      <c r="B140" s="23" t="s">
        <v>16</v>
      </c>
      <c r="C140" s="46"/>
      <c r="D140" s="46"/>
      <c r="E140" s="46"/>
      <c r="F140" s="46"/>
      <c r="G140" s="866">
        <v>2020</v>
      </c>
      <c r="H140" s="866">
        <v>2021</v>
      </c>
      <c r="I140" s="1465"/>
      <c r="J140" s="1624"/>
      <c r="K140" s="47"/>
      <c r="L140" s="47">
        <v>5022.96</v>
      </c>
      <c r="M140" s="47">
        <v>0</v>
      </c>
      <c r="N140" s="47">
        <v>0</v>
      </c>
      <c r="O140" s="47">
        <v>0</v>
      </c>
      <c r="P140" s="47">
        <v>420.48</v>
      </c>
      <c r="Q140" s="47">
        <v>0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47">
        <v>0</v>
      </c>
      <c r="X140" s="96">
        <v>0</v>
      </c>
      <c r="Y140" s="96">
        <v>0</v>
      </c>
      <c r="Z140" s="96"/>
      <c r="AA140" s="47">
        <v>0</v>
      </c>
      <c r="AB140" s="47">
        <v>0</v>
      </c>
      <c r="AC140" s="47">
        <v>0</v>
      </c>
      <c r="AD140" s="47">
        <v>0</v>
      </c>
      <c r="AE140" s="47">
        <v>0</v>
      </c>
      <c r="AF140" s="47">
        <v>0</v>
      </c>
      <c r="AG140" s="47">
        <v>0</v>
      </c>
      <c r="AH140" s="47">
        <v>0</v>
      </c>
      <c r="AI140" s="47">
        <v>0</v>
      </c>
      <c r="AJ140" s="47">
        <v>0</v>
      </c>
      <c r="AK140" s="47">
        <v>0</v>
      </c>
      <c r="AL140" s="47">
        <v>0</v>
      </c>
      <c r="AM140" s="47">
        <v>0</v>
      </c>
      <c r="AN140" s="47">
        <v>0</v>
      </c>
      <c r="AO140" s="47">
        <v>0</v>
      </c>
      <c r="AP140" s="397"/>
      <c r="AQ140" s="96"/>
    </row>
    <row r="141" spans="1:43" s="327" customFormat="1" ht="30" customHeight="1" x14ac:dyDescent="0.25">
      <c r="A141" s="1372" t="s">
        <v>61</v>
      </c>
      <c r="B141" s="609" t="s">
        <v>407</v>
      </c>
      <c r="C141" s="790"/>
      <c r="D141" s="790"/>
      <c r="E141" s="790"/>
      <c r="F141" s="790"/>
      <c r="G141" s="790"/>
      <c r="H141" s="790"/>
      <c r="I141" s="1463" t="s">
        <v>20</v>
      </c>
      <c r="J141" s="1622">
        <v>4106.3500000000004</v>
      </c>
      <c r="K141" s="3">
        <v>0</v>
      </c>
      <c r="L141" s="3">
        <f>L142+L145</f>
        <v>6022.96</v>
      </c>
      <c r="M141" s="3">
        <f>M142+M145</f>
        <v>0</v>
      </c>
      <c r="N141" s="3">
        <f>N142+N145</f>
        <v>980</v>
      </c>
      <c r="O141" s="3">
        <f>O142+O145</f>
        <v>0</v>
      </c>
      <c r="P141" s="3">
        <f>P142+P145</f>
        <v>1281.25</v>
      </c>
      <c r="Q141" s="3">
        <f t="shared" ref="Q141:Y141" si="84">Q142+Q145</f>
        <v>0</v>
      </c>
      <c r="R141" s="3">
        <f t="shared" si="84"/>
        <v>0</v>
      </c>
      <c r="S141" s="3">
        <f t="shared" si="84"/>
        <v>0</v>
      </c>
      <c r="T141" s="3">
        <f t="shared" si="84"/>
        <v>980</v>
      </c>
      <c r="U141" s="3">
        <f t="shared" si="84"/>
        <v>980</v>
      </c>
      <c r="V141" s="3">
        <f t="shared" si="84"/>
        <v>0</v>
      </c>
      <c r="W141" s="3">
        <f t="shared" si="84"/>
        <v>0</v>
      </c>
      <c r="X141" s="3">
        <f t="shared" si="84"/>
        <v>0</v>
      </c>
      <c r="Y141" s="3">
        <f t="shared" si="84"/>
        <v>0</v>
      </c>
      <c r="Z141" s="95">
        <v>0</v>
      </c>
      <c r="AA141" s="3">
        <f t="shared" ref="AA141" si="85">AA142+AA145</f>
        <v>0</v>
      </c>
      <c r="AB141" s="3">
        <f>AB142+AB145</f>
        <v>0</v>
      </c>
      <c r="AC141" s="3">
        <f>AC142+AC145</f>
        <v>0</v>
      </c>
      <c r="AD141" s="3">
        <f>AD142+AD145</f>
        <v>0</v>
      </c>
      <c r="AE141" s="3">
        <f>AE142+AE145</f>
        <v>0</v>
      </c>
      <c r="AF141" s="3">
        <f t="shared" ref="AF141:AJ141" si="86">AF142+AF145</f>
        <v>0</v>
      </c>
      <c r="AG141" s="3">
        <f t="shared" si="86"/>
        <v>0</v>
      </c>
      <c r="AH141" s="3">
        <f t="shared" si="86"/>
        <v>0</v>
      </c>
      <c r="AI141" s="3">
        <f t="shared" si="86"/>
        <v>0</v>
      </c>
      <c r="AJ141" s="3">
        <f t="shared" si="86"/>
        <v>0</v>
      </c>
      <c r="AK141" s="3">
        <f>P141-Q141</f>
        <v>1281.25</v>
      </c>
      <c r="AL141" s="3">
        <f>AK141</f>
        <v>1281.25</v>
      </c>
      <c r="AM141" s="318">
        <f>ROUND((Q141*100%/P141*100),2)</f>
        <v>0</v>
      </c>
      <c r="AN141" s="3">
        <f t="shared" ref="AN141:AO141" si="87">AN142+AN145</f>
        <v>0</v>
      </c>
      <c r="AO141" s="3">
        <f t="shared" si="87"/>
        <v>0</v>
      </c>
      <c r="AP141" s="633" t="s">
        <v>256</v>
      </c>
      <c r="AQ141" s="95">
        <v>0</v>
      </c>
    </row>
    <row r="142" spans="1:43" x14ac:dyDescent="0.25">
      <c r="A142" s="1382"/>
      <c r="B142" s="23" t="s">
        <v>15</v>
      </c>
      <c r="C142" s="46"/>
      <c r="D142" s="46"/>
      <c r="E142" s="46"/>
      <c r="F142" s="46"/>
      <c r="G142" s="866">
        <v>2019</v>
      </c>
      <c r="H142" s="866">
        <v>2019</v>
      </c>
      <c r="I142" s="1464"/>
      <c r="J142" s="1623"/>
      <c r="K142" s="47"/>
      <c r="L142" s="47">
        <v>1000</v>
      </c>
      <c r="M142" s="47">
        <v>0</v>
      </c>
      <c r="N142" s="47">
        <v>980</v>
      </c>
      <c r="O142" s="47">
        <v>0</v>
      </c>
      <c r="P142" s="47">
        <v>377.91</v>
      </c>
      <c r="Q142" s="47">
        <v>0</v>
      </c>
      <c r="R142" s="47">
        <f t="shared" ref="R142:Y142" si="88">R143+R144</f>
        <v>0</v>
      </c>
      <c r="S142" s="47">
        <f t="shared" si="88"/>
        <v>0</v>
      </c>
      <c r="T142" s="47">
        <f t="shared" si="88"/>
        <v>980</v>
      </c>
      <c r="U142" s="47">
        <f t="shared" si="88"/>
        <v>980</v>
      </c>
      <c r="V142" s="47">
        <f t="shared" si="88"/>
        <v>0</v>
      </c>
      <c r="W142" s="47">
        <f t="shared" si="88"/>
        <v>0</v>
      </c>
      <c r="X142" s="47">
        <f t="shared" si="88"/>
        <v>0</v>
      </c>
      <c r="Y142" s="47">
        <f t="shared" si="88"/>
        <v>0</v>
      </c>
      <c r="Z142" s="96"/>
      <c r="AA142" s="47">
        <f t="shared" ref="AA142" si="89">AA143+AA144</f>
        <v>0</v>
      </c>
      <c r="AB142" s="47">
        <f>AB143+AB144</f>
        <v>0</v>
      </c>
      <c r="AC142" s="47">
        <f>AC143+AC144</f>
        <v>0</v>
      </c>
      <c r="AD142" s="47">
        <f>AD143+AD144</f>
        <v>0</v>
      </c>
      <c r="AE142" s="47">
        <f>AE143+AE144</f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266" customFormat="1" hidden="1" x14ac:dyDescent="0.25">
      <c r="A143" s="1382"/>
      <c r="B143" s="443" t="s">
        <v>251</v>
      </c>
      <c r="C143" s="444"/>
      <c r="D143" s="444"/>
      <c r="E143" s="444"/>
      <c r="F143" s="444"/>
      <c r="G143" s="262"/>
      <c r="H143" s="262"/>
      <c r="I143" s="1464"/>
      <c r="J143" s="1623"/>
      <c r="K143" s="96"/>
      <c r="L143" s="96"/>
      <c r="M143" s="96"/>
      <c r="N143" s="96"/>
      <c r="O143" s="96"/>
      <c r="P143" s="96">
        <v>0</v>
      </c>
      <c r="Q143" s="96">
        <f>S143+U143</f>
        <v>980</v>
      </c>
      <c r="R143" s="96">
        <v>0</v>
      </c>
      <c r="S143" s="96">
        <v>0</v>
      </c>
      <c r="T143" s="96">
        <f>U143</f>
        <v>980</v>
      </c>
      <c r="U143" s="96">
        <v>980</v>
      </c>
      <c r="V143" s="96"/>
      <c r="W143" s="96"/>
      <c r="X143" s="96"/>
      <c r="Y143" s="96"/>
      <c r="Z143" s="96"/>
      <c r="AA143" s="96">
        <f>AB143</f>
        <v>0</v>
      </c>
      <c r="AB143" s="96">
        <v>0</v>
      </c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405"/>
      <c r="AQ143" s="96"/>
    </row>
    <row r="144" spans="1:43" s="266" customFormat="1" hidden="1" x14ac:dyDescent="0.25">
      <c r="A144" s="1382"/>
      <c r="B144" s="443" t="s">
        <v>252</v>
      </c>
      <c r="C144" s="444"/>
      <c r="D144" s="444"/>
      <c r="E144" s="444"/>
      <c r="F144" s="444"/>
      <c r="G144" s="262"/>
      <c r="H144" s="262"/>
      <c r="I144" s="1464"/>
      <c r="J144" s="1623"/>
      <c r="K144" s="96"/>
      <c r="L144" s="96"/>
      <c r="M144" s="96"/>
      <c r="N144" s="96"/>
      <c r="O144" s="96"/>
      <c r="P144" s="96"/>
      <c r="Q144" s="96">
        <f>S144</f>
        <v>0</v>
      </c>
      <c r="R144" s="96">
        <f>S144</f>
        <v>0</v>
      </c>
      <c r="S144" s="96">
        <v>0</v>
      </c>
      <c r="T144" s="96"/>
      <c r="U144" s="96"/>
      <c r="V144" s="96"/>
      <c r="W144" s="96"/>
      <c r="X144" s="96"/>
      <c r="Y144" s="96"/>
      <c r="Z144" s="96"/>
      <c r="AA144" s="96">
        <f>AB144</f>
        <v>0</v>
      </c>
      <c r="AB144" s="96">
        <v>0</v>
      </c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405"/>
      <c r="AQ144" s="96"/>
    </row>
    <row r="145" spans="1:43" x14ac:dyDescent="0.25">
      <c r="A145" s="1383"/>
      <c r="B145" s="23" t="s">
        <v>16</v>
      </c>
      <c r="C145" s="46"/>
      <c r="D145" s="46"/>
      <c r="E145" s="46"/>
      <c r="F145" s="46"/>
      <c r="G145" s="866">
        <v>2020</v>
      </c>
      <c r="H145" s="866">
        <v>2021</v>
      </c>
      <c r="I145" s="1465"/>
      <c r="J145" s="1624"/>
      <c r="K145" s="47"/>
      <c r="L145" s="47">
        <v>5022.96</v>
      </c>
      <c r="M145" s="47">
        <v>0</v>
      </c>
      <c r="N145" s="47">
        <v>0</v>
      </c>
      <c r="O145" s="47">
        <v>0</v>
      </c>
      <c r="P145" s="47">
        <v>903.34</v>
      </c>
      <c r="Q145" s="47">
        <v>0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47">
        <v>0</v>
      </c>
      <c r="X145" s="96">
        <v>0</v>
      </c>
      <c r="Y145" s="96">
        <v>0</v>
      </c>
      <c r="Z145" s="96"/>
      <c r="AA145" s="47">
        <v>0</v>
      </c>
      <c r="AB145" s="47">
        <v>0</v>
      </c>
      <c r="AC145" s="47">
        <v>0</v>
      </c>
      <c r="AD145" s="47">
        <v>0</v>
      </c>
      <c r="AE145" s="47">
        <v>0</v>
      </c>
      <c r="AF145" s="47">
        <v>0</v>
      </c>
      <c r="AG145" s="47">
        <v>0</v>
      </c>
      <c r="AH145" s="47">
        <v>0</v>
      </c>
      <c r="AI145" s="47">
        <v>0</v>
      </c>
      <c r="AJ145" s="47">
        <v>0</v>
      </c>
      <c r="AK145" s="47">
        <v>0</v>
      </c>
      <c r="AL145" s="47">
        <v>0</v>
      </c>
      <c r="AM145" s="47">
        <v>0</v>
      </c>
      <c r="AN145" s="47">
        <v>0</v>
      </c>
      <c r="AO145" s="47">
        <v>0</v>
      </c>
      <c r="AP145" s="397"/>
      <c r="AQ145" s="96"/>
    </row>
    <row r="146" spans="1:43" s="327" customFormat="1" ht="30" customHeight="1" x14ac:dyDescent="0.25">
      <c r="A146" s="1372" t="s">
        <v>61</v>
      </c>
      <c r="B146" s="609" t="s">
        <v>408</v>
      </c>
      <c r="C146" s="790"/>
      <c r="D146" s="790"/>
      <c r="E146" s="790"/>
      <c r="F146" s="790"/>
      <c r="G146" s="790"/>
      <c r="H146" s="790"/>
      <c r="I146" s="1463" t="s">
        <v>20</v>
      </c>
      <c r="J146" s="1622">
        <v>4106.3500000000004</v>
      </c>
      <c r="K146" s="3">
        <v>0</v>
      </c>
      <c r="L146" s="3">
        <f>L147+L150</f>
        <v>6022.96</v>
      </c>
      <c r="M146" s="3">
        <f>M147+M150</f>
        <v>0</v>
      </c>
      <c r="N146" s="3">
        <f>N147+N150</f>
        <v>980</v>
      </c>
      <c r="O146" s="3">
        <f>O147+O150</f>
        <v>0</v>
      </c>
      <c r="P146" s="3">
        <f>P147+P150</f>
        <v>1281.2539999999999</v>
      </c>
      <c r="Q146" s="3">
        <f t="shared" ref="Q146:Y146" si="90">Q147+Q150</f>
        <v>0</v>
      </c>
      <c r="R146" s="3">
        <f t="shared" si="90"/>
        <v>0</v>
      </c>
      <c r="S146" s="3">
        <f t="shared" si="90"/>
        <v>0</v>
      </c>
      <c r="T146" s="3">
        <f t="shared" si="90"/>
        <v>980</v>
      </c>
      <c r="U146" s="3">
        <f t="shared" si="90"/>
        <v>980</v>
      </c>
      <c r="V146" s="3">
        <f t="shared" si="90"/>
        <v>0</v>
      </c>
      <c r="W146" s="3">
        <f t="shared" si="90"/>
        <v>0</v>
      </c>
      <c r="X146" s="3">
        <f t="shared" si="90"/>
        <v>0</v>
      </c>
      <c r="Y146" s="3">
        <f t="shared" si="90"/>
        <v>0</v>
      </c>
      <c r="Z146" s="95">
        <v>0</v>
      </c>
      <c r="AA146" s="3">
        <f t="shared" ref="AA146" si="91">AA147+AA150</f>
        <v>0</v>
      </c>
      <c r="AB146" s="3">
        <f>AB147+AB150</f>
        <v>0</v>
      </c>
      <c r="AC146" s="3">
        <f>AC147+AC150</f>
        <v>0</v>
      </c>
      <c r="AD146" s="3">
        <f>AD147+AD150</f>
        <v>0</v>
      </c>
      <c r="AE146" s="3">
        <f>AE147+AE150</f>
        <v>0</v>
      </c>
      <c r="AF146" s="3">
        <f t="shared" ref="AF146:AJ146" si="92">AF147+AF150</f>
        <v>0</v>
      </c>
      <c r="AG146" s="3">
        <f t="shared" si="92"/>
        <v>0</v>
      </c>
      <c r="AH146" s="3">
        <f t="shared" si="92"/>
        <v>0</v>
      </c>
      <c r="AI146" s="3">
        <f t="shared" si="92"/>
        <v>0</v>
      </c>
      <c r="AJ146" s="3">
        <f t="shared" si="92"/>
        <v>0</v>
      </c>
      <c r="AK146" s="3">
        <f>P146-Q146</f>
        <v>1281.2539999999999</v>
      </c>
      <c r="AL146" s="3">
        <f>AK146</f>
        <v>1281.2539999999999</v>
      </c>
      <c r="AM146" s="318">
        <f>ROUND((Q146*100%/P146*100),2)</f>
        <v>0</v>
      </c>
      <c r="AN146" s="3">
        <f t="shared" ref="AN146:AO146" si="93">AN147+AN150</f>
        <v>0</v>
      </c>
      <c r="AO146" s="3">
        <f t="shared" si="93"/>
        <v>0</v>
      </c>
      <c r="AP146" s="633" t="s">
        <v>256</v>
      </c>
      <c r="AQ146" s="95">
        <v>0</v>
      </c>
    </row>
    <row r="147" spans="1:43" x14ac:dyDescent="0.25">
      <c r="A147" s="1382"/>
      <c r="B147" s="23" t="s">
        <v>15</v>
      </c>
      <c r="C147" s="46"/>
      <c r="D147" s="46"/>
      <c r="E147" s="46"/>
      <c r="F147" s="46"/>
      <c r="G147" s="866">
        <v>2019</v>
      </c>
      <c r="H147" s="866">
        <v>2019</v>
      </c>
      <c r="I147" s="1464"/>
      <c r="J147" s="1623"/>
      <c r="K147" s="47"/>
      <c r="L147" s="47">
        <v>1000</v>
      </c>
      <c r="M147" s="47">
        <v>0</v>
      </c>
      <c r="N147" s="47">
        <v>980</v>
      </c>
      <c r="O147" s="47">
        <v>0</v>
      </c>
      <c r="P147" s="47">
        <v>377.91399999999999</v>
      </c>
      <c r="Q147" s="47">
        <v>0</v>
      </c>
      <c r="R147" s="47">
        <f t="shared" ref="R147:Y147" si="94">R148+R149</f>
        <v>0</v>
      </c>
      <c r="S147" s="47">
        <f t="shared" si="94"/>
        <v>0</v>
      </c>
      <c r="T147" s="47">
        <f t="shared" si="94"/>
        <v>980</v>
      </c>
      <c r="U147" s="47">
        <f t="shared" si="94"/>
        <v>980</v>
      </c>
      <c r="V147" s="47">
        <f t="shared" si="94"/>
        <v>0</v>
      </c>
      <c r="W147" s="47">
        <f t="shared" si="94"/>
        <v>0</v>
      </c>
      <c r="X147" s="47">
        <f t="shared" si="94"/>
        <v>0</v>
      </c>
      <c r="Y147" s="47">
        <f t="shared" si="94"/>
        <v>0</v>
      </c>
      <c r="Z147" s="96"/>
      <c r="AA147" s="47">
        <f t="shared" ref="AA147" si="95">AA148+AA149</f>
        <v>0</v>
      </c>
      <c r="AB147" s="47">
        <f>AB148+AB149</f>
        <v>0</v>
      </c>
      <c r="AC147" s="47">
        <f>AC148+AC149</f>
        <v>0</v>
      </c>
      <c r="AD147" s="47">
        <f>AD148+AD149</f>
        <v>0</v>
      </c>
      <c r="AE147" s="47">
        <f>AE148+AE149</f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266" customFormat="1" hidden="1" x14ac:dyDescent="0.25">
      <c r="A148" s="1382"/>
      <c r="B148" s="443" t="s">
        <v>251</v>
      </c>
      <c r="C148" s="444"/>
      <c r="D148" s="444"/>
      <c r="E148" s="444"/>
      <c r="F148" s="444"/>
      <c r="G148" s="262"/>
      <c r="H148" s="262"/>
      <c r="I148" s="1464"/>
      <c r="J148" s="1623"/>
      <c r="K148" s="96"/>
      <c r="L148" s="96"/>
      <c r="M148" s="96"/>
      <c r="N148" s="96"/>
      <c r="O148" s="96"/>
      <c r="P148" s="96">
        <v>0</v>
      </c>
      <c r="Q148" s="96">
        <f>S148+U148</f>
        <v>980</v>
      </c>
      <c r="R148" s="96">
        <v>0</v>
      </c>
      <c r="S148" s="96">
        <v>0</v>
      </c>
      <c r="T148" s="96">
        <f>U148</f>
        <v>980</v>
      </c>
      <c r="U148" s="96">
        <v>980</v>
      </c>
      <c r="V148" s="96"/>
      <c r="W148" s="96"/>
      <c r="X148" s="96"/>
      <c r="Y148" s="96"/>
      <c r="Z148" s="96"/>
      <c r="AA148" s="96">
        <f>AB148</f>
        <v>0</v>
      </c>
      <c r="AB148" s="96">
        <v>0</v>
      </c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405"/>
      <c r="AQ148" s="96"/>
    </row>
    <row r="149" spans="1:43" s="266" customFormat="1" hidden="1" x14ac:dyDescent="0.25">
      <c r="A149" s="1382"/>
      <c r="B149" s="443" t="s">
        <v>252</v>
      </c>
      <c r="C149" s="444"/>
      <c r="D149" s="444"/>
      <c r="E149" s="444"/>
      <c r="F149" s="444"/>
      <c r="G149" s="262"/>
      <c r="H149" s="262"/>
      <c r="I149" s="1464"/>
      <c r="J149" s="1623"/>
      <c r="K149" s="96"/>
      <c r="L149" s="96"/>
      <c r="M149" s="96"/>
      <c r="N149" s="96"/>
      <c r="O149" s="96"/>
      <c r="P149" s="96"/>
      <c r="Q149" s="96">
        <f>S149</f>
        <v>0</v>
      </c>
      <c r="R149" s="96">
        <f>S149</f>
        <v>0</v>
      </c>
      <c r="S149" s="96">
        <v>0</v>
      </c>
      <c r="T149" s="96"/>
      <c r="U149" s="96"/>
      <c r="V149" s="96"/>
      <c r="W149" s="96"/>
      <c r="X149" s="96"/>
      <c r="Y149" s="96"/>
      <c r="Z149" s="96"/>
      <c r="AA149" s="96">
        <f>AB149</f>
        <v>0</v>
      </c>
      <c r="AB149" s="96">
        <v>0</v>
      </c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405"/>
      <c r="AQ149" s="96"/>
    </row>
    <row r="150" spans="1:43" x14ac:dyDescent="0.25">
      <c r="A150" s="1383"/>
      <c r="B150" s="23" t="s">
        <v>16</v>
      </c>
      <c r="C150" s="46"/>
      <c r="D150" s="46"/>
      <c r="E150" s="46"/>
      <c r="F150" s="46"/>
      <c r="G150" s="866">
        <v>2020</v>
      </c>
      <c r="H150" s="866">
        <v>2021</v>
      </c>
      <c r="I150" s="1465"/>
      <c r="J150" s="1624"/>
      <c r="K150" s="47"/>
      <c r="L150" s="47">
        <v>5022.96</v>
      </c>
      <c r="M150" s="47">
        <v>0</v>
      </c>
      <c r="N150" s="47">
        <v>0</v>
      </c>
      <c r="O150" s="47">
        <v>0</v>
      </c>
      <c r="P150" s="47">
        <v>903.34</v>
      </c>
      <c r="Q150" s="47">
        <v>0</v>
      </c>
      <c r="R150" s="47">
        <v>0</v>
      </c>
      <c r="S150" s="47">
        <v>0</v>
      </c>
      <c r="T150" s="47">
        <v>0</v>
      </c>
      <c r="U150" s="47">
        <v>0</v>
      </c>
      <c r="V150" s="47">
        <v>0</v>
      </c>
      <c r="W150" s="47">
        <v>0</v>
      </c>
      <c r="X150" s="96">
        <v>0</v>
      </c>
      <c r="Y150" s="96">
        <v>0</v>
      </c>
      <c r="Z150" s="96"/>
      <c r="AA150" s="47">
        <v>0</v>
      </c>
      <c r="AB150" s="47">
        <v>0</v>
      </c>
      <c r="AC150" s="47">
        <v>0</v>
      </c>
      <c r="AD150" s="47">
        <v>0</v>
      </c>
      <c r="AE150" s="47">
        <v>0</v>
      </c>
      <c r="AF150" s="47">
        <v>0</v>
      </c>
      <c r="AG150" s="47">
        <v>0</v>
      </c>
      <c r="AH150" s="47">
        <v>0</v>
      </c>
      <c r="AI150" s="47">
        <v>0</v>
      </c>
      <c r="AJ150" s="47">
        <v>0</v>
      </c>
      <c r="AK150" s="47">
        <v>0</v>
      </c>
      <c r="AL150" s="47">
        <v>0</v>
      </c>
      <c r="AM150" s="47">
        <v>0</v>
      </c>
      <c r="AN150" s="47">
        <v>0</v>
      </c>
      <c r="AO150" s="47">
        <v>0</v>
      </c>
      <c r="AP150" s="397"/>
      <c r="AQ150" s="96"/>
    </row>
    <row r="151" spans="1:43" ht="15.75" x14ac:dyDescent="0.25">
      <c r="A151" s="879"/>
      <c r="B151" s="791"/>
      <c r="C151" s="792"/>
      <c r="D151" s="792"/>
      <c r="E151" s="792"/>
      <c r="F151" s="792"/>
      <c r="G151" s="313"/>
      <c r="H151" s="313"/>
      <c r="I151" s="793"/>
      <c r="J151" s="794"/>
      <c r="K151" s="795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7"/>
      <c r="Y151" s="797"/>
      <c r="Z151" s="797"/>
      <c r="AA151" s="796"/>
      <c r="AB151" s="796"/>
      <c r="AC151" s="796"/>
      <c r="AD151" s="796"/>
      <c r="AE151" s="796"/>
      <c r="AF151" s="796"/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8"/>
      <c r="AQ151" s="797"/>
    </row>
    <row r="152" spans="1:43" s="925" customFormat="1" ht="15.75" x14ac:dyDescent="0.25">
      <c r="A152" s="929" t="s">
        <v>13</v>
      </c>
      <c r="B152" s="926"/>
      <c r="C152" s="927"/>
      <c r="D152" s="927"/>
      <c r="E152" s="927"/>
      <c r="F152" s="927"/>
      <c r="G152" s="927"/>
      <c r="H152" s="927"/>
      <c r="I152" s="927"/>
      <c r="J152" s="927"/>
      <c r="K152" s="927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30"/>
      <c r="AQ152" s="928"/>
    </row>
    <row r="153" spans="1:43" s="934" customFormat="1" ht="12.75" x14ac:dyDescent="0.2">
      <c r="A153" s="1604" t="s">
        <v>443</v>
      </c>
      <c r="B153" s="1605"/>
      <c r="C153" s="1605"/>
      <c r="D153" s="1605"/>
      <c r="E153" s="1605"/>
      <c r="F153" s="1605"/>
      <c r="G153" s="1605"/>
      <c r="H153" s="1606"/>
      <c r="I153" s="931" t="s">
        <v>21</v>
      </c>
      <c r="J153" s="932">
        <f t="shared" ref="J153:AO153" si="96">J154+J155+J156+J157</f>
        <v>165965.11999999997</v>
      </c>
      <c r="K153" s="932">
        <f t="shared" si="96"/>
        <v>25354.1</v>
      </c>
      <c r="L153" s="932">
        <f t="shared" si="96"/>
        <v>1042119.19</v>
      </c>
      <c r="M153" s="932">
        <f t="shared" si="96"/>
        <v>571026.48</v>
      </c>
      <c r="N153" s="932">
        <f t="shared" si="96"/>
        <v>616839.18000000005</v>
      </c>
      <c r="O153" s="932">
        <f t="shared" si="96"/>
        <v>381271.67000000004</v>
      </c>
      <c r="P153" s="932">
        <f>P162+P165+P169+P178+P182+P185+P206+P211+P217+P223+P225+P236+P247+P250+P255+P258+P265+P267+P271+P276+P283+P286+P193+P196+P199+P227+P233+P240+P296+P306+P309</f>
        <v>292742.20000000007</v>
      </c>
      <c r="Q153" s="932">
        <f t="shared" ref="Q153:AA153" si="97">Q162+Q165+Q169+Q178+Q182+Q185+Q206+Q211+Q217+Q223+Q225+Q236+Q247+Q250+Q255+Q258+Q265+Q267+Q271+Q276+Q283+Q286+Q193+Q196+Q199+Q227+Q233+Q240+Q296+Q306+Q309</f>
        <v>23096.219999999998</v>
      </c>
      <c r="R153" s="932">
        <f t="shared" si="97"/>
        <v>23233.600000000002</v>
      </c>
      <c r="S153" s="932">
        <f t="shared" si="97"/>
        <v>26233.599999999999</v>
      </c>
      <c r="T153" s="932">
        <f t="shared" si="97"/>
        <v>25740.546000000002</v>
      </c>
      <c r="U153" s="932">
        <f t="shared" si="97"/>
        <v>27949.284000000003</v>
      </c>
      <c r="V153" s="932">
        <f t="shared" si="97"/>
        <v>54714.664999999994</v>
      </c>
      <c r="W153" s="932">
        <f t="shared" si="97"/>
        <v>55653.578999999998</v>
      </c>
      <c r="X153" s="932">
        <f t="shared" si="97"/>
        <v>21705.95</v>
      </c>
      <c r="Y153" s="932">
        <f t="shared" si="97"/>
        <v>21705.95</v>
      </c>
      <c r="Z153" s="932">
        <f t="shared" si="97"/>
        <v>21705.95</v>
      </c>
      <c r="AA153" s="932">
        <f t="shared" si="97"/>
        <v>23750.82</v>
      </c>
      <c r="AB153" s="932">
        <f t="shared" si="96"/>
        <v>20471.075000000001</v>
      </c>
      <c r="AC153" s="932">
        <f t="shared" si="96"/>
        <v>35341.406000000003</v>
      </c>
      <c r="AD153" s="932">
        <f t="shared" si="96"/>
        <v>69790.480890000006</v>
      </c>
      <c r="AE153" s="932">
        <f t="shared" si="96"/>
        <v>0</v>
      </c>
      <c r="AF153" s="932">
        <f t="shared" si="96"/>
        <v>0</v>
      </c>
      <c r="AG153" s="932">
        <f t="shared" si="96"/>
        <v>0</v>
      </c>
      <c r="AH153" s="932">
        <f t="shared" si="96"/>
        <v>0</v>
      </c>
      <c r="AI153" s="932">
        <f t="shared" si="96"/>
        <v>0</v>
      </c>
      <c r="AJ153" s="932">
        <f t="shared" si="96"/>
        <v>0</v>
      </c>
      <c r="AK153" s="932">
        <f t="shared" si="96"/>
        <v>147648.24</v>
      </c>
      <c r="AL153" s="932">
        <f t="shared" si="96"/>
        <v>147648.24</v>
      </c>
      <c r="AM153" s="932" t="e">
        <f t="shared" si="96"/>
        <v>#DIV/0!</v>
      </c>
      <c r="AN153" s="932">
        <f t="shared" si="96"/>
        <v>0</v>
      </c>
      <c r="AO153" s="932">
        <f t="shared" si="96"/>
        <v>0</v>
      </c>
      <c r="AP153" s="933"/>
      <c r="AQ153" s="932">
        <f>AQ162+AQ165+AQ169+AQ178+AQ182+AQ185+AQ206+AQ211+AQ217+AQ223+AQ225+AQ236+AQ247+AQ250+AQ255+AQ258+AQ265+AQ267+AQ271+AQ276+AQ283+AQ286</f>
        <v>4894.7240000000002</v>
      </c>
    </row>
    <row r="154" spans="1:43" s="615" customFormat="1" ht="58.5" hidden="1" customHeight="1" x14ac:dyDescent="0.2">
      <c r="A154" s="1607"/>
      <c r="B154" s="1608"/>
      <c r="C154" s="1608"/>
      <c r="D154" s="1608"/>
      <c r="E154" s="1608"/>
      <c r="F154" s="1608"/>
      <c r="G154" s="1608"/>
      <c r="H154" s="1609"/>
      <c r="I154" s="23" t="s">
        <v>19</v>
      </c>
      <c r="J154" s="71">
        <f t="shared" ref="J154:AO157" si="98">J158+J202+J229</f>
        <v>152888.53999999998</v>
      </c>
      <c r="K154" s="71">
        <f t="shared" si="98"/>
        <v>25354.1</v>
      </c>
      <c r="L154" s="47">
        <f t="shared" si="98"/>
        <v>193023.18</v>
      </c>
      <c r="M154" s="47">
        <f t="shared" si="98"/>
        <v>42443.12</v>
      </c>
      <c r="N154" s="47">
        <f t="shared" si="98"/>
        <v>35331.160000000003</v>
      </c>
      <c r="O154" s="47">
        <f t="shared" si="98"/>
        <v>29531.94</v>
      </c>
      <c r="P154" s="47">
        <f t="shared" si="98"/>
        <v>100162.01</v>
      </c>
      <c r="Q154" s="47">
        <f t="shared" si="98"/>
        <v>0</v>
      </c>
      <c r="R154" s="47">
        <f t="shared" si="98"/>
        <v>743.47199999999998</v>
      </c>
      <c r="S154" s="47">
        <f t="shared" si="98"/>
        <v>3743.4719999999998</v>
      </c>
      <c r="T154" s="47">
        <f t="shared" si="98"/>
        <v>31.5</v>
      </c>
      <c r="U154" s="47">
        <f t="shared" si="98"/>
        <v>2236.8380000000002</v>
      </c>
      <c r="V154" s="47">
        <f t="shared" si="98"/>
        <v>0</v>
      </c>
      <c r="W154" s="47">
        <f t="shared" si="98"/>
        <v>0</v>
      </c>
      <c r="X154" s="47">
        <f t="shared" si="98"/>
        <v>0</v>
      </c>
      <c r="Y154" s="47">
        <f t="shared" si="98"/>
        <v>0</v>
      </c>
      <c r="Z154" s="96"/>
      <c r="AA154" s="47">
        <f t="shared" si="98"/>
        <v>0</v>
      </c>
      <c r="AB154" s="47">
        <f t="shared" si="98"/>
        <v>2948.8069999999998</v>
      </c>
      <c r="AC154" s="47">
        <f t="shared" si="98"/>
        <v>0</v>
      </c>
      <c r="AD154" s="47">
        <f t="shared" si="98"/>
        <v>31.5</v>
      </c>
      <c r="AE154" s="47">
        <f t="shared" si="98"/>
        <v>0</v>
      </c>
      <c r="AF154" s="47">
        <f t="shared" si="98"/>
        <v>0</v>
      </c>
      <c r="AG154" s="47">
        <f t="shared" si="98"/>
        <v>0</v>
      </c>
      <c r="AH154" s="47">
        <f t="shared" si="98"/>
        <v>0</v>
      </c>
      <c r="AI154" s="47">
        <f t="shared" si="98"/>
        <v>0</v>
      </c>
      <c r="AJ154" s="47">
        <f t="shared" si="98"/>
        <v>0</v>
      </c>
      <c r="AK154" s="47">
        <f t="shared" si="98"/>
        <v>28946.75</v>
      </c>
      <c r="AL154" s="47">
        <f t="shared" si="98"/>
        <v>28946.75</v>
      </c>
      <c r="AM154" s="47" t="e">
        <f t="shared" si="98"/>
        <v>#DIV/0!</v>
      </c>
      <c r="AN154" s="47">
        <f t="shared" si="98"/>
        <v>0</v>
      </c>
      <c r="AO154" s="47">
        <f t="shared" si="98"/>
        <v>0</v>
      </c>
      <c r="AP154" s="397"/>
      <c r="AQ154" s="96"/>
    </row>
    <row r="155" spans="1:43" s="615" customFormat="1" ht="45.75" hidden="1" customHeight="1" x14ac:dyDescent="0.2">
      <c r="A155" s="1607"/>
      <c r="B155" s="1608"/>
      <c r="C155" s="1608"/>
      <c r="D155" s="1608"/>
      <c r="E155" s="1608"/>
      <c r="F155" s="1608"/>
      <c r="G155" s="1608"/>
      <c r="H155" s="1609"/>
      <c r="I155" s="23" t="s">
        <v>20</v>
      </c>
      <c r="J155" s="71">
        <f t="shared" si="98"/>
        <v>13076.579999999998</v>
      </c>
      <c r="K155" s="71">
        <f t="shared" si="98"/>
        <v>0</v>
      </c>
      <c r="L155" s="47">
        <f t="shared" ref="L155:Y156" si="99">L159+L203+L230+L244</f>
        <v>353562.91999999993</v>
      </c>
      <c r="M155" s="47">
        <f t="shared" si="99"/>
        <v>36205.620000000003</v>
      </c>
      <c r="N155" s="47">
        <f t="shared" si="99"/>
        <v>88280.380000000019</v>
      </c>
      <c r="O155" s="47">
        <f t="shared" si="99"/>
        <v>53996.09</v>
      </c>
      <c r="P155" s="47">
        <f t="shared" si="99"/>
        <v>132010.46000000002</v>
      </c>
      <c r="Q155" s="47">
        <f t="shared" si="99"/>
        <v>1290.4000000000001</v>
      </c>
      <c r="R155" s="47">
        <f t="shared" si="99"/>
        <v>784.17799999999988</v>
      </c>
      <c r="S155" s="47">
        <f t="shared" si="99"/>
        <v>784.17799999999988</v>
      </c>
      <c r="T155" s="47">
        <f t="shared" si="99"/>
        <v>4003.096</v>
      </c>
      <c r="U155" s="47">
        <f t="shared" si="99"/>
        <v>4006.4960000000001</v>
      </c>
      <c r="V155" s="47">
        <f t="shared" si="99"/>
        <v>4331.41</v>
      </c>
      <c r="W155" s="47">
        <f t="shared" si="99"/>
        <v>5270.3239999999996</v>
      </c>
      <c r="X155" s="47">
        <f t="shared" si="99"/>
        <v>0</v>
      </c>
      <c r="Y155" s="47">
        <f t="shared" si="99"/>
        <v>0</v>
      </c>
      <c r="Z155" s="96"/>
      <c r="AA155" s="47">
        <f>AA159+AA203+AA230+AA244</f>
        <v>1945</v>
      </c>
      <c r="AB155" s="47">
        <f>AB159+AB203+AB230+AB244</f>
        <v>0</v>
      </c>
      <c r="AC155" s="47">
        <f>AC159+AC203+AC230+AC244</f>
        <v>3241.61</v>
      </c>
      <c r="AD155" s="47">
        <f>AD159+AD203+AD230+AD244</f>
        <v>69758.980890000006</v>
      </c>
      <c r="AE155" s="47">
        <f>AE159+AE203+AE230+AE244</f>
        <v>0</v>
      </c>
      <c r="AF155" s="47">
        <f t="shared" si="98"/>
        <v>0</v>
      </c>
      <c r="AG155" s="47">
        <f t="shared" si="98"/>
        <v>0</v>
      </c>
      <c r="AH155" s="47">
        <f t="shared" si="98"/>
        <v>0</v>
      </c>
      <c r="AI155" s="47">
        <f t="shared" si="98"/>
        <v>0</v>
      </c>
      <c r="AJ155" s="47">
        <f t="shared" si="98"/>
        <v>0</v>
      </c>
      <c r="AK155" s="47">
        <f t="shared" si="98"/>
        <v>118701.49</v>
      </c>
      <c r="AL155" s="47">
        <f t="shared" si="98"/>
        <v>118701.49</v>
      </c>
      <c r="AM155" s="47" t="e">
        <f t="shared" si="98"/>
        <v>#DIV/0!</v>
      </c>
      <c r="AN155" s="47">
        <f t="shared" si="98"/>
        <v>0</v>
      </c>
      <c r="AO155" s="47">
        <f t="shared" si="98"/>
        <v>0</v>
      </c>
      <c r="AP155" s="397"/>
      <c r="AQ155" s="96"/>
    </row>
    <row r="156" spans="1:43" s="615" customFormat="1" ht="2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10</v>
      </c>
      <c r="J156" s="71">
        <f t="shared" si="98"/>
        <v>0</v>
      </c>
      <c r="K156" s="71">
        <f t="shared" si="98"/>
        <v>0</v>
      </c>
      <c r="L156" s="47">
        <f t="shared" si="99"/>
        <v>495533.09</v>
      </c>
      <c r="M156" s="47">
        <f t="shared" si="99"/>
        <v>492377.74</v>
      </c>
      <c r="N156" s="47">
        <f t="shared" si="99"/>
        <v>493227.64</v>
      </c>
      <c r="O156" s="47">
        <f t="shared" si="99"/>
        <v>297742.64</v>
      </c>
      <c r="P156" s="47">
        <f t="shared" si="99"/>
        <v>0</v>
      </c>
      <c r="Q156" s="47">
        <f t="shared" si="99"/>
        <v>21805.82</v>
      </c>
      <c r="R156" s="47">
        <f t="shared" si="99"/>
        <v>21705.95</v>
      </c>
      <c r="S156" s="47">
        <f t="shared" si="99"/>
        <v>21705.95</v>
      </c>
      <c r="T156" s="47">
        <f t="shared" si="99"/>
        <v>21705.95</v>
      </c>
      <c r="U156" s="47">
        <f t="shared" si="99"/>
        <v>21705.95</v>
      </c>
      <c r="V156" s="47">
        <f t="shared" si="99"/>
        <v>50383.255000000005</v>
      </c>
      <c r="W156" s="47">
        <f t="shared" si="99"/>
        <v>50383.255000000005</v>
      </c>
      <c r="X156" s="47">
        <f t="shared" si="99"/>
        <v>21705.95</v>
      </c>
      <c r="Y156" s="47">
        <f t="shared" si="99"/>
        <v>21705.95</v>
      </c>
      <c r="Z156" s="96"/>
      <c r="AA156" s="47">
        <f>AA160+AA204+AA231+AA245</f>
        <v>21805.82</v>
      </c>
      <c r="AB156" s="47">
        <f>AB160+AB204+AB231+AB245</f>
        <v>17522.268</v>
      </c>
      <c r="AC156" s="47">
        <f>AC160+AC204+AC231+AC245</f>
        <v>32099.796000000002</v>
      </c>
      <c r="AD156" s="47">
        <f>AD160+AD204+AD231</f>
        <v>0</v>
      </c>
      <c r="AE156" s="47">
        <f>AE160+AE204+AE231</f>
        <v>0</v>
      </c>
      <c r="AF156" s="47">
        <f t="shared" si="98"/>
        <v>0</v>
      </c>
      <c r="AG156" s="47">
        <f t="shared" si="98"/>
        <v>0</v>
      </c>
      <c r="AH156" s="47">
        <f t="shared" si="98"/>
        <v>0</v>
      </c>
      <c r="AI156" s="47">
        <f t="shared" si="98"/>
        <v>0</v>
      </c>
      <c r="AJ156" s="47">
        <f t="shared" si="98"/>
        <v>0</v>
      </c>
      <c r="AK156" s="47">
        <f t="shared" si="98"/>
        <v>0</v>
      </c>
      <c r="AL156" s="47">
        <f t="shared" si="98"/>
        <v>0</v>
      </c>
      <c r="AM156" s="47">
        <f t="shared" si="98"/>
        <v>0</v>
      </c>
      <c r="AN156" s="47">
        <f t="shared" si="98"/>
        <v>0</v>
      </c>
      <c r="AO156" s="47">
        <f t="shared" si="98"/>
        <v>0</v>
      </c>
      <c r="AP156" s="397"/>
      <c r="AQ156" s="96"/>
    </row>
    <row r="157" spans="1:43" s="615" customFormat="1" ht="25.5" hidden="1" customHeight="1" x14ac:dyDescent="0.2">
      <c r="A157" s="1610"/>
      <c r="B157" s="1611"/>
      <c r="C157" s="1611"/>
      <c r="D157" s="1611"/>
      <c r="E157" s="1611"/>
      <c r="F157" s="1611"/>
      <c r="G157" s="1611"/>
      <c r="H157" s="1612"/>
      <c r="I157" s="23" t="s">
        <v>9</v>
      </c>
      <c r="J157" s="71">
        <f t="shared" si="98"/>
        <v>0</v>
      </c>
      <c r="K157" s="71">
        <f t="shared" si="98"/>
        <v>0</v>
      </c>
      <c r="L157" s="47">
        <v>0</v>
      </c>
      <c r="M157" s="47">
        <f>M161+M205+M232</f>
        <v>0</v>
      </c>
      <c r="N157" s="47">
        <f>N161+N205+N232</f>
        <v>0</v>
      </c>
      <c r="O157" s="47">
        <f>O161+O205+O232</f>
        <v>1</v>
      </c>
      <c r="P157" s="47">
        <f>P161+P205+P232</f>
        <v>0</v>
      </c>
      <c r="Q157" s="47">
        <f t="shared" ref="Q157:AO157" si="100">Q161+Q205+Q232</f>
        <v>0</v>
      </c>
      <c r="R157" s="47">
        <f t="shared" si="100"/>
        <v>0</v>
      </c>
      <c r="S157" s="47">
        <f t="shared" si="100"/>
        <v>0</v>
      </c>
      <c r="T157" s="47">
        <f t="shared" si="100"/>
        <v>0</v>
      </c>
      <c r="U157" s="47">
        <f t="shared" si="100"/>
        <v>0</v>
      </c>
      <c r="V157" s="47">
        <f t="shared" si="100"/>
        <v>0</v>
      </c>
      <c r="W157" s="47">
        <f t="shared" si="100"/>
        <v>0</v>
      </c>
      <c r="X157" s="47">
        <f t="shared" si="100"/>
        <v>0</v>
      </c>
      <c r="Y157" s="47">
        <f t="shared" si="100"/>
        <v>0</v>
      </c>
      <c r="Z157" s="96"/>
      <c r="AA157" s="47">
        <f t="shared" si="100"/>
        <v>0</v>
      </c>
      <c r="AB157" s="47">
        <f t="shared" si="100"/>
        <v>0</v>
      </c>
      <c r="AC157" s="47">
        <f t="shared" si="100"/>
        <v>0</v>
      </c>
      <c r="AD157" s="47">
        <f t="shared" si="100"/>
        <v>0</v>
      </c>
      <c r="AE157" s="47">
        <f t="shared" si="100"/>
        <v>0</v>
      </c>
      <c r="AF157" s="47">
        <f t="shared" si="100"/>
        <v>0</v>
      </c>
      <c r="AG157" s="47">
        <f>AG161+AG205+AG232</f>
        <v>0</v>
      </c>
      <c r="AH157" s="47">
        <f>AH161+AH205+AH232</f>
        <v>0</v>
      </c>
      <c r="AI157" s="47">
        <f>AI161+AI205+AI232</f>
        <v>0</v>
      </c>
      <c r="AJ157" s="47">
        <f>AJ161+AJ205+AJ232</f>
        <v>0</v>
      </c>
      <c r="AK157" s="47">
        <f t="shared" si="100"/>
        <v>0</v>
      </c>
      <c r="AL157" s="47">
        <f t="shared" si="100"/>
        <v>0</v>
      </c>
      <c r="AM157" s="47">
        <f t="shared" si="100"/>
        <v>0</v>
      </c>
      <c r="AN157" s="47">
        <f t="shared" si="100"/>
        <v>0</v>
      </c>
      <c r="AO157" s="47">
        <f t="shared" si="100"/>
        <v>0</v>
      </c>
      <c r="AP157" s="397"/>
      <c r="AQ157" s="96"/>
    </row>
    <row r="158" spans="1:43" ht="51.75" hidden="1" customHeight="1" x14ac:dyDescent="0.25">
      <c r="A158" s="1332" t="s">
        <v>27</v>
      </c>
      <c r="B158" s="1613" t="s">
        <v>214</v>
      </c>
      <c r="C158" s="1614"/>
      <c r="D158" s="1614"/>
      <c r="E158" s="1614"/>
      <c r="F158" s="1614"/>
      <c r="G158" s="1614"/>
      <c r="H158" s="1615"/>
      <c r="I158" s="23" t="s">
        <v>19</v>
      </c>
      <c r="J158" s="47">
        <f>J162+J165+J169</f>
        <v>152888.53999999998</v>
      </c>
      <c r="K158" s="47">
        <f>K162+K165+K169</f>
        <v>25354.1</v>
      </c>
      <c r="L158" s="47">
        <f>L162+L165+L169+L178+L182+L186</f>
        <v>193023.18</v>
      </c>
      <c r="M158" s="47">
        <f>M162+M165+M169+M178+M182+M186</f>
        <v>42443.12</v>
      </c>
      <c r="N158" s="47">
        <f>N162+N165+N169+N178+N182+N186</f>
        <v>35331.160000000003</v>
      </c>
      <c r="O158" s="47">
        <f>O162+O165+O169+O178+O182+O185</f>
        <v>29530.94</v>
      </c>
      <c r="P158" s="47">
        <f>P162+P165+P169+P178+P182+P186</f>
        <v>100162.01</v>
      </c>
      <c r="Q158" s="47">
        <f>Q162+Q165+Q169+Q178+Q182+Q185</f>
        <v>0</v>
      </c>
      <c r="R158" s="47">
        <f t="shared" ref="R158:AA158" si="101">R162+R165+R169+R178+R182+R185</f>
        <v>743.47199999999998</v>
      </c>
      <c r="S158" s="47">
        <f t="shared" si="101"/>
        <v>3743.4719999999998</v>
      </c>
      <c r="T158" s="47">
        <f t="shared" si="101"/>
        <v>31.5</v>
      </c>
      <c r="U158" s="47">
        <f t="shared" si="101"/>
        <v>2236.8380000000002</v>
      </c>
      <c r="V158" s="47">
        <f t="shared" si="101"/>
        <v>0</v>
      </c>
      <c r="W158" s="47">
        <f t="shared" si="101"/>
        <v>0</v>
      </c>
      <c r="X158" s="47">
        <f t="shared" si="101"/>
        <v>0</v>
      </c>
      <c r="Y158" s="47">
        <f t="shared" si="101"/>
        <v>0</v>
      </c>
      <c r="Z158" s="96"/>
      <c r="AA158" s="47">
        <f t="shared" si="101"/>
        <v>0</v>
      </c>
      <c r="AB158" s="47">
        <f>AB162+AB165+AB169+AB178+AB182+AB185</f>
        <v>2948.8069999999998</v>
      </c>
      <c r="AC158" s="47">
        <f>AC162+AC165+AC169+AC178+AC182+AC185</f>
        <v>0</v>
      </c>
      <c r="AD158" s="47">
        <f>AD162+AD165+AD169+AD178+AD182+AD185</f>
        <v>31.5</v>
      </c>
      <c r="AE158" s="47">
        <f>AE162+AE165+AE169+AE178+AE182+AE185</f>
        <v>0</v>
      </c>
      <c r="AF158" s="47">
        <f t="shared" ref="AF158:AO158" si="102">AF162+AF165+AF169</f>
        <v>0</v>
      </c>
      <c r="AG158" s="47">
        <f t="shared" si="102"/>
        <v>0</v>
      </c>
      <c r="AH158" s="47">
        <f t="shared" si="102"/>
        <v>0</v>
      </c>
      <c r="AI158" s="47">
        <f t="shared" si="102"/>
        <v>0</v>
      </c>
      <c r="AJ158" s="47">
        <f t="shared" si="102"/>
        <v>0</v>
      </c>
      <c r="AK158" s="47">
        <f t="shared" si="102"/>
        <v>28946.75</v>
      </c>
      <c r="AL158" s="47">
        <f t="shared" si="102"/>
        <v>28946.75</v>
      </c>
      <c r="AM158" s="47" t="e">
        <f t="shared" si="102"/>
        <v>#DIV/0!</v>
      </c>
      <c r="AN158" s="47">
        <f t="shared" si="102"/>
        <v>0</v>
      </c>
      <c r="AO158" s="47">
        <f t="shared" si="102"/>
        <v>0</v>
      </c>
      <c r="AP158" s="397"/>
      <c r="AQ158" s="96"/>
    </row>
    <row r="159" spans="1:43" ht="47.25" hidden="1" customHeight="1" x14ac:dyDescent="0.25">
      <c r="A159" s="1333"/>
      <c r="B159" s="1616"/>
      <c r="C159" s="1617"/>
      <c r="D159" s="1617"/>
      <c r="E159" s="1617"/>
      <c r="F159" s="1617"/>
      <c r="G159" s="1617"/>
      <c r="H159" s="1618"/>
      <c r="I159" s="23" t="s">
        <v>20</v>
      </c>
      <c r="J159" s="47">
        <v>0</v>
      </c>
      <c r="K159" s="47">
        <v>0</v>
      </c>
      <c r="L159" s="47">
        <f>M159+N159+O159</f>
        <v>0</v>
      </c>
      <c r="M159" s="47">
        <v>0</v>
      </c>
      <c r="N159" s="47">
        <v>0</v>
      </c>
      <c r="O159" s="47">
        <v>0</v>
      </c>
      <c r="P159" s="47">
        <v>0</v>
      </c>
      <c r="Q159" s="47">
        <v>0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47">
        <v>0</v>
      </c>
      <c r="X159" s="47">
        <v>0</v>
      </c>
      <c r="Y159" s="47">
        <v>0</v>
      </c>
      <c r="Z159" s="96"/>
      <c r="AA159" s="47">
        <v>0</v>
      </c>
      <c r="AB159" s="47">
        <v>0</v>
      </c>
      <c r="AC159" s="47">
        <v>0</v>
      </c>
      <c r="AD159" s="47">
        <v>0</v>
      </c>
      <c r="AE159" s="47">
        <v>0</v>
      </c>
      <c r="AF159" s="47">
        <v>0</v>
      </c>
      <c r="AG159" s="47">
        <v>0</v>
      </c>
      <c r="AH159" s="47">
        <v>0</v>
      </c>
      <c r="AI159" s="47">
        <v>0</v>
      </c>
      <c r="AJ159" s="47">
        <v>0</v>
      </c>
      <c r="AK159" s="47">
        <v>0</v>
      </c>
      <c r="AL159" s="47">
        <v>0</v>
      </c>
      <c r="AM159" s="47">
        <v>0</v>
      </c>
      <c r="AN159" s="47">
        <v>0</v>
      </c>
      <c r="AO159" s="47">
        <v>0</v>
      </c>
      <c r="AP159" s="397"/>
      <c r="AQ159" s="96"/>
    </row>
    <row r="160" spans="1:43" ht="28.5" hidden="1" customHeight="1" x14ac:dyDescent="0.25">
      <c r="A160" s="1333"/>
      <c r="B160" s="1616"/>
      <c r="C160" s="1617"/>
      <c r="D160" s="1617"/>
      <c r="E160" s="1617"/>
      <c r="F160" s="1617"/>
      <c r="G160" s="1617"/>
      <c r="H160" s="1618"/>
      <c r="I160" s="23" t="s">
        <v>10</v>
      </c>
      <c r="J160" s="47">
        <v>0</v>
      </c>
      <c r="K160" s="47">
        <v>0</v>
      </c>
      <c r="L160" s="47">
        <f>L192</f>
        <v>195485</v>
      </c>
      <c r="M160" s="47">
        <f>M192</f>
        <v>195485</v>
      </c>
      <c r="N160" s="47">
        <f>N192</f>
        <v>195485</v>
      </c>
      <c r="O160" s="47">
        <v>0</v>
      </c>
      <c r="P160" s="47">
        <f>P192</f>
        <v>0</v>
      </c>
      <c r="Q160" s="47">
        <v>0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47">
        <v>0</v>
      </c>
      <c r="X160" s="47">
        <v>0</v>
      </c>
      <c r="Y160" s="47">
        <v>0</v>
      </c>
      <c r="Z160" s="96"/>
      <c r="AA160" s="47">
        <v>0</v>
      </c>
      <c r="AB160" s="47">
        <v>0</v>
      </c>
      <c r="AC160" s="47">
        <v>0</v>
      </c>
      <c r="AD160" s="47">
        <v>0</v>
      </c>
      <c r="AE160" s="47">
        <v>0</v>
      </c>
      <c r="AF160" s="47">
        <v>0</v>
      </c>
      <c r="AG160" s="47">
        <v>0</v>
      </c>
      <c r="AH160" s="47">
        <v>0</v>
      </c>
      <c r="AI160" s="47">
        <v>0</v>
      </c>
      <c r="AJ160" s="47">
        <v>0</v>
      </c>
      <c r="AK160" s="47">
        <v>0</v>
      </c>
      <c r="AL160" s="47">
        <v>0</v>
      </c>
      <c r="AM160" s="47">
        <v>0</v>
      </c>
      <c r="AN160" s="47">
        <v>0</v>
      </c>
      <c r="AO160" s="47">
        <v>0</v>
      </c>
      <c r="AP160" s="397"/>
      <c r="AQ160" s="96"/>
    </row>
    <row r="161" spans="1:43" ht="25.5" hidden="1" customHeight="1" x14ac:dyDescent="0.25">
      <c r="A161" s="1334"/>
      <c r="B161" s="1619"/>
      <c r="C161" s="1620"/>
      <c r="D161" s="1620"/>
      <c r="E161" s="1620"/>
      <c r="F161" s="1620"/>
      <c r="G161" s="1620"/>
      <c r="H161" s="1621"/>
      <c r="I161" s="23" t="s">
        <v>9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s="327" customFormat="1" ht="27.75" customHeight="1" x14ac:dyDescent="0.25">
      <c r="A162" s="1473" t="s">
        <v>34</v>
      </c>
      <c r="B162" s="780" t="s">
        <v>441</v>
      </c>
      <c r="C162" s="1332"/>
      <c r="D162" s="1332"/>
      <c r="E162" s="1332"/>
      <c r="F162" s="1644">
        <v>220000</v>
      </c>
      <c r="G162" s="1473">
        <v>2018</v>
      </c>
      <c r="H162" s="1473">
        <v>2021</v>
      </c>
      <c r="I162" s="1463" t="s">
        <v>19</v>
      </c>
      <c r="J162" s="1627">
        <v>66036</v>
      </c>
      <c r="K162" s="1627">
        <v>16509</v>
      </c>
      <c r="L162" s="804">
        <f t="shared" ref="L162:O162" si="103">L163</f>
        <v>67541.3</v>
      </c>
      <c r="M162" s="804">
        <f t="shared" si="103"/>
        <v>16509</v>
      </c>
      <c r="N162" s="804">
        <f t="shared" si="103"/>
        <v>800</v>
      </c>
      <c r="O162" s="804">
        <f t="shared" si="103"/>
        <v>6409</v>
      </c>
      <c r="P162" s="804">
        <v>27314.3</v>
      </c>
      <c r="Q162" s="804">
        <v>0</v>
      </c>
      <c r="R162" s="804">
        <f t="shared" ref="R162:AO163" si="104">R163</f>
        <v>36</v>
      </c>
      <c r="S162" s="804">
        <f t="shared" si="104"/>
        <v>36</v>
      </c>
      <c r="T162" s="804">
        <f t="shared" si="104"/>
        <v>31.5</v>
      </c>
      <c r="U162" s="804">
        <f t="shared" si="104"/>
        <v>31.5</v>
      </c>
      <c r="V162" s="804">
        <f t="shared" si="104"/>
        <v>0</v>
      </c>
      <c r="W162" s="804">
        <f t="shared" si="104"/>
        <v>0</v>
      </c>
      <c r="X162" s="804">
        <f t="shared" si="104"/>
        <v>0</v>
      </c>
      <c r="Y162" s="804">
        <f t="shared" si="104"/>
        <v>0</v>
      </c>
      <c r="Z162" s="805">
        <v>0</v>
      </c>
      <c r="AA162" s="804">
        <v>0</v>
      </c>
      <c r="AB162" s="804">
        <f t="shared" si="104"/>
        <v>36</v>
      </c>
      <c r="AC162" s="804">
        <f t="shared" si="104"/>
        <v>0</v>
      </c>
      <c r="AD162" s="804">
        <f t="shared" si="104"/>
        <v>31.5</v>
      </c>
      <c r="AE162" s="804">
        <f t="shared" si="104"/>
        <v>0</v>
      </c>
      <c r="AF162" s="804">
        <f t="shared" si="104"/>
        <v>0</v>
      </c>
      <c r="AG162" s="804">
        <f t="shared" si="104"/>
        <v>0</v>
      </c>
      <c r="AH162" s="804">
        <f t="shared" si="104"/>
        <v>0</v>
      </c>
      <c r="AI162" s="804">
        <f t="shared" si="104"/>
        <v>0</v>
      </c>
      <c r="AJ162" s="804">
        <f t="shared" si="104"/>
        <v>0</v>
      </c>
      <c r="AK162" s="3">
        <f>P162-Q162</f>
        <v>27314.3</v>
      </c>
      <c r="AL162" s="3">
        <f>AK162</f>
        <v>27314.3</v>
      </c>
      <c r="AM162" s="318">
        <f>ROUND((Q162*100%/P162*100),2)</f>
        <v>0</v>
      </c>
      <c r="AN162" s="804">
        <f t="shared" si="104"/>
        <v>0</v>
      </c>
      <c r="AO162" s="804">
        <f t="shared" si="104"/>
        <v>0</v>
      </c>
      <c r="AP162" s="806"/>
      <c r="AQ162" s="805">
        <v>0</v>
      </c>
    </row>
    <row r="163" spans="1:43" ht="18" hidden="1" customHeight="1" x14ac:dyDescent="0.25">
      <c r="A163" s="1474"/>
      <c r="B163" s="892" t="s">
        <v>39</v>
      </c>
      <c r="C163" s="1334"/>
      <c r="D163" s="1334"/>
      <c r="E163" s="1334"/>
      <c r="F163" s="1472"/>
      <c r="G163" s="1474"/>
      <c r="H163" s="1474"/>
      <c r="I163" s="1465"/>
      <c r="J163" s="1629"/>
      <c r="K163" s="1629"/>
      <c r="L163" s="902">
        <v>67541.3</v>
      </c>
      <c r="M163" s="83">
        <v>16509</v>
      </c>
      <c r="N163" s="83">
        <v>800</v>
      </c>
      <c r="O163" s="83">
        <v>6409</v>
      </c>
      <c r="P163" s="83">
        <v>6409</v>
      </c>
      <c r="Q163" s="83">
        <f>Q164</f>
        <v>67.5</v>
      </c>
      <c r="R163" s="83">
        <f t="shared" si="104"/>
        <v>36</v>
      </c>
      <c r="S163" s="83">
        <f t="shared" si="104"/>
        <v>36</v>
      </c>
      <c r="T163" s="83">
        <f t="shared" si="104"/>
        <v>31.5</v>
      </c>
      <c r="U163" s="83">
        <f t="shared" si="104"/>
        <v>31.5</v>
      </c>
      <c r="V163" s="83">
        <f t="shared" si="104"/>
        <v>0</v>
      </c>
      <c r="W163" s="83">
        <f t="shared" si="104"/>
        <v>0</v>
      </c>
      <c r="X163" s="83">
        <f t="shared" si="104"/>
        <v>0</v>
      </c>
      <c r="Y163" s="83">
        <f t="shared" si="104"/>
        <v>0</v>
      </c>
      <c r="Z163" s="259"/>
      <c r="AA163" s="83">
        <f t="shared" si="104"/>
        <v>67.5</v>
      </c>
      <c r="AB163" s="83">
        <f t="shared" si="104"/>
        <v>36</v>
      </c>
      <c r="AC163" s="83">
        <f t="shared" si="104"/>
        <v>0</v>
      </c>
      <c r="AD163" s="83">
        <f t="shared" si="104"/>
        <v>31.5</v>
      </c>
      <c r="AE163" s="83">
        <f t="shared" si="104"/>
        <v>0</v>
      </c>
      <c r="AF163" s="83">
        <f t="shared" si="104"/>
        <v>0</v>
      </c>
      <c r="AG163" s="83">
        <f t="shared" si="104"/>
        <v>0</v>
      </c>
      <c r="AH163" s="83">
        <f t="shared" si="104"/>
        <v>0</v>
      </c>
      <c r="AI163" s="83">
        <f t="shared" si="104"/>
        <v>0</v>
      </c>
      <c r="AJ163" s="83">
        <f t="shared" si="104"/>
        <v>0</v>
      </c>
      <c r="AK163" s="83">
        <f t="shared" si="104"/>
        <v>0</v>
      </c>
      <c r="AL163" s="83">
        <v>0</v>
      </c>
      <c r="AM163" s="83">
        <v>0</v>
      </c>
      <c r="AN163" s="83">
        <v>0</v>
      </c>
      <c r="AO163" s="83">
        <v>0</v>
      </c>
      <c r="AP163" s="409"/>
      <c r="AQ163" s="259"/>
    </row>
    <row r="164" spans="1:43" s="266" customFormat="1" ht="26.25" hidden="1" customHeight="1" x14ac:dyDescent="0.25">
      <c r="A164" s="616"/>
      <c r="B164" s="537" t="s">
        <v>300</v>
      </c>
      <c r="C164" s="647"/>
      <c r="D164" s="647"/>
      <c r="E164" s="647"/>
      <c r="F164" s="539"/>
      <c r="G164" s="540"/>
      <c r="H164" s="540"/>
      <c r="I164" s="370"/>
      <c r="J164" s="648"/>
      <c r="K164" s="648"/>
      <c r="L164" s="258"/>
      <c r="M164" s="259"/>
      <c r="N164" s="259"/>
      <c r="O164" s="259"/>
      <c r="P164" s="259"/>
      <c r="Q164" s="259">
        <f>S164+U164</f>
        <v>67.5</v>
      </c>
      <c r="R164" s="259">
        <f>S164</f>
        <v>36</v>
      </c>
      <c r="S164" s="259">
        <v>36</v>
      </c>
      <c r="T164" s="259">
        <f>U164</f>
        <v>31.5</v>
      </c>
      <c r="U164" s="259">
        <v>31.5</v>
      </c>
      <c r="V164" s="259"/>
      <c r="W164" s="259"/>
      <c r="X164" s="259"/>
      <c r="Y164" s="259"/>
      <c r="Z164" s="259"/>
      <c r="AA164" s="259">
        <f>AB164+AD164</f>
        <v>67.5</v>
      </c>
      <c r="AB164" s="259">
        <v>36</v>
      </c>
      <c r="AC164" s="259"/>
      <c r="AD164" s="259">
        <v>31.5</v>
      </c>
      <c r="AE164" s="259"/>
      <c r="AF164" s="259"/>
      <c r="AG164" s="259"/>
      <c r="AH164" s="259"/>
      <c r="AI164" s="259"/>
      <c r="AJ164" s="259"/>
      <c r="AK164" s="259"/>
      <c r="AL164" s="259"/>
      <c r="AM164" s="543"/>
      <c r="AN164" s="259"/>
      <c r="AO164" s="259"/>
      <c r="AP164" s="411"/>
      <c r="AQ164" s="259"/>
    </row>
    <row r="165" spans="1:43" s="327" customFormat="1" ht="24" customHeight="1" x14ac:dyDescent="0.25">
      <c r="A165" s="1473" t="s">
        <v>42</v>
      </c>
      <c r="B165" s="780" t="s">
        <v>205</v>
      </c>
      <c r="C165" s="807"/>
      <c r="D165" s="807"/>
      <c r="E165" s="807"/>
      <c r="F165" s="1644">
        <v>2400</v>
      </c>
      <c r="G165" s="807"/>
      <c r="H165" s="807"/>
      <c r="I165" s="1463" t="s">
        <v>19</v>
      </c>
      <c r="J165" s="25">
        <v>12351.86</v>
      </c>
      <c r="K165" s="25">
        <f t="shared" ref="K165:P165" si="105">K166+K168</f>
        <v>8845.1</v>
      </c>
      <c r="L165" s="3">
        <f t="shared" si="105"/>
        <v>25182.28</v>
      </c>
      <c r="M165" s="3">
        <f t="shared" si="105"/>
        <v>1753.38</v>
      </c>
      <c r="N165" s="3">
        <f t="shared" si="105"/>
        <v>1168.92</v>
      </c>
      <c r="O165" s="3">
        <f t="shared" si="105"/>
        <v>997.45</v>
      </c>
      <c r="P165" s="3">
        <f t="shared" si="105"/>
        <v>1632.45</v>
      </c>
      <c r="Q165" s="3">
        <f t="shared" ref="Q165:AO165" si="106">Q168+Q166</f>
        <v>0</v>
      </c>
      <c r="R165" s="3">
        <f t="shared" si="106"/>
        <v>707.47199999999998</v>
      </c>
      <c r="S165" s="3">
        <f t="shared" si="106"/>
        <v>707.47199999999998</v>
      </c>
      <c r="T165" s="3">
        <f t="shared" si="106"/>
        <v>0</v>
      </c>
      <c r="U165" s="3">
        <f t="shared" si="106"/>
        <v>0</v>
      </c>
      <c r="V165" s="3">
        <f t="shared" si="106"/>
        <v>0</v>
      </c>
      <c r="W165" s="3">
        <f t="shared" si="106"/>
        <v>0</v>
      </c>
      <c r="X165" s="3">
        <f t="shared" si="106"/>
        <v>0</v>
      </c>
      <c r="Y165" s="3">
        <f t="shared" si="106"/>
        <v>0</v>
      </c>
      <c r="Z165" s="95">
        <v>0</v>
      </c>
      <c r="AA165" s="3">
        <f t="shared" si="106"/>
        <v>0</v>
      </c>
      <c r="AB165" s="3">
        <f t="shared" si="106"/>
        <v>707.47</v>
      </c>
      <c r="AC165" s="3">
        <f t="shared" si="106"/>
        <v>0</v>
      </c>
      <c r="AD165" s="3">
        <f t="shared" si="106"/>
        <v>0</v>
      </c>
      <c r="AE165" s="3">
        <f t="shared" si="106"/>
        <v>0</v>
      </c>
      <c r="AF165" s="3">
        <f t="shared" si="106"/>
        <v>0</v>
      </c>
      <c r="AG165" s="3">
        <f t="shared" si="106"/>
        <v>0</v>
      </c>
      <c r="AH165" s="3">
        <f t="shared" si="106"/>
        <v>0</v>
      </c>
      <c r="AI165" s="3">
        <f t="shared" si="106"/>
        <v>0</v>
      </c>
      <c r="AJ165" s="3">
        <f t="shared" si="106"/>
        <v>0</v>
      </c>
      <c r="AK165" s="3">
        <f>P165-Q165</f>
        <v>1632.45</v>
      </c>
      <c r="AL165" s="3">
        <f>AK165</f>
        <v>1632.45</v>
      </c>
      <c r="AM165" s="318">
        <f>ROUND((Q165*100%/P165*100),2)</f>
        <v>0</v>
      </c>
      <c r="AN165" s="3">
        <f t="shared" si="106"/>
        <v>0</v>
      </c>
      <c r="AO165" s="3">
        <f t="shared" si="106"/>
        <v>0</v>
      </c>
      <c r="AP165" s="808"/>
      <c r="AQ165" s="95">
        <v>0</v>
      </c>
    </row>
    <row r="166" spans="1:43" ht="16.5" customHeight="1" x14ac:dyDescent="0.25">
      <c r="A166" s="1643"/>
      <c r="B166" s="1" t="s">
        <v>15</v>
      </c>
      <c r="C166" s="48"/>
      <c r="D166" s="48"/>
      <c r="E166" s="48"/>
      <c r="F166" s="1645"/>
      <c r="G166" s="885">
        <v>2018</v>
      </c>
      <c r="H166" s="885">
        <v>2018</v>
      </c>
      <c r="I166" s="1464"/>
      <c r="J166" s="634">
        <v>1815.76</v>
      </c>
      <c r="K166" s="634">
        <v>1815.76</v>
      </c>
      <c r="L166" s="47">
        <v>2458.14</v>
      </c>
      <c r="M166" s="47">
        <v>0</v>
      </c>
      <c r="N166" s="47">
        <v>412.99</v>
      </c>
      <c r="O166" s="47">
        <v>0</v>
      </c>
      <c r="P166" s="47">
        <v>246.67</v>
      </c>
      <c r="Q166" s="83">
        <v>0</v>
      </c>
      <c r="R166" s="83">
        <f t="shared" ref="R166:AG166" si="107">R167</f>
        <v>707.47199999999998</v>
      </c>
      <c r="S166" s="83">
        <f t="shared" si="107"/>
        <v>707.47199999999998</v>
      </c>
      <c r="T166" s="83">
        <f t="shared" si="107"/>
        <v>0</v>
      </c>
      <c r="U166" s="83">
        <f t="shared" si="107"/>
        <v>0</v>
      </c>
      <c r="V166" s="83">
        <f t="shared" si="107"/>
        <v>0</v>
      </c>
      <c r="W166" s="83">
        <f t="shared" si="107"/>
        <v>0</v>
      </c>
      <c r="X166" s="83">
        <f t="shared" si="107"/>
        <v>0</v>
      </c>
      <c r="Y166" s="83">
        <f t="shared" si="107"/>
        <v>0</v>
      </c>
      <c r="Z166" s="259"/>
      <c r="AA166" s="83">
        <v>0</v>
      </c>
      <c r="AB166" s="83">
        <f t="shared" si="107"/>
        <v>707.47</v>
      </c>
      <c r="AC166" s="83">
        <f t="shared" si="107"/>
        <v>0</v>
      </c>
      <c r="AD166" s="83">
        <f t="shared" si="107"/>
        <v>0</v>
      </c>
      <c r="AE166" s="83">
        <f t="shared" si="107"/>
        <v>0</v>
      </c>
      <c r="AF166" s="83">
        <f t="shared" si="107"/>
        <v>0</v>
      </c>
      <c r="AG166" s="83">
        <f t="shared" si="107"/>
        <v>0</v>
      </c>
      <c r="AH166" s="47">
        <v>0</v>
      </c>
      <c r="AI166" s="47">
        <v>0</v>
      </c>
      <c r="AJ166" s="47">
        <v>0</v>
      </c>
      <c r="AK166" s="47">
        <v>0</v>
      </c>
      <c r="AL166" s="47">
        <v>0</v>
      </c>
      <c r="AM166" s="47">
        <v>0</v>
      </c>
      <c r="AN166" s="47">
        <v>0</v>
      </c>
      <c r="AO166" s="47">
        <v>0</v>
      </c>
      <c r="AP166" s="617"/>
      <c r="AQ166" s="259"/>
    </row>
    <row r="167" spans="1:43" s="266" customFormat="1" ht="27" hidden="1" customHeight="1" x14ac:dyDescent="0.25">
      <c r="A167" s="1643"/>
      <c r="B167" s="537" t="s">
        <v>301</v>
      </c>
      <c r="C167" s="544"/>
      <c r="D167" s="544"/>
      <c r="E167" s="544"/>
      <c r="F167" s="1645"/>
      <c r="G167" s="104"/>
      <c r="H167" s="104"/>
      <c r="I167" s="1464"/>
      <c r="J167" s="636"/>
      <c r="K167" s="636"/>
      <c r="L167" s="96"/>
      <c r="M167" s="96"/>
      <c r="N167" s="96"/>
      <c r="O167" s="96"/>
      <c r="P167" s="96"/>
      <c r="Q167" s="259">
        <f>S167</f>
        <v>707.47199999999998</v>
      </c>
      <c r="R167" s="259">
        <f>S167</f>
        <v>707.47199999999998</v>
      </c>
      <c r="S167" s="259">
        <v>707.47199999999998</v>
      </c>
      <c r="T167" s="259"/>
      <c r="U167" s="259"/>
      <c r="V167" s="259"/>
      <c r="W167" s="259"/>
      <c r="X167" s="259"/>
      <c r="Y167" s="259"/>
      <c r="Z167" s="259"/>
      <c r="AA167" s="259">
        <f>AB167</f>
        <v>707.47</v>
      </c>
      <c r="AB167" s="259">
        <v>707.47</v>
      </c>
      <c r="AC167" s="259"/>
      <c r="AD167" s="259"/>
      <c r="AE167" s="259"/>
      <c r="AF167" s="259"/>
      <c r="AG167" s="259"/>
      <c r="AH167" s="96"/>
      <c r="AI167" s="96"/>
      <c r="AJ167" s="96"/>
      <c r="AK167" s="96"/>
      <c r="AL167" s="96"/>
      <c r="AM167" s="96"/>
      <c r="AN167" s="96"/>
      <c r="AO167" s="96"/>
      <c r="AP167" s="618"/>
      <c r="AQ167" s="259"/>
    </row>
    <row r="168" spans="1:43" ht="14.25" customHeight="1" x14ac:dyDescent="0.25">
      <c r="A168" s="1474"/>
      <c r="B168" s="1" t="s">
        <v>32</v>
      </c>
      <c r="C168" s="48"/>
      <c r="D168" s="48"/>
      <c r="E168" s="48"/>
      <c r="F168" s="1328"/>
      <c r="G168" s="885">
        <v>2018</v>
      </c>
      <c r="H168" s="885">
        <v>2021</v>
      </c>
      <c r="I168" s="1465"/>
      <c r="J168" s="634">
        <v>10536.1</v>
      </c>
      <c r="K168" s="634">
        <v>7029.34</v>
      </c>
      <c r="L168" s="47">
        <v>22724.14</v>
      </c>
      <c r="M168" s="47">
        <v>1753.38</v>
      </c>
      <c r="N168" s="47">
        <v>755.93</v>
      </c>
      <c r="O168" s="47">
        <v>997.45</v>
      </c>
      <c r="P168" s="47">
        <v>1385.78</v>
      </c>
      <c r="Q168" s="47">
        <v>0</v>
      </c>
      <c r="R168" s="47">
        <v>0</v>
      </c>
      <c r="S168" s="47">
        <v>0</v>
      </c>
      <c r="T168" s="47">
        <v>0</v>
      </c>
      <c r="U168" s="47">
        <v>0</v>
      </c>
      <c r="V168" s="47">
        <v>0</v>
      </c>
      <c r="W168" s="47">
        <v>0</v>
      </c>
      <c r="X168" s="47">
        <v>0</v>
      </c>
      <c r="Y168" s="47">
        <v>0</v>
      </c>
      <c r="Z168" s="96"/>
      <c r="AA168" s="47">
        <v>0</v>
      </c>
      <c r="AB168" s="47">
        <v>0</v>
      </c>
      <c r="AC168" s="47">
        <v>0</v>
      </c>
      <c r="AD168" s="47">
        <v>0</v>
      </c>
      <c r="AE168" s="47">
        <v>0</v>
      </c>
      <c r="AF168" s="47">
        <v>0</v>
      </c>
      <c r="AG168" s="47"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397"/>
      <c r="AQ168" s="96"/>
    </row>
    <row r="169" spans="1:43" s="327" customFormat="1" ht="30.75" customHeight="1" x14ac:dyDescent="0.25">
      <c r="A169" s="1398" t="s">
        <v>63</v>
      </c>
      <c r="B169" s="780" t="s">
        <v>66</v>
      </c>
      <c r="C169" s="1471"/>
      <c r="D169" s="1471"/>
      <c r="E169" s="1471"/>
      <c r="F169" s="1466"/>
      <c r="G169" s="1489">
        <v>2019</v>
      </c>
      <c r="H169" s="1469">
        <v>2021</v>
      </c>
      <c r="I169" s="1466" t="s">
        <v>19</v>
      </c>
      <c r="J169" s="1648">
        <f>K169+L169</f>
        <v>74500.679999999993</v>
      </c>
      <c r="K169" s="1646">
        <v>0</v>
      </c>
      <c r="L169" s="70">
        <f t="shared" ref="L169:W169" si="108">L170</f>
        <v>74500.679999999993</v>
      </c>
      <c r="M169" s="70">
        <f t="shared" si="108"/>
        <v>24180.74</v>
      </c>
      <c r="N169" s="70">
        <f t="shared" si="108"/>
        <v>24180.74</v>
      </c>
      <c r="O169" s="70">
        <f t="shared" si="108"/>
        <v>13819.52</v>
      </c>
      <c r="P169" s="70">
        <v>0</v>
      </c>
      <c r="Q169" s="804">
        <f t="shared" si="108"/>
        <v>0</v>
      </c>
      <c r="R169" s="804">
        <f t="shared" si="108"/>
        <v>0</v>
      </c>
      <c r="S169" s="804">
        <f t="shared" si="108"/>
        <v>0</v>
      </c>
      <c r="T169" s="804">
        <f t="shared" si="108"/>
        <v>0</v>
      </c>
      <c r="U169" s="804">
        <f t="shared" si="108"/>
        <v>0</v>
      </c>
      <c r="V169" s="804">
        <f t="shared" si="108"/>
        <v>0</v>
      </c>
      <c r="W169" s="804">
        <f t="shared" si="108"/>
        <v>0</v>
      </c>
      <c r="X169" s="804">
        <f>X170</f>
        <v>0</v>
      </c>
      <c r="Y169" s="804">
        <f>Y170</f>
        <v>0</v>
      </c>
      <c r="Z169" s="805">
        <v>0</v>
      </c>
      <c r="AA169" s="804">
        <f>AA170</f>
        <v>0</v>
      </c>
      <c r="AB169" s="804">
        <f>AB170</f>
        <v>0</v>
      </c>
      <c r="AC169" s="804">
        <f>AC170</f>
        <v>0</v>
      </c>
      <c r="AD169" s="804">
        <f t="shared" ref="AD169:AO169" si="109">AD170</f>
        <v>0</v>
      </c>
      <c r="AE169" s="804">
        <f t="shared" si="109"/>
        <v>0</v>
      </c>
      <c r="AF169" s="804">
        <f t="shared" si="109"/>
        <v>0</v>
      </c>
      <c r="AG169" s="804">
        <f t="shared" si="109"/>
        <v>0</v>
      </c>
      <c r="AH169" s="804">
        <f t="shared" si="109"/>
        <v>0</v>
      </c>
      <c r="AI169" s="804">
        <f t="shared" si="109"/>
        <v>0</v>
      </c>
      <c r="AJ169" s="804">
        <f t="shared" si="109"/>
        <v>0</v>
      </c>
      <c r="AK169" s="3">
        <v>0</v>
      </c>
      <c r="AL169" s="3">
        <f>AK169</f>
        <v>0</v>
      </c>
      <c r="AM169" s="318" t="e">
        <f>ROUND((Q169*100%/P169*100),2)</f>
        <v>#DIV/0!</v>
      </c>
      <c r="AN169" s="804">
        <f t="shared" si="109"/>
        <v>0</v>
      </c>
      <c r="AO169" s="804">
        <f t="shared" si="109"/>
        <v>0</v>
      </c>
      <c r="AP169" s="806" t="s">
        <v>295</v>
      </c>
      <c r="AQ169" s="805">
        <v>0</v>
      </c>
    </row>
    <row r="170" spans="1:43" ht="18" hidden="1" customHeight="1" x14ac:dyDescent="0.25">
      <c r="A170" s="1488"/>
      <c r="B170" s="1" t="s">
        <v>16</v>
      </c>
      <c r="C170" s="1471"/>
      <c r="D170" s="1471"/>
      <c r="E170" s="1471"/>
      <c r="F170" s="1466"/>
      <c r="G170" s="1489"/>
      <c r="H170" s="1470"/>
      <c r="I170" s="1466"/>
      <c r="J170" s="1648"/>
      <c r="K170" s="1647"/>
      <c r="L170" s="902">
        <v>74500.679999999993</v>
      </c>
      <c r="M170" s="83">
        <v>24180.74</v>
      </c>
      <c r="N170" s="83">
        <v>24180.74</v>
      </c>
      <c r="O170" s="83">
        <v>13819.52</v>
      </c>
      <c r="P170" s="83">
        <v>26139.200000000001</v>
      </c>
      <c r="Q170" s="83">
        <v>0</v>
      </c>
      <c r="R170" s="83">
        <f t="shared" ref="R170:W170" si="110">SUM(R171:R177)</f>
        <v>0</v>
      </c>
      <c r="S170" s="83">
        <f t="shared" si="110"/>
        <v>0</v>
      </c>
      <c r="T170" s="83">
        <f t="shared" si="110"/>
        <v>0</v>
      </c>
      <c r="U170" s="83">
        <f t="shared" si="110"/>
        <v>0</v>
      </c>
      <c r="V170" s="83">
        <f t="shared" si="110"/>
        <v>0</v>
      </c>
      <c r="W170" s="83">
        <f t="shared" si="110"/>
        <v>0</v>
      </c>
      <c r="X170" s="83">
        <v>0</v>
      </c>
      <c r="Y170" s="83">
        <f t="shared" ref="Y170:AE170" si="111">SUM(Y171:Y177)</f>
        <v>0</v>
      </c>
      <c r="Z170" s="259"/>
      <c r="AA170" s="83">
        <f t="shared" si="111"/>
        <v>0</v>
      </c>
      <c r="AB170" s="83">
        <f t="shared" si="111"/>
        <v>0</v>
      </c>
      <c r="AC170" s="83">
        <f t="shared" si="111"/>
        <v>0</v>
      </c>
      <c r="AD170" s="83">
        <f t="shared" si="111"/>
        <v>0</v>
      </c>
      <c r="AE170" s="83">
        <f t="shared" si="111"/>
        <v>0</v>
      </c>
      <c r="AF170" s="83">
        <f>SUM(AG170:AI170)</f>
        <v>0</v>
      </c>
      <c r="AG170" s="83">
        <f>SUM(AG171:AG177)</f>
        <v>0</v>
      </c>
      <c r="AH170" s="83">
        <f>SUM(AH171:AH177)</f>
        <v>0</v>
      </c>
      <c r="AI170" s="83">
        <v>0</v>
      </c>
      <c r="AJ170" s="83">
        <v>0</v>
      </c>
      <c r="AK170" s="83">
        <f>SUM(AK171:AK177)</f>
        <v>0</v>
      </c>
      <c r="AL170" s="83">
        <f>SUM(AL171:AL177)</f>
        <v>0</v>
      </c>
      <c r="AM170" s="83">
        <f>SUM(AM171:AM177)</f>
        <v>0</v>
      </c>
      <c r="AN170" s="83">
        <f>SUM(AN171:AN177)</f>
        <v>0</v>
      </c>
      <c r="AO170" s="83">
        <f>SUM(AO171:AO177)</f>
        <v>0</v>
      </c>
      <c r="AP170" s="409"/>
      <c r="AQ170" s="259"/>
    </row>
    <row r="171" spans="1:43" s="266" customFormat="1" ht="18" hidden="1" customHeight="1" x14ac:dyDescent="0.25">
      <c r="A171" s="324"/>
      <c r="B171" s="252" t="s">
        <v>152</v>
      </c>
      <c r="C171" s="253"/>
      <c r="D171" s="253"/>
      <c r="E171" s="253"/>
      <c r="F171" s="363"/>
      <c r="G171" s="255"/>
      <c r="H171" s="256"/>
      <c r="I171" s="104"/>
      <c r="J171" s="533"/>
      <c r="K171" s="534"/>
      <c r="L171" s="258"/>
      <c r="M171" s="259"/>
      <c r="N171" s="259"/>
      <c r="O171" s="259"/>
      <c r="P171" s="83"/>
      <c r="Q171" s="259">
        <f>S171+U171</f>
        <v>0</v>
      </c>
      <c r="R171" s="259">
        <f>S171</f>
        <v>0</v>
      </c>
      <c r="S171" s="259">
        <v>0</v>
      </c>
      <c r="T171" s="259">
        <v>0</v>
      </c>
      <c r="U171" s="259">
        <v>0</v>
      </c>
      <c r="V171" s="259"/>
      <c r="W171" s="259"/>
      <c r="X171" s="259"/>
      <c r="Y171" s="259"/>
      <c r="Z171" s="259"/>
      <c r="AA171" s="259">
        <v>0</v>
      </c>
      <c r="AB171" s="259"/>
      <c r="AC171" s="259"/>
      <c r="AD171" s="259"/>
      <c r="AE171" s="259"/>
      <c r="AF171" s="259">
        <f>SUM(AG171:AG171)</f>
        <v>0</v>
      </c>
      <c r="AG171" s="259"/>
      <c r="AH171" s="259"/>
      <c r="AI171" s="259"/>
      <c r="AJ171" s="259"/>
      <c r="AK171" s="259"/>
      <c r="AL171" s="259"/>
      <c r="AM171" s="259"/>
      <c r="AN171" s="259"/>
      <c r="AO171" s="259"/>
      <c r="AP171" s="411"/>
      <c r="AQ171" s="259"/>
    </row>
    <row r="172" spans="1:43" s="266" customFormat="1" ht="18" hidden="1" customHeight="1" x14ac:dyDescent="0.25">
      <c r="A172" s="324"/>
      <c r="B172" s="252" t="s">
        <v>156</v>
      </c>
      <c r="C172" s="253"/>
      <c r="D172" s="253"/>
      <c r="E172" s="253"/>
      <c r="F172" s="363"/>
      <c r="G172" s="255"/>
      <c r="H172" s="256"/>
      <c r="I172" s="104"/>
      <c r="J172" s="533"/>
      <c r="K172" s="534"/>
      <c r="L172" s="258"/>
      <c r="M172" s="259"/>
      <c r="N172" s="259"/>
      <c r="O172" s="259"/>
      <c r="P172" s="83"/>
      <c r="Q172" s="259">
        <f>S172+U172+W172</f>
        <v>0</v>
      </c>
      <c r="R172" s="259"/>
      <c r="S172" s="259"/>
      <c r="T172" s="259"/>
      <c r="U172" s="259"/>
      <c r="V172" s="259">
        <v>0</v>
      </c>
      <c r="W172" s="259">
        <v>0</v>
      </c>
      <c r="X172" s="259"/>
      <c r="Y172" s="259"/>
      <c r="Z172" s="259"/>
      <c r="AA172" s="259">
        <v>0</v>
      </c>
      <c r="AB172" s="259">
        <v>0</v>
      </c>
      <c r="AC172" s="259"/>
      <c r="AD172" s="259"/>
      <c r="AE172" s="259"/>
      <c r="AF172" s="259">
        <f>SUM(AG172:AG172)</f>
        <v>0</v>
      </c>
      <c r="AG172" s="259"/>
      <c r="AH172" s="259"/>
      <c r="AI172" s="259"/>
      <c r="AJ172" s="259"/>
      <c r="AK172" s="259"/>
      <c r="AL172" s="259"/>
      <c r="AM172" s="259"/>
      <c r="AN172" s="259"/>
      <c r="AO172" s="259"/>
      <c r="AP172" s="411"/>
      <c r="AQ172" s="259"/>
    </row>
    <row r="173" spans="1:43" s="266" customFormat="1" ht="26.25" hidden="1" customHeight="1" x14ac:dyDescent="0.25">
      <c r="A173" s="324"/>
      <c r="B173" s="252" t="s">
        <v>229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S173+U173+W173+Y173</f>
        <v>0</v>
      </c>
      <c r="R173" s="259"/>
      <c r="S173" s="259"/>
      <c r="T173" s="259"/>
      <c r="U173" s="259"/>
      <c r="V173" s="259"/>
      <c r="W173" s="259"/>
      <c r="X173" s="259">
        <v>0</v>
      </c>
      <c r="Y173" s="259">
        <v>0</v>
      </c>
      <c r="Z173" s="259"/>
      <c r="AA173" s="259">
        <v>0</v>
      </c>
      <c r="AB173" s="259">
        <v>0</v>
      </c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230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S174+U174+W174+Y174</f>
        <v>0</v>
      </c>
      <c r="R174" s="259">
        <f>S174</f>
        <v>0</v>
      </c>
      <c r="S174" s="259">
        <v>0</v>
      </c>
      <c r="T174" s="259">
        <v>0</v>
      </c>
      <c r="U174" s="259">
        <v>0</v>
      </c>
      <c r="V174" s="259"/>
      <c r="W174" s="259">
        <v>0</v>
      </c>
      <c r="X174" s="259">
        <v>0</v>
      </c>
      <c r="Y174" s="259">
        <v>0</v>
      </c>
      <c r="Z174" s="259"/>
      <c r="AA174" s="259">
        <f>AB174+AC174</f>
        <v>0</v>
      </c>
      <c r="AB174" s="259">
        <v>0</v>
      </c>
      <c r="AC174" s="259">
        <v>0</v>
      </c>
      <c r="AD174" s="259">
        <v>0</v>
      </c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18" hidden="1" customHeight="1" x14ac:dyDescent="0.25">
      <c r="A175" s="324"/>
      <c r="B175" s="252" t="s">
        <v>231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>
        <v>0</v>
      </c>
      <c r="U175" s="259">
        <v>0</v>
      </c>
      <c r="V175" s="259"/>
      <c r="W175" s="259"/>
      <c r="X175" s="259">
        <v>0</v>
      </c>
      <c r="Y175" s="259">
        <v>0</v>
      </c>
      <c r="Z175" s="259"/>
      <c r="AA175" s="259">
        <f>AB175+AC175</f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259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v>0</v>
      </c>
      <c r="R176" s="259"/>
      <c r="S176" s="259"/>
      <c r="T176" s="259">
        <v>0</v>
      </c>
      <c r="U176" s="259">
        <v>0</v>
      </c>
      <c r="V176" s="259"/>
      <c r="W176" s="259"/>
      <c r="X176" s="259"/>
      <c r="Y176" s="259"/>
      <c r="Z176" s="259"/>
      <c r="AA176" s="259">
        <f>AB176+AC176</f>
        <v>0</v>
      </c>
      <c r="AB176" s="259"/>
      <c r="AC176" s="259">
        <v>0</v>
      </c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153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>
        <f>S177</f>
        <v>0</v>
      </c>
      <c r="S177" s="259">
        <v>0</v>
      </c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327" customFormat="1" ht="42" customHeight="1" x14ac:dyDescent="0.25">
      <c r="A178" s="1398" t="s">
        <v>167</v>
      </c>
      <c r="B178" s="772" t="s">
        <v>168</v>
      </c>
      <c r="C178" s="809"/>
      <c r="D178" s="809"/>
      <c r="E178" s="809"/>
      <c r="F178" s="312"/>
      <c r="G178" s="775"/>
      <c r="H178" s="810"/>
      <c r="I178" s="1326" t="s">
        <v>19</v>
      </c>
      <c r="J178" s="283"/>
      <c r="K178" s="811"/>
      <c r="L178" s="880">
        <f>L179</f>
        <v>7644.31</v>
      </c>
      <c r="M178" s="880">
        <f>M179</f>
        <v>0</v>
      </c>
      <c r="N178" s="880">
        <f t="shared" ref="N178:AO178" si="112">N179</f>
        <v>377.26</v>
      </c>
      <c r="O178" s="880">
        <f t="shared" si="112"/>
        <v>0</v>
      </c>
      <c r="P178" s="880">
        <f>P179+P181</f>
        <v>70000</v>
      </c>
      <c r="Q178" s="880">
        <f>Q179+Q181</f>
        <v>0</v>
      </c>
      <c r="R178" s="880">
        <f t="shared" ref="R178:AA178" si="113">R179+R181</f>
        <v>0</v>
      </c>
      <c r="S178" s="880">
        <f t="shared" si="113"/>
        <v>0</v>
      </c>
      <c r="T178" s="880">
        <f t="shared" si="113"/>
        <v>0</v>
      </c>
      <c r="U178" s="880">
        <f t="shared" si="113"/>
        <v>0</v>
      </c>
      <c r="V178" s="880">
        <f t="shared" si="113"/>
        <v>0</v>
      </c>
      <c r="W178" s="880">
        <f t="shared" si="113"/>
        <v>0</v>
      </c>
      <c r="X178" s="880">
        <f t="shared" si="113"/>
        <v>0</v>
      </c>
      <c r="Y178" s="880">
        <f t="shared" si="113"/>
        <v>0</v>
      </c>
      <c r="Z178" s="880">
        <f t="shared" si="113"/>
        <v>0</v>
      </c>
      <c r="AA178" s="880">
        <f t="shared" si="113"/>
        <v>0</v>
      </c>
      <c r="AB178" s="880">
        <f t="shared" si="112"/>
        <v>0</v>
      </c>
      <c r="AC178" s="880">
        <f t="shared" si="112"/>
        <v>0</v>
      </c>
      <c r="AD178" s="880">
        <f t="shared" si="112"/>
        <v>0</v>
      </c>
      <c r="AE178" s="880">
        <f t="shared" si="112"/>
        <v>0</v>
      </c>
      <c r="AF178" s="880">
        <f t="shared" si="112"/>
        <v>0</v>
      </c>
      <c r="AG178" s="880">
        <f t="shared" si="112"/>
        <v>0</v>
      </c>
      <c r="AH178" s="880">
        <f t="shared" si="112"/>
        <v>0</v>
      </c>
      <c r="AI178" s="880">
        <f t="shared" si="112"/>
        <v>0</v>
      </c>
      <c r="AJ178" s="880">
        <f t="shared" si="112"/>
        <v>0</v>
      </c>
      <c r="AK178" s="880">
        <f t="shared" si="112"/>
        <v>0</v>
      </c>
      <c r="AL178" s="880">
        <f t="shared" si="112"/>
        <v>0</v>
      </c>
      <c r="AM178" s="880">
        <f t="shared" si="112"/>
        <v>0</v>
      </c>
      <c r="AN178" s="880">
        <f t="shared" si="112"/>
        <v>0</v>
      </c>
      <c r="AO178" s="880">
        <f t="shared" si="112"/>
        <v>0</v>
      </c>
      <c r="AP178" s="806" t="s">
        <v>244</v>
      </c>
      <c r="AQ178" s="812">
        <v>0</v>
      </c>
    </row>
    <row r="179" spans="1:43" ht="18" customHeight="1" x14ac:dyDescent="0.25">
      <c r="A179" s="1488"/>
      <c r="B179" s="42" t="s">
        <v>15</v>
      </c>
      <c r="C179" s="334"/>
      <c r="D179" s="334"/>
      <c r="E179" s="334"/>
      <c r="F179" s="313"/>
      <c r="G179" s="335"/>
      <c r="H179" s="336"/>
      <c r="I179" s="1328"/>
      <c r="J179" s="904"/>
      <c r="K179" s="649"/>
      <c r="L179" s="902">
        <v>7644.31</v>
      </c>
      <c r="M179" s="83">
        <v>0</v>
      </c>
      <c r="N179" s="83">
        <v>377.26</v>
      </c>
      <c r="O179" s="83">
        <v>0</v>
      </c>
      <c r="P179" s="83">
        <v>7000</v>
      </c>
      <c r="Q179" s="83">
        <v>0</v>
      </c>
      <c r="R179" s="83">
        <v>0</v>
      </c>
      <c r="S179" s="83">
        <v>0</v>
      </c>
      <c r="T179" s="83">
        <f>SUM(T180:T181)</f>
        <v>0</v>
      </c>
      <c r="U179" s="83">
        <f>SUM(U180:U181)</f>
        <v>0</v>
      </c>
      <c r="V179" s="83">
        <f t="shared" ref="V179:AE179" si="114">SUM(V180:V181)</f>
        <v>0</v>
      </c>
      <c r="W179" s="83">
        <f t="shared" si="114"/>
        <v>0</v>
      </c>
      <c r="X179" s="83">
        <f t="shared" si="114"/>
        <v>0</v>
      </c>
      <c r="Y179" s="83">
        <f t="shared" si="114"/>
        <v>0</v>
      </c>
      <c r="Z179" s="259"/>
      <c r="AA179" s="83">
        <f t="shared" si="114"/>
        <v>0</v>
      </c>
      <c r="AB179" s="83">
        <f t="shared" si="114"/>
        <v>0</v>
      </c>
      <c r="AC179" s="83">
        <f t="shared" si="114"/>
        <v>0</v>
      </c>
      <c r="AD179" s="83">
        <f t="shared" si="114"/>
        <v>0</v>
      </c>
      <c r="AE179" s="83">
        <f t="shared" si="114"/>
        <v>0</v>
      </c>
      <c r="AF179" s="83">
        <v>0</v>
      </c>
      <c r="AG179" s="83">
        <v>0</v>
      </c>
      <c r="AH179" s="83">
        <v>0</v>
      </c>
      <c r="AI179" s="83">
        <v>0</v>
      </c>
      <c r="AJ179" s="83">
        <v>0</v>
      </c>
      <c r="AK179" s="83">
        <v>0</v>
      </c>
      <c r="AL179" s="83">
        <v>0</v>
      </c>
      <c r="AM179" s="83">
        <v>0</v>
      </c>
      <c r="AN179" s="83">
        <v>0</v>
      </c>
      <c r="AO179" s="83">
        <v>0</v>
      </c>
      <c r="AP179" s="409"/>
      <c r="AQ179" s="259"/>
    </row>
    <row r="180" spans="1:43" s="266" customFormat="1" ht="18" hidden="1" customHeight="1" x14ac:dyDescent="0.25">
      <c r="A180" s="366"/>
      <c r="B180" s="252" t="s">
        <v>232</v>
      </c>
      <c r="C180" s="253"/>
      <c r="D180" s="253"/>
      <c r="E180" s="253"/>
      <c r="F180" s="363"/>
      <c r="G180" s="255"/>
      <c r="H180" s="256"/>
      <c r="I180" s="367"/>
      <c r="J180" s="533"/>
      <c r="K180" s="534"/>
      <c r="L180" s="258"/>
      <c r="M180" s="259"/>
      <c r="N180" s="259"/>
      <c r="O180" s="259"/>
      <c r="P180" s="83"/>
      <c r="Q180" s="259"/>
      <c r="R180" s="259"/>
      <c r="S180" s="259"/>
      <c r="T180" s="259"/>
      <c r="U180" s="259"/>
      <c r="V180" s="259"/>
      <c r="W180" s="259"/>
      <c r="X180" s="83"/>
      <c r="Y180" s="83"/>
      <c r="Z180" s="259"/>
      <c r="AA180" s="259"/>
      <c r="AB180" s="259"/>
      <c r="AC180" s="259"/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411"/>
      <c r="AQ180" s="259"/>
    </row>
    <row r="181" spans="1:43" ht="18" customHeight="1" x14ac:dyDescent="0.25">
      <c r="A181" s="882"/>
      <c r="B181" s="42" t="s">
        <v>32</v>
      </c>
      <c r="C181" s="334"/>
      <c r="D181" s="334"/>
      <c r="E181" s="334"/>
      <c r="F181" s="313"/>
      <c r="G181" s="335"/>
      <c r="H181" s="336"/>
      <c r="I181" s="867"/>
      <c r="J181" s="904"/>
      <c r="K181" s="649"/>
      <c r="L181" s="902"/>
      <c r="M181" s="83"/>
      <c r="N181" s="83"/>
      <c r="O181" s="83"/>
      <c r="P181" s="83">
        <v>63000</v>
      </c>
      <c r="Q181" s="83">
        <f>S181+U181</f>
        <v>0</v>
      </c>
      <c r="R181" s="83"/>
      <c r="S181" s="83"/>
      <c r="T181" s="83">
        <v>0</v>
      </c>
      <c r="U181" s="83">
        <v>0</v>
      </c>
      <c r="V181" s="83"/>
      <c r="W181" s="83"/>
      <c r="X181" s="83"/>
      <c r="Y181" s="83"/>
      <c r="Z181" s="83"/>
      <c r="AA181" s="83">
        <f>SUM(AB181:AC181)</f>
        <v>0</v>
      </c>
      <c r="AB181" s="83"/>
      <c r="AC181" s="83">
        <v>0</v>
      </c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409"/>
      <c r="AQ181" s="83"/>
    </row>
    <row r="182" spans="1:43" s="327" customFormat="1" ht="26.25" customHeight="1" x14ac:dyDescent="0.25">
      <c r="A182" s="1398" t="s">
        <v>169</v>
      </c>
      <c r="B182" s="772" t="s">
        <v>170</v>
      </c>
      <c r="C182" s="809"/>
      <c r="D182" s="809"/>
      <c r="E182" s="809"/>
      <c r="F182" s="312"/>
      <c r="G182" s="775"/>
      <c r="H182" s="810"/>
      <c r="I182" s="1326" t="s">
        <v>19</v>
      </c>
      <c r="J182" s="283"/>
      <c r="K182" s="811"/>
      <c r="L182" s="880">
        <f>L183</f>
        <v>8790.08</v>
      </c>
      <c r="M182" s="880">
        <f>M183</f>
        <v>0</v>
      </c>
      <c r="N182" s="880">
        <f t="shared" ref="N182:AO183" si="115">N183</f>
        <v>612.4</v>
      </c>
      <c r="O182" s="880">
        <f t="shared" si="115"/>
        <v>7188.28</v>
      </c>
      <c r="P182" s="880">
        <v>1215.26</v>
      </c>
      <c r="Q182" s="880">
        <v>0</v>
      </c>
      <c r="R182" s="880">
        <f t="shared" si="115"/>
        <v>0</v>
      </c>
      <c r="S182" s="880">
        <f t="shared" si="115"/>
        <v>0</v>
      </c>
      <c r="T182" s="880">
        <f t="shared" si="115"/>
        <v>0</v>
      </c>
      <c r="U182" s="880">
        <f t="shared" si="115"/>
        <v>2205.3380000000002</v>
      </c>
      <c r="V182" s="880">
        <f t="shared" si="115"/>
        <v>0</v>
      </c>
      <c r="W182" s="880">
        <f t="shared" si="115"/>
        <v>0</v>
      </c>
      <c r="X182" s="880">
        <f t="shared" si="115"/>
        <v>0</v>
      </c>
      <c r="Y182" s="880">
        <f t="shared" si="115"/>
        <v>0</v>
      </c>
      <c r="Z182" s="880">
        <v>0</v>
      </c>
      <c r="AA182" s="880">
        <v>0</v>
      </c>
      <c r="AB182" s="880">
        <f>AB183</f>
        <v>2205.337</v>
      </c>
      <c r="AC182" s="880">
        <f>AC183</f>
        <v>0</v>
      </c>
      <c r="AD182" s="880">
        <f>AD183</f>
        <v>0</v>
      </c>
      <c r="AE182" s="880">
        <f>AE183</f>
        <v>0</v>
      </c>
      <c r="AF182" s="880">
        <f t="shared" si="115"/>
        <v>0</v>
      </c>
      <c r="AG182" s="880">
        <f t="shared" si="115"/>
        <v>0</v>
      </c>
      <c r="AH182" s="880">
        <f t="shared" si="115"/>
        <v>0</v>
      </c>
      <c r="AI182" s="880">
        <f t="shared" si="115"/>
        <v>0</v>
      </c>
      <c r="AJ182" s="880">
        <f t="shared" si="115"/>
        <v>0</v>
      </c>
      <c r="AK182" s="880">
        <f t="shared" si="115"/>
        <v>0</v>
      </c>
      <c r="AL182" s="880">
        <f t="shared" si="115"/>
        <v>0</v>
      </c>
      <c r="AM182" s="880">
        <f t="shared" si="115"/>
        <v>0</v>
      </c>
      <c r="AN182" s="880">
        <f t="shared" si="115"/>
        <v>0</v>
      </c>
      <c r="AO182" s="880">
        <f t="shared" si="115"/>
        <v>0</v>
      </c>
      <c r="AP182" s="806"/>
      <c r="AQ182" s="880">
        <v>0</v>
      </c>
    </row>
    <row r="183" spans="1:43" ht="24" hidden="1" customHeight="1" x14ac:dyDescent="0.25">
      <c r="A183" s="1488"/>
      <c r="B183" s="42" t="s">
        <v>15</v>
      </c>
      <c r="C183" s="334"/>
      <c r="D183" s="334"/>
      <c r="E183" s="334"/>
      <c r="F183" s="313"/>
      <c r="G183" s="335"/>
      <c r="H183" s="336"/>
      <c r="I183" s="1328"/>
      <c r="J183" s="904"/>
      <c r="K183" s="649"/>
      <c r="L183" s="902">
        <v>8790.08</v>
      </c>
      <c r="M183" s="83">
        <v>0</v>
      </c>
      <c r="N183" s="83">
        <v>612.4</v>
      </c>
      <c r="O183" s="83">
        <v>7188.28</v>
      </c>
      <c r="P183" s="83">
        <v>8177.68</v>
      </c>
      <c r="Q183" s="83">
        <f>Q184</f>
        <v>2205.3380000000002</v>
      </c>
      <c r="R183" s="83">
        <f t="shared" si="115"/>
        <v>0</v>
      </c>
      <c r="S183" s="83">
        <f t="shared" si="115"/>
        <v>0</v>
      </c>
      <c r="T183" s="83">
        <f t="shared" si="115"/>
        <v>0</v>
      </c>
      <c r="U183" s="83">
        <f t="shared" si="115"/>
        <v>2205.3380000000002</v>
      </c>
      <c r="V183" s="83">
        <f t="shared" si="115"/>
        <v>0</v>
      </c>
      <c r="W183" s="83">
        <f t="shared" si="115"/>
        <v>0</v>
      </c>
      <c r="X183" s="83">
        <f t="shared" si="115"/>
        <v>0</v>
      </c>
      <c r="Y183" s="83">
        <f t="shared" si="115"/>
        <v>0</v>
      </c>
      <c r="Z183" s="259"/>
      <c r="AA183" s="83">
        <f t="shared" si="115"/>
        <v>2205.337</v>
      </c>
      <c r="AB183" s="83">
        <f t="shared" si="115"/>
        <v>2205.337</v>
      </c>
      <c r="AC183" s="83">
        <f t="shared" si="115"/>
        <v>0</v>
      </c>
      <c r="AD183" s="83">
        <f>AD184</f>
        <v>0</v>
      </c>
      <c r="AE183" s="83">
        <f>AE184</f>
        <v>0</v>
      </c>
      <c r="AF183" s="83">
        <f t="shared" si="115"/>
        <v>0</v>
      </c>
      <c r="AG183" s="83">
        <f t="shared" si="115"/>
        <v>0</v>
      </c>
      <c r="AH183" s="83">
        <v>0</v>
      </c>
      <c r="AI183" s="83">
        <v>0</v>
      </c>
      <c r="AJ183" s="83">
        <v>0</v>
      </c>
      <c r="AK183" s="83">
        <v>0</v>
      </c>
      <c r="AL183" s="83">
        <v>0</v>
      </c>
      <c r="AM183" s="83">
        <v>0</v>
      </c>
      <c r="AN183" s="83">
        <v>0</v>
      </c>
      <c r="AO183" s="83">
        <v>0</v>
      </c>
      <c r="AP183" s="409"/>
      <c r="AQ183" s="259"/>
    </row>
    <row r="184" spans="1:43" s="266" customFormat="1" ht="27" hidden="1" customHeight="1" x14ac:dyDescent="0.25">
      <c r="A184" s="366"/>
      <c r="B184" s="252" t="s">
        <v>302</v>
      </c>
      <c r="C184" s="253"/>
      <c r="D184" s="253"/>
      <c r="E184" s="253"/>
      <c r="F184" s="363"/>
      <c r="G184" s="255"/>
      <c r="H184" s="256"/>
      <c r="I184" s="367"/>
      <c r="J184" s="533"/>
      <c r="K184" s="534"/>
      <c r="L184" s="258"/>
      <c r="M184" s="259"/>
      <c r="N184" s="259"/>
      <c r="O184" s="259"/>
      <c r="P184" s="259"/>
      <c r="Q184" s="259">
        <f>S184+U184</f>
        <v>2205.3380000000002</v>
      </c>
      <c r="R184" s="259"/>
      <c r="S184" s="259"/>
      <c r="T184" s="259"/>
      <c r="U184" s="259">
        <v>2205.3380000000002</v>
      </c>
      <c r="V184" s="259"/>
      <c r="W184" s="259"/>
      <c r="X184" s="259"/>
      <c r="Y184" s="259"/>
      <c r="Z184" s="259"/>
      <c r="AA184" s="259">
        <f>AB184</f>
        <v>2205.337</v>
      </c>
      <c r="AB184" s="259">
        <v>2205.337</v>
      </c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411"/>
      <c r="AQ184" s="259"/>
    </row>
    <row r="185" spans="1:43" s="327" customFormat="1" ht="43.5" customHeight="1" x14ac:dyDescent="0.25">
      <c r="A185" s="1398" t="s">
        <v>171</v>
      </c>
      <c r="B185" s="772" t="s">
        <v>172</v>
      </c>
      <c r="C185" s="809"/>
      <c r="D185" s="809"/>
      <c r="E185" s="809"/>
      <c r="F185" s="312"/>
      <c r="G185" s="775"/>
      <c r="H185" s="810"/>
      <c r="I185" s="1326" t="s">
        <v>19</v>
      </c>
      <c r="J185" s="283"/>
      <c r="K185" s="811"/>
      <c r="L185" s="880">
        <f>L186+L192</f>
        <v>204849.53</v>
      </c>
      <c r="M185" s="880">
        <f>M186+M192</f>
        <v>195485</v>
      </c>
      <c r="N185" s="880">
        <f>N186+N192</f>
        <v>203676.84</v>
      </c>
      <c r="O185" s="880">
        <f t="shared" ref="O185:AO185" si="116">O186</f>
        <v>1116.69</v>
      </c>
      <c r="P185" s="880">
        <f>P186+P192</f>
        <v>0</v>
      </c>
      <c r="Q185" s="880">
        <f t="shared" si="116"/>
        <v>0</v>
      </c>
      <c r="R185" s="880">
        <f t="shared" si="116"/>
        <v>0</v>
      </c>
      <c r="S185" s="880">
        <f t="shared" si="116"/>
        <v>3000</v>
      </c>
      <c r="T185" s="880">
        <f t="shared" si="116"/>
        <v>0</v>
      </c>
      <c r="U185" s="880">
        <f t="shared" si="116"/>
        <v>0</v>
      </c>
      <c r="V185" s="880">
        <f t="shared" si="116"/>
        <v>0</v>
      </c>
      <c r="W185" s="880">
        <f t="shared" si="116"/>
        <v>0</v>
      </c>
      <c r="X185" s="880">
        <f t="shared" si="116"/>
        <v>0</v>
      </c>
      <c r="Y185" s="880">
        <f t="shared" si="116"/>
        <v>0</v>
      </c>
      <c r="Z185" s="812">
        <v>0</v>
      </c>
      <c r="AA185" s="880">
        <f t="shared" si="116"/>
        <v>0</v>
      </c>
      <c r="AB185" s="880">
        <f t="shared" si="116"/>
        <v>0</v>
      </c>
      <c r="AC185" s="880">
        <f t="shared" si="116"/>
        <v>0</v>
      </c>
      <c r="AD185" s="880">
        <f t="shared" si="116"/>
        <v>0</v>
      </c>
      <c r="AE185" s="880">
        <f t="shared" si="116"/>
        <v>0</v>
      </c>
      <c r="AF185" s="880">
        <f t="shared" si="116"/>
        <v>0</v>
      </c>
      <c r="AG185" s="880">
        <f t="shared" si="116"/>
        <v>0</v>
      </c>
      <c r="AH185" s="880">
        <f t="shared" si="116"/>
        <v>0</v>
      </c>
      <c r="AI185" s="880">
        <f t="shared" si="116"/>
        <v>0</v>
      </c>
      <c r="AJ185" s="880">
        <f t="shared" si="116"/>
        <v>0</v>
      </c>
      <c r="AK185" s="880">
        <f t="shared" si="116"/>
        <v>0</v>
      </c>
      <c r="AL185" s="880">
        <f t="shared" si="116"/>
        <v>0</v>
      </c>
      <c r="AM185" s="880">
        <f t="shared" si="116"/>
        <v>0</v>
      </c>
      <c r="AN185" s="880">
        <f t="shared" si="116"/>
        <v>0</v>
      </c>
      <c r="AO185" s="880">
        <f t="shared" si="116"/>
        <v>0</v>
      </c>
      <c r="AP185" s="813" t="s">
        <v>295</v>
      </c>
      <c r="AQ185" s="812">
        <v>0</v>
      </c>
    </row>
    <row r="186" spans="1:43" x14ac:dyDescent="0.25">
      <c r="A186" s="1488"/>
      <c r="B186" s="42" t="s">
        <v>15</v>
      </c>
      <c r="C186" s="334"/>
      <c r="D186" s="334"/>
      <c r="E186" s="334"/>
      <c r="F186" s="313"/>
      <c r="G186" s="335"/>
      <c r="H186" s="336"/>
      <c r="I186" s="1328"/>
      <c r="J186" s="904"/>
      <c r="K186" s="649"/>
      <c r="L186" s="902">
        <v>9364.5300000000007</v>
      </c>
      <c r="M186" s="83">
        <v>0</v>
      </c>
      <c r="N186" s="83">
        <v>8191.84</v>
      </c>
      <c r="O186" s="83">
        <v>1116.69</v>
      </c>
      <c r="P186" s="83">
        <v>0</v>
      </c>
      <c r="Q186" s="83">
        <v>0</v>
      </c>
      <c r="R186" s="83">
        <f>P186</f>
        <v>0</v>
      </c>
      <c r="S186" s="83">
        <f>SUM(S187:S191)</f>
        <v>3000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259"/>
      <c r="AA186" s="83">
        <f>SUM(AA187:AA191)</f>
        <v>0</v>
      </c>
      <c r="AB186" s="83">
        <f t="shared" ref="AB186:AJ186" si="117">SUM(AB187:AB189)</f>
        <v>0</v>
      </c>
      <c r="AC186" s="83">
        <f t="shared" si="117"/>
        <v>0</v>
      </c>
      <c r="AD186" s="83">
        <f t="shared" si="117"/>
        <v>0</v>
      </c>
      <c r="AE186" s="83">
        <f>SUM(AE187:AE191)</f>
        <v>0</v>
      </c>
      <c r="AF186" s="83">
        <f t="shared" si="117"/>
        <v>0</v>
      </c>
      <c r="AG186" s="83">
        <f t="shared" si="117"/>
        <v>0</v>
      </c>
      <c r="AH186" s="83">
        <f t="shared" si="117"/>
        <v>0</v>
      </c>
      <c r="AI186" s="83">
        <f t="shared" si="117"/>
        <v>0</v>
      </c>
      <c r="AJ186" s="83">
        <f t="shared" si="117"/>
        <v>0</v>
      </c>
      <c r="AK186" s="83">
        <v>0</v>
      </c>
      <c r="AL186" s="83">
        <v>0</v>
      </c>
      <c r="AM186" s="83">
        <v>0</v>
      </c>
      <c r="AN186" s="83">
        <v>0</v>
      </c>
      <c r="AO186" s="83">
        <v>0</v>
      </c>
      <c r="AP186" s="409"/>
      <c r="AQ186" s="259"/>
    </row>
    <row r="187" spans="1:43" s="266" customFormat="1" ht="15.75" hidden="1" x14ac:dyDescent="0.25">
      <c r="A187" s="324"/>
      <c r="B187" s="252" t="s">
        <v>233</v>
      </c>
      <c r="C187" s="253"/>
      <c r="D187" s="253"/>
      <c r="E187" s="253"/>
      <c r="F187" s="363"/>
      <c r="G187" s="255"/>
      <c r="H187" s="256"/>
      <c r="I187" s="368"/>
      <c r="J187" s="533"/>
      <c r="K187" s="534"/>
      <c r="L187" s="258"/>
      <c r="M187" s="259"/>
      <c r="N187" s="259"/>
      <c r="O187" s="259"/>
      <c r="P187" s="83"/>
      <c r="Q187" s="259">
        <f>Y187</f>
        <v>0</v>
      </c>
      <c r="R187" s="259"/>
      <c r="S187" s="259"/>
      <c r="T187" s="259"/>
      <c r="U187" s="259"/>
      <c r="V187" s="259"/>
      <c r="W187" s="259"/>
      <c r="X187" s="259">
        <f>Y187</f>
        <v>0</v>
      </c>
      <c r="Y187" s="83"/>
      <c r="Z187" s="259"/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/>
      <c r="AM187" s="259"/>
      <c r="AN187" s="259"/>
      <c r="AO187" s="259"/>
      <c r="AP187" s="411"/>
      <c r="AQ187" s="259"/>
    </row>
    <row r="188" spans="1:43" s="266" customFormat="1" ht="15.75" hidden="1" x14ac:dyDescent="0.25">
      <c r="A188" s="324"/>
      <c r="B188" s="252" t="s">
        <v>262</v>
      </c>
      <c r="C188" s="253"/>
      <c r="D188" s="253"/>
      <c r="E188" s="253"/>
      <c r="F188" s="363"/>
      <c r="G188" s="255"/>
      <c r="H188" s="256"/>
      <c r="I188" s="368"/>
      <c r="J188" s="533"/>
      <c r="K188" s="534"/>
      <c r="L188" s="258"/>
      <c r="M188" s="259"/>
      <c r="N188" s="259"/>
      <c r="O188" s="259"/>
      <c r="P188" s="259"/>
      <c r="Q188" s="259">
        <f>S188+U188+W188</f>
        <v>3000</v>
      </c>
      <c r="R188" s="259">
        <f>S188</f>
        <v>3000</v>
      </c>
      <c r="S188" s="259">
        <v>3000</v>
      </c>
      <c r="T188" s="259">
        <f>U188</f>
        <v>0</v>
      </c>
      <c r="U188" s="259">
        <v>0</v>
      </c>
      <c r="V188" s="259"/>
      <c r="W188" s="259">
        <v>0</v>
      </c>
      <c r="X188" s="259"/>
      <c r="Y188" s="259"/>
      <c r="Z188" s="259"/>
      <c r="AA188" s="259">
        <f>SUM(AB188:AC188)</f>
        <v>0</v>
      </c>
      <c r="AB188" s="259"/>
      <c r="AC188" s="259">
        <v>0</v>
      </c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411"/>
      <c r="AQ188" s="259"/>
    </row>
    <row r="189" spans="1:43" s="266" customFormat="1" ht="15.75" hidden="1" x14ac:dyDescent="0.25">
      <c r="A189" s="324"/>
      <c r="B189" s="252" t="s">
        <v>263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259"/>
      <c r="Q189" s="259">
        <v>0</v>
      </c>
      <c r="R189" s="259">
        <v>0</v>
      </c>
      <c r="S189" s="259">
        <v>0</v>
      </c>
      <c r="T189" s="259">
        <v>0</v>
      </c>
      <c r="U189" s="259">
        <v>0</v>
      </c>
      <c r="V189" s="259"/>
      <c r="W189" s="259"/>
      <c r="X189" s="259"/>
      <c r="Y189" s="259"/>
      <c r="Z189" s="259"/>
      <c r="AA189" s="259">
        <f>SUM(AB189:AC189)</f>
        <v>0</v>
      </c>
      <c r="AB189" s="259"/>
      <c r="AC189" s="259">
        <v>0</v>
      </c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292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Y190</f>
        <v>0</v>
      </c>
      <c r="R190" s="259"/>
      <c r="S190" s="259"/>
      <c r="T190" s="259"/>
      <c r="U190" s="259"/>
      <c r="V190" s="259"/>
      <c r="W190" s="259"/>
      <c r="X190" s="259">
        <f>Y190</f>
        <v>0</v>
      </c>
      <c r="Y190" s="259">
        <v>0</v>
      </c>
      <c r="Z190" s="259"/>
      <c r="AA190" s="259">
        <f>SUM(AB190:AE190)</f>
        <v>0</v>
      </c>
      <c r="AB190" s="259"/>
      <c r="AC190" s="259"/>
      <c r="AD190" s="259"/>
      <c r="AE190" s="259">
        <v>0</v>
      </c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293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f>Y191</f>
        <v>0</v>
      </c>
      <c r="R191" s="259"/>
      <c r="S191" s="259"/>
      <c r="T191" s="259"/>
      <c r="U191" s="259"/>
      <c r="V191" s="259"/>
      <c r="W191" s="259"/>
      <c r="X191" s="259">
        <f>Y191</f>
        <v>0</v>
      </c>
      <c r="Y191" s="259">
        <v>0</v>
      </c>
      <c r="Z191" s="259"/>
      <c r="AA191" s="259">
        <f>SUM(AB191:AE191)</f>
        <v>0</v>
      </c>
      <c r="AB191" s="259"/>
      <c r="AC191" s="259"/>
      <c r="AD191" s="259"/>
      <c r="AE191" s="259">
        <v>0</v>
      </c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ht="17.25" customHeight="1" x14ac:dyDescent="0.25">
      <c r="A192" s="888"/>
      <c r="B192" s="42" t="s">
        <v>32</v>
      </c>
      <c r="C192" s="334"/>
      <c r="D192" s="334"/>
      <c r="E192" s="334"/>
      <c r="F192" s="313"/>
      <c r="G192" s="335"/>
      <c r="H192" s="336"/>
      <c r="I192" s="884" t="s">
        <v>10</v>
      </c>
      <c r="J192" s="904"/>
      <c r="K192" s="649"/>
      <c r="L192" s="902">
        <v>195485</v>
      </c>
      <c r="M192" s="902">
        <v>195485</v>
      </c>
      <c r="N192" s="902">
        <v>195485</v>
      </c>
      <c r="O192" s="902">
        <v>195485</v>
      </c>
      <c r="P192" s="902">
        <v>0</v>
      </c>
      <c r="Q192" s="83"/>
      <c r="R192" s="83"/>
      <c r="S192" s="83"/>
      <c r="T192" s="83"/>
      <c r="U192" s="83"/>
      <c r="V192" s="83"/>
      <c r="W192" s="83"/>
      <c r="X192" s="83"/>
      <c r="Y192" s="83"/>
      <c r="Z192" s="259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409"/>
      <c r="AQ192" s="259"/>
    </row>
    <row r="193" spans="1:43" s="327" customFormat="1" ht="25.5" x14ac:dyDescent="0.25">
      <c r="A193" s="912"/>
      <c r="B193" s="772" t="s">
        <v>409</v>
      </c>
      <c r="C193" s="809"/>
      <c r="D193" s="809"/>
      <c r="E193" s="809"/>
      <c r="F193" s="312"/>
      <c r="G193" s="775"/>
      <c r="H193" s="810"/>
      <c r="I193" s="914"/>
      <c r="J193" s="283"/>
      <c r="K193" s="811"/>
      <c r="L193" s="880"/>
      <c r="M193" s="880"/>
      <c r="N193" s="880"/>
      <c r="O193" s="880"/>
      <c r="P193" s="880">
        <f>P194+P195</f>
        <v>12759.949999999999</v>
      </c>
      <c r="Q193" s="816">
        <v>0</v>
      </c>
      <c r="R193" s="816"/>
      <c r="S193" s="816"/>
      <c r="T193" s="816"/>
      <c r="U193" s="816"/>
      <c r="V193" s="816"/>
      <c r="W193" s="816"/>
      <c r="X193" s="816"/>
      <c r="Y193" s="816"/>
      <c r="Z193" s="817"/>
      <c r="AA193" s="816">
        <v>0</v>
      </c>
      <c r="AB193" s="816"/>
      <c r="AC193" s="816"/>
      <c r="AD193" s="816"/>
      <c r="AE193" s="816"/>
      <c r="AF193" s="816"/>
      <c r="AG193" s="816"/>
      <c r="AH193" s="816"/>
      <c r="AI193" s="816"/>
      <c r="AJ193" s="816"/>
      <c r="AK193" s="816"/>
      <c r="AL193" s="816"/>
      <c r="AM193" s="816"/>
      <c r="AN193" s="816"/>
      <c r="AO193" s="816"/>
      <c r="AP193" s="818"/>
      <c r="AQ193" s="817"/>
    </row>
    <row r="194" spans="1:43" ht="15.75" x14ac:dyDescent="0.25">
      <c r="A194" s="888"/>
      <c r="B194" s="42" t="s">
        <v>39</v>
      </c>
      <c r="C194" s="334"/>
      <c r="D194" s="334"/>
      <c r="E194" s="334"/>
      <c r="F194" s="313"/>
      <c r="G194" s="335"/>
      <c r="H194" s="336"/>
      <c r="I194" s="884"/>
      <c r="J194" s="904"/>
      <c r="K194" s="649"/>
      <c r="L194" s="902"/>
      <c r="M194" s="902"/>
      <c r="N194" s="902"/>
      <c r="O194" s="902"/>
      <c r="P194" s="902">
        <v>1652.72</v>
      </c>
      <c r="Q194" s="83">
        <v>0</v>
      </c>
      <c r="R194" s="83"/>
      <c r="S194" s="83"/>
      <c r="T194" s="83"/>
      <c r="U194" s="83"/>
      <c r="V194" s="83"/>
      <c r="W194" s="83"/>
      <c r="X194" s="83"/>
      <c r="Y194" s="83"/>
      <c r="Z194" s="259"/>
      <c r="AA194" s="83">
        <v>0</v>
      </c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ht="15.75" x14ac:dyDescent="0.25">
      <c r="A195" s="888"/>
      <c r="B195" s="42" t="s">
        <v>32</v>
      </c>
      <c r="C195" s="334"/>
      <c r="D195" s="334"/>
      <c r="E195" s="334"/>
      <c r="F195" s="313"/>
      <c r="G195" s="335"/>
      <c r="H195" s="336"/>
      <c r="I195" s="868"/>
      <c r="J195" s="904"/>
      <c r="K195" s="649"/>
      <c r="L195" s="902"/>
      <c r="M195" s="83"/>
      <c r="N195" s="83"/>
      <c r="O195" s="83"/>
      <c r="P195" s="83">
        <v>11107.23</v>
      </c>
      <c r="Q195" s="83">
        <v>0</v>
      </c>
      <c r="R195" s="83"/>
      <c r="S195" s="83"/>
      <c r="T195" s="83"/>
      <c r="U195" s="83"/>
      <c r="V195" s="83"/>
      <c r="W195" s="83"/>
      <c r="X195" s="83"/>
      <c r="Y195" s="83"/>
      <c r="Z195" s="83"/>
      <c r="AA195" s="83">
        <v>0</v>
      </c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409"/>
      <c r="AQ195" s="83"/>
    </row>
    <row r="196" spans="1:43" s="327" customFormat="1" ht="15.75" x14ac:dyDescent="0.25">
      <c r="A196" s="912"/>
      <c r="B196" s="772" t="s">
        <v>410</v>
      </c>
      <c r="C196" s="809"/>
      <c r="D196" s="809"/>
      <c r="E196" s="809"/>
      <c r="F196" s="312"/>
      <c r="G196" s="775"/>
      <c r="H196" s="810"/>
      <c r="I196" s="914"/>
      <c r="J196" s="283"/>
      <c r="K196" s="811"/>
      <c r="L196" s="880"/>
      <c r="M196" s="880"/>
      <c r="N196" s="880"/>
      <c r="O196" s="880"/>
      <c r="P196" s="880">
        <f>P197+P198</f>
        <v>21627.71</v>
      </c>
      <c r="Q196" s="816">
        <v>0</v>
      </c>
      <c r="R196" s="816"/>
      <c r="S196" s="816"/>
      <c r="T196" s="816"/>
      <c r="U196" s="816"/>
      <c r="V196" s="816"/>
      <c r="W196" s="816"/>
      <c r="X196" s="816"/>
      <c r="Y196" s="816"/>
      <c r="Z196" s="817"/>
      <c r="AA196" s="816">
        <v>0</v>
      </c>
      <c r="AB196" s="816"/>
      <c r="AC196" s="816"/>
      <c r="AD196" s="816"/>
      <c r="AE196" s="816"/>
      <c r="AF196" s="816"/>
      <c r="AG196" s="816"/>
      <c r="AH196" s="816"/>
      <c r="AI196" s="816"/>
      <c r="AJ196" s="816"/>
      <c r="AK196" s="816"/>
      <c r="AL196" s="816"/>
      <c r="AM196" s="816"/>
      <c r="AN196" s="816"/>
      <c r="AO196" s="816"/>
      <c r="AP196" s="818"/>
      <c r="AQ196" s="817"/>
    </row>
    <row r="197" spans="1:43" ht="15.75" x14ac:dyDescent="0.25">
      <c r="A197" s="888"/>
      <c r="B197" s="42" t="s">
        <v>39</v>
      </c>
      <c r="C197" s="334"/>
      <c r="D197" s="334"/>
      <c r="E197" s="334"/>
      <c r="F197" s="313"/>
      <c r="G197" s="335"/>
      <c r="H197" s="336"/>
      <c r="I197" s="884"/>
      <c r="J197" s="904"/>
      <c r="K197" s="649"/>
      <c r="L197" s="902"/>
      <c r="M197" s="902"/>
      <c r="N197" s="902"/>
      <c r="O197" s="902"/>
      <c r="P197" s="902">
        <v>1821.34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259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259"/>
    </row>
    <row r="198" spans="1:43" ht="15.75" x14ac:dyDescent="0.25">
      <c r="A198" s="888"/>
      <c r="B198" s="42" t="s">
        <v>16</v>
      </c>
      <c r="C198" s="334"/>
      <c r="D198" s="334"/>
      <c r="E198" s="334"/>
      <c r="F198" s="313"/>
      <c r="G198" s="335"/>
      <c r="H198" s="336"/>
      <c r="I198" s="868"/>
      <c r="J198" s="904"/>
      <c r="K198" s="649"/>
      <c r="L198" s="902"/>
      <c r="M198" s="83"/>
      <c r="N198" s="83"/>
      <c r="O198" s="83"/>
      <c r="P198" s="83">
        <v>19806.37</v>
      </c>
      <c r="Q198" s="83">
        <v>0</v>
      </c>
      <c r="R198" s="83"/>
      <c r="S198" s="83"/>
      <c r="T198" s="83"/>
      <c r="U198" s="83"/>
      <c r="V198" s="83"/>
      <c r="W198" s="83"/>
      <c r="X198" s="83"/>
      <c r="Y198" s="83"/>
      <c r="Z198" s="83"/>
      <c r="AA198" s="83">
        <v>0</v>
      </c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409"/>
      <c r="AQ198" s="83"/>
    </row>
    <row r="199" spans="1:43" s="327" customFormat="1" ht="25.5" x14ac:dyDescent="0.25">
      <c r="A199" s="912"/>
      <c r="B199" s="772" t="s">
        <v>411</v>
      </c>
      <c r="C199" s="809"/>
      <c r="D199" s="809"/>
      <c r="E199" s="809"/>
      <c r="F199" s="312"/>
      <c r="G199" s="775"/>
      <c r="H199" s="810"/>
      <c r="I199" s="914"/>
      <c r="J199" s="283"/>
      <c r="K199" s="811"/>
      <c r="L199" s="880"/>
      <c r="M199" s="880"/>
      <c r="N199" s="880"/>
      <c r="O199" s="880"/>
      <c r="P199" s="880">
        <f>P200+P201</f>
        <v>12759.59</v>
      </c>
      <c r="Q199" s="816">
        <v>0</v>
      </c>
      <c r="R199" s="816"/>
      <c r="S199" s="816"/>
      <c r="T199" s="816"/>
      <c r="U199" s="816"/>
      <c r="V199" s="816"/>
      <c r="W199" s="816"/>
      <c r="X199" s="816"/>
      <c r="Y199" s="816"/>
      <c r="Z199" s="817"/>
      <c r="AA199" s="816">
        <v>0</v>
      </c>
      <c r="AB199" s="816"/>
      <c r="AC199" s="816"/>
      <c r="AD199" s="816"/>
      <c r="AE199" s="816"/>
      <c r="AF199" s="816"/>
      <c r="AG199" s="816"/>
      <c r="AH199" s="816"/>
      <c r="AI199" s="816"/>
      <c r="AJ199" s="816"/>
      <c r="AK199" s="816"/>
      <c r="AL199" s="816"/>
      <c r="AM199" s="816"/>
      <c r="AN199" s="816"/>
      <c r="AO199" s="816"/>
      <c r="AP199" s="818"/>
      <c r="AQ199" s="817"/>
    </row>
    <row r="200" spans="1:43" ht="15.75" x14ac:dyDescent="0.25">
      <c r="A200" s="888"/>
      <c r="B200" s="42" t="s">
        <v>39</v>
      </c>
      <c r="C200" s="334"/>
      <c r="D200" s="334"/>
      <c r="E200" s="334"/>
      <c r="F200" s="313"/>
      <c r="G200" s="335"/>
      <c r="H200" s="336"/>
      <c r="I200" s="884"/>
      <c r="J200" s="904"/>
      <c r="K200" s="649"/>
      <c r="L200" s="902"/>
      <c r="M200" s="902"/>
      <c r="N200" s="902"/>
      <c r="O200" s="902"/>
      <c r="P200" s="902">
        <v>1652.36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259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259"/>
    </row>
    <row r="201" spans="1:43" ht="15.75" x14ac:dyDescent="0.25">
      <c r="A201" s="888"/>
      <c r="B201" s="42" t="s">
        <v>32</v>
      </c>
      <c r="C201" s="334"/>
      <c r="D201" s="334"/>
      <c r="E201" s="334"/>
      <c r="F201" s="313"/>
      <c r="G201" s="335"/>
      <c r="H201" s="336"/>
      <c r="I201" s="868"/>
      <c r="J201" s="904"/>
      <c r="K201" s="649"/>
      <c r="L201" s="902"/>
      <c r="M201" s="83"/>
      <c r="N201" s="83"/>
      <c r="O201" s="83"/>
      <c r="P201" s="83">
        <v>11107.23</v>
      </c>
      <c r="Q201" s="83">
        <v>0</v>
      </c>
      <c r="R201" s="83"/>
      <c r="S201" s="83"/>
      <c r="T201" s="83"/>
      <c r="U201" s="83"/>
      <c r="V201" s="83"/>
      <c r="W201" s="83"/>
      <c r="X201" s="83"/>
      <c r="Y201" s="83"/>
      <c r="Z201" s="83"/>
      <c r="AA201" s="83">
        <v>0</v>
      </c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409"/>
      <c r="AQ201" s="83"/>
    </row>
    <row r="202" spans="1:43" ht="43.5" hidden="1" customHeight="1" x14ac:dyDescent="0.25">
      <c r="A202" s="1535" t="s">
        <v>24</v>
      </c>
      <c r="B202" s="1613" t="s">
        <v>206</v>
      </c>
      <c r="C202" s="1614"/>
      <c r="D202" s="1614"/>
      <c r="E202" s="1614"/>
      <c r="F202" s="1614"/>
      <c r="G202" s="1614"/>
      <c r="H202" s="1615"/>
      <c r="I202" s="23" t="s">
        <v>19</v>
      </c>
      <c r="J202" s="904">
        <v>0</v>
      </c>
      <c r="K202" s="904">
        <v>0</v>
      </c>
      <c r="L202" s="47">
        <v>0</v>
      </c>
      <c r="M202" s="47">
        <v>0</v>
      </c>
      <c r="N202" s="47">
        <v>0</v>
      </c>
      <c r="O202" s="47">
        <v>1</v>
      </c>
      <c r="P202" s="47">
        <v>0</v>
      </c>
      <c r="Q202" s="47">
        <v>0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47">
        <v>0</v>
      </c>
      <c r="X202" s="47">
        <v>0</v>
      </c>
      <c r="Y202" s="47">
        <v>0</v>
      </c>
      <c r="Z202" s="96"/>
      <c r="AA202" s="47">
        <v>0</v>
      </c>
      <c r="AB202" s="47">
        <v>0</v>
      </c>
      <c r="AC202" s="47">
        <v>0</v>
      </c>
      <c r="AD202" s="47">
        <v>0</v>
      </c>
      <c r="AE202" s="47">
        <v>0</v>
      </c>
      <c r="AF202" s="47">
        <v>0</v>
      </c>
      <c r="AG202" s="47">
        <v>0</v>
      </c>
      <c r="AH202" s="47">
        <v>0</v>
      </c>
      <c r="AI202" s="47">
        <v>0</v>
      </c>
      <c r="AJ202" s="47">
        <v>0</v>
      </c>
      <c r="AK202" s="47">
        <v>0</v>
      </c>
      <c r="AL202" s="47">
        <v>0</v>
      </c>
      <c r="AM202" s="47">
        <v>0</v>
      </c>
      <c r="AN202" s="47">
        <v>0</v>
      </c>
      <c r="AO202" s="47">
        <v>0</v>
      </c>
      <c r="AP202" s="397"/>
      <c r="AQ202" s="96"/>
    </row>
    <row r="203" spans="1:43" ht="41.25" hidden="1" customHeight="1" x14ac:dyDescent="0.25">
      <c r="A203" s="1535"/>
      <c r="B203" s="1616"/>
      <c r="C203" s="1617"/>
      <c r="D203" s="1617"/>
      <c r="E203" s="1617"/>
      <c r="F203" s="1617"/>
      <c r="G203" s="1617"/>
      <c r="H203" s="1618"/>
      <c r="I203" s="23" t="s">
        <v>20</v>
      </c>
      <c r="J203" s="904">
        <f>J206</f>
        <v>6379.79</v>
      </c>
      <c r="K203" s="904">
        <f>K206</f>
        <v>0</v>
      </c>
      <c r="L203" s="47">
        <f t="shared" ref="L203:AK203" si="118">L206+L211+L217</f>
        <v>13097.62</v>
      </c>
      <c r="M203" s="47">
        <f t="shared" si="118"/>
        <v>4269.0300000000007</v>
      </c>
      <c r="N203" s="47">
        <f t="shared" si="118"/>
        <v>5370.84</v>
      </c>
      <c r="O203" s="47">
        <f t="shared" si="118"/>
        <v>3372.5</v>
      </c>
      <c r="P203" s="47">
        <f t="shared" si="118"/>
        <v>78556.570000000007</v>
      </c>
      <c r="Q203" s="47">
        <f t="shared" si="118"/>
        <v>0</v>
      </c>
      <c r="R203" s="47">
        <f t="shared" si="118"/>
        <v>0</v>
      </c>
      <c r="S203" s="47">
        <f t="shared" si="118"/>
        <v>0</v>
      </c>
      <c r="T203" s="47">
        <f t="shared" si="118"/>
        <v>753.46</v>
      </c>
      <c r="U203" s="47">
        <f t="shared" si="118"/>
        <v>753.46</v>
      </c>
      <c r="V203" s="47">
        <f t="shared" si="118"/>
        <v>4173.82</v>
      </c>
      <c r="W203" s="47">
        <f t="shared" si="118"/>
        <v>4173.82</v>
      </c>
      <c r="X203" s="47">
        <f t="shared" si="118"/>
        <v>0</v>
      </c>
      <c r="Y203" s="47">
        <f t="shared" si="118"/>
        <v>0</v>
      </c>
      <c r="Z203" s="96"/>
      <c r="AA203" s="47">
        <f t="shared" si="118"/>
        <v>0</v>
      </c>
      <c r="AB203" s="47">
        <f t="shared" si="118"/>
        <v>0</v>
      </c>
      <c r="AC203" s="47">
        <f t="shared" si="118"/>
        <v>753.46</v>
      </c>
      <c r="AD203" s="47">
        <f t="shared" si="118"/>
        <v>4900</v>
      </c>
      <c r="AE203" s="47">
        <f t="shared" si="118"/>
        <v>0</v>
      </c>
      <c r="AF203" s="47">
        <f t="shared" si="118"/>
        <v>0</v>
      </c>
      <c r="AG203" s="47">
        <f t="shared" si="118"/>
        <v>0</v>
      </c>
      <c r="AH203" s="47">
        <f t="shared" si="118"/>
        <v>0</v>
      </c>
      <c r="AI203" s="47">
        <f t="shared" si="118"/>
        <v>0</v>
      </c>
      <c r="AJ203" s="47">
        <f t="shared" si="118"/>
        <v>0</v>
      </c>
      <c r="AK203" s="47">
        <f t="shared" si="118"/>
        <v>78556.570000000007</v>
      </c>
      <c r="AL203" s="47">
        <f>AL206</f>
        <v>78556.570000000007</v>
      </c>
      <c r="AM203" s="47">
        <f>AM206</f>
        <v>0</v>
      </c>
      <c r="AN203" s="47">
        <f>AN206</f>
        <v>0</v>
      </c>
      <c r="AO203" s="47">
        <f>AO206</f>
        <v>0</v>
      </c>
      <c r="AP203" s="397"/>
      <c r="AQ203" s="96"/>
    </row>
    <row r="204" spans="1:43" ht="38.25" hidden="1" customHeight="1" x14ac:dyDescent="0.25">
      <c r="A204" s="1535"/>
      <c r="B204" s="1616"/>
      <c r="C204" s="1617"/>
      <c r="D204" s="1617"/>
      <c r="E204" s="1617"/>
      <c r="F204" s="1617"/>
      <c r="G204" s="1617"/>
      <c r="H204" s="1618"/>
      <c r="I204" s="23" t="s">
        <v>10</v>
      </c>
      <c r="J204" s="904">
        <v>0</v>
      </c>
      <c r="K204" s="904">
        <v>0</v>
      </c>
      <c r="L204" s="47">
        <f>L223+L225</f>
        <v>2305.4499999999998</v>
      </c>
      <c r="M204" s="47">
        <f>M223+M225</f>
        <v>1650.1</v>
      </c>
      <c r="N204" s="47">
        <f t="shared" ref="N204:AJ204" si="119">N223+N225</f>
        <v>0</v>
      </c>
      <c r="O204" s="47">
        <f t="shared" si="119"/>
        <v>0</v>
      </c>
      <c r="P204" s="47">
        <f t="shared" si="119"/>
        <v>0</v>
      </c>
      <c r="Q204" s="47">
        <f t="shared" si="119"/>
        <v>99.9</v>
      </c>
      <c r="R204" s="47">
        <f t="shared" si="119"/>
        <v>0</v>
      </c>
      <c r="S204" s="47">
        <f t="shared" si="119"/>
        <v>0</v>
      </c>
      <c r="T204" s="47">
        <f t="shared" si="119"/>
        <v>0</v>
      </c>
      <c r="U204" s="47">
        <f t="shared" si="119"/>
        <v>0</v>
      </c>
      <c r="V204" s="47">
        <f t="shared" si="119"/>
        <v>0</v>
      </c>
      <c r="W204" s="47">
        <f t="shared" si="119"/>
        <v>0</v>
      </c>
      <c r="X204" s="47">
        <f t="shared" si="119"/>
        <v>0</v>
      </c>
      <c r="Y204" s="47">
        <f t="shared" si="119"/>
        <v>0</v>
      </c>
      <c r="Z204" s="96"/>
      <c r="AA204" s="47">
        <f t="shared" si="119"/>
        <v>99.9</v>
      </c>
      <c r="AB204" s="47">
        <f t="shared" si="119"/>
        <v>0</v>
      </c>
      <c r="AC204" s="47">
        <f t="shared" si="119"/>
        <v>0</v>
      </c>
      <c r="AD204" s="47">
        <f t="shared" si="119"/>
        <v>0</v>
      </c>
      <c r="AE204" s="47">
        <f t="shared" si="119"/>
        <v>0</v>
      </c>
      <c r="AF204" s="47">
        <f t="shared" si="119"/>
        <v>0</v>
      </c>
      <c r="AG204" s="47">
        <f t="shared" si="119"/>
        <v>0</v>
      </c>
      <c r="AH204" s="47">
        <f t="shared" si="119"/>
        <v>0</v>
      </c>
      <c r="AI204" s="47">
        <f t="shared" si="119"/>
        <v>0</v>
      </c>
      <c r="AJ204" s="47">
        <f t="shared" si="119"/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25.5" hidden="1" x14ac:dyDescent="0.25">
      <c r="A205" s="1535"/>
      <c r="B205" s="1619"/>
      <c r="C205" s="1620"/>
      <c r="D205" s="1620"/>
      <c r="E205" s="1620"/>
      <c r="F205" s="1620"/>
      <c r="G205" s="1620"/>
      <c r="H205" s="1621"/>
      <c r="I205" s="23" t="s">
        <v>9</v>
      </c>
      <c r="J205" s="904">
        <v>0</v>
      </c>
      <c r="K205" s="904">
        <v>0</v>
      </c>
      <c r="L205" s="47">
        <v>0</v>
      </c>
      <c r="M205" s="47">
        <v>0</v>
      </c>
      <c r="N205" s="47">
        <v>0</v>
      </c>
      <c r="O205" s="47">
        <v>1</v>
      </c>
      <c r="P205" s="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47">
        <v>0</v>
      </c>
      <c r="X205" s="47">
        <v>0</v>
      </c>
      <c r="Y205" s="47">
        <v>0</v>
      </c>
      <c r="Z205" s="96"/>
      <c r="AA205" s="47">
        <v>0</v>
      </c>
      <c r="AB205" s="47">
        <v>0</v>
      </c>
      <c r="AC205" s="47">
        <v>0</v>
      </c>
      <c r="AD205" s="47">
        <v>0</v>
      </c>
      <c r="AE205" s="47">
        <v>0</v>
      </c>
      <c r="AF205" s="47">
        <v>0</v>
      </c>
      <c r="AG205" s="47">
        <v>0</v>
      </c>
      <c r="AH205" s="47">
        <v>0</v>
      </c>
      <c r="AI205" s="47">
        <v>0</v>
      </c>
      <c r="AJ205" s="47">
        <v>0</v>
      </c>
      <c r="AK205" s="47">
        <v>0</v>
      </c>
      <c r="AL205" s="47">
        <v>0</v>
      </c>
      <c r="AM205" s="47">
        <v>0</v>
      </c>
      <c r="AN205" s="47">
        <v>0</v>
      </c>
      <c r="AO205" s="47">
        <v>0</v>
      </c>
      <c r="AP205" s="397"/>
      <c r="AQ205" s="96"/>
    </row>
    <row r="206" spans="1:43" s="327" customFormat="1" ht="33" customHeight="1" x14ac:dyDescent="0.25">
      <c r="A206" s="1450" t="s">
        <v>30</v>
      </c>
      <c r="B206" s="780" t="s">
        <v>173</v>
      </c>
      <c r="C206" s="1326">
        <v>300</v>
      </c>
      <c r="D206" s="1326">
        <v>570</v>
      </c>
      <c r="E206" s="1326"/>
      <c r="F206" s="1326"/>
      <c r="G206" s="778"/>
      <c r="H206" s="778"/>
      <c r="I206" s="1463" t="s">
        <v>20</v>
      </c>
      <c r="J206" s="1622">
        <v>6379.79</v>
      </c>
      <c r="K206" s="3">
        <v>0</v>
      </c>
      <c r="L206" s="3">
        <f t="shared" ref="L206:AJ206" si="120">L207+L210</f>
        <v>5597.58</v>
      </c>
      <c r="M206" s="3">
        <f t="shared" si="120"/>
        <v>0</v>
      </c>
      <c r="N206" s="3">
        <f t="shared" si="120"/>
        <v>5370.84</v>
      </c>
      <c r="O206" s="3">
        <f t="shared" si="120"/>
        <v>3372.5</v>
      </c>
      <c r="P206" s="3">
        <f t="shared" si="120"/>
        <v>78556.570000000007</v>
      </c>
      <c r="Q206" s="3">
        <f t="shared" si="120"/>
        <v>0</v>
      </c>
      <c r="R206" s="3">
        <f t="shared" si="120"/>
        <v>0</v>
      </c>
      <c r="S206" s="3">
        <f t="shared" si="120"/>
        <v>0</v>
      </c>
      <c r="T206" s="3">
        <f t="shared" si="120"/>
        <v>753.46</v>
      </c>
      <c r="U206" s="3">
        <f t="shared" si="120"/>
        <v>753.46</v>
      </c>
      <c r="V206" s="3">
        <f t="shared" si="120"/>
        <v>4173.82</v>
      </c>
      <c r="W206" s="3">
        <f t="shared" si="120"/>
        <v>4173.82</v>
      </c>
      <c r="X206" s="3">
        <f t="shared" si="120"/>
        <v>0</v>
      </c>
      <c r="Y206" s="3">
        <f t="shared" si="120"/>
        <v>0</v>
      </c>
      <c r="Z206" s="95">
        <v>0</v>
      </c>
      <c r="AA206" s="3">
        <f t="shared" si="120"/>
        <v>0</v>
      </c>
      <c r="AB206" s="3">
        <f t="shared" si="120"/>
        <v>0</v>
      </c>
      <c r="AC206" s="3">
        <f t="shared" si="120"/>
        <v>753.46</v>
      </c>
      <c r="AD206" s="3">
        <f t="shared" si="120"/>
        <v>4900</v>
      </c>
      <c r="AE206" s="3">
        <f t="shared" si="120"/>
        <v>0</v>
      </c>
      <c r="AF206" s="3">
        <f t="shared" si="120"/>
        <v>0</v>
      </c>
      <c r="AG206" s="3">
        <f t="shared" si="120"/>
        <v>0</v>
      </c>
      <c r="AH206" s="3">
        <f t="shared" si="120"/>
        <v>0</v>
      </c>
      <c r="AI206" s="3">
        <f t="shared" si="120"/>
        <v>0</v>
      </c>
      <c r="AJ206" s="3">
        <f t="shared" si="120"/>
        <v>0</v>
      </c>
      <c r="AK206" s="3">
        <f>P206-Q206</f>
        <v>78556.570000000007</v>
      </c>
      <c r="AL206" s="3">
        <f>AK206</f>
        <v>78556.570000000007</v>
      </c>
      <c r="AM206" s="318">
        <f>ROUND((Q206*100%/P206*100),2)</f>
        <v>0</v>
      </c>
      <c r="AN206" s="3">
        <f>AN207+AN210</f>
        <v>0</v>
      </c>
      <c r="AO206" s="3">
        <f>AO207+AO210</f>
        <v>0</v>
      </c>
      <c r="AP206" s="633" t="s">
        <v>245</v>
      </c>
      <c r="AQ206" s="95">
        <v>0</v>
      </c>
    </row>
    <row r="207" spans="1:43" x14ac:dyDescent="0.25">
      <c r="A207" s="1399"/>
      <c r="B207" s="1" t="s">
        <v>15</v>
      </c>
      <c r="C207" s="1327"/>
      <c r="D207" s="1327"/>
      <c r="E207" s="1327"/>
      <c r="F207" s="1327"/>
      <c r="G207" s="885">
        <v>2019</v>
      </c>
      <c r="H207" s="885">
        <v>2019</v>
      </c>
      <c r="I207" s="1464"/>
      <c r="J207" s="1623"/>
      <c r="K207" s="47"/>
      <c r="L207" s="47">
        <v>5597.58</v>
      </c>
      <c r="M207" s="50">
        <v>0</v>
      </c>
      <c r="N207" s="50">
        <v>5370.84</v>
      </c>
      <c r="O207" s="50">
        <v>0</v>
      </c>
      <c r="P207" s="447">
        <v>89.08</v>
      </c>
      <c r="Q207" s="447">
        <v>0</v>
      </c>
      <c r="R207" s="447">
        <f t="shared" ref="R207:AD207" si="121">SUM(R208:R209)</f>
        <v>0</v>
      </c>
      <c r="S207" s="447">
        <f t="shared" si="121"/>
        <v>0</v>
      </c>
      <c r="T207" s="447">
        <f t="shared" si="121"/>
        <v>753.46</v>
      </c>
      <c r="U207" s="447">
        <f t="shared" si="121"/>
        <v>753.46</v>
      </c>
      <c r="V207" s="447">
        <f t="shared" si="121"/>
        <v>4173.82</v>
      </c>
      <c r="W207" s="447">
        <f t="shared" si="121"/>
        <v>4173.82</v>
      </c>
      <c r="X207" s="447">
        <f t="shared" si="121"/>
        <v>0</v>
      </c>
      <c r="Y207" s="447">
        <f t="shared" si="121"/>
        <v>0</v>
      </c>
      <c r="Z207" s="584"/>
      <c r="AA207" s="447">
        <v>0</v>
      </c>
      <c r="AB207" s="447">
        <f t="shared" si="121"/>
        <v>0</v>
      </c>
      <c r="AC207" s="447">
        <f t="shared" si="121"/>
        <v>753.46</v>
      </c>
      <c r="AD207" s="447">
        <f t="shared" si="121"/>
        <v>4900</v>
      </c>
      <c r="AE207" s="50">
        <f t="shared" ref="AE207:AO207" si="122">SUM(AE209)</f>
        <v>0</v>
      </c>
      <c r="AF207" s="50">
        <f>SUM(AF209)</f>
        <v>0</v>
      </c>
      <c r="AG207" s="50">
        <f>SUM(AG209)</f>
        <v>0</v>
      </c>
      <c r="AH207" s="50">
        <f>SUM(AH209)</f>
        <v>0</v>
      </c>
      <c r="AI207" s="50">
        <f>SUM(AI209)</f>
        <v>0</v>
      </c>
      <c r="AJ207" s="50">
        <f>SUM(AJ209)</f>
        <v>0</v>
      </c>
      <c r="AK207" s="50">
        <f t="shared" si="122"/>
        <v>0</v>
      </c>
      <c r="AL207" s="50">
        <f t="shared" si="122"/>
        <v>0</v>
      </c>
      <c r="AM207" s="50">
        <f t="shared" si="122"/>
        <v>0</v>
      </c>
      <c r="AN207" s="50">
        <f t="shared" si="122"/>
        <v>0</v>
      </c>
      <c r="AO207" s="50">
        <f t="shared" si="122"/>
        <v>0</v>
      </c>
      <c r="AP207" s="412"/>
      <c r="AQ207" s="584"/>
    </row>
    <row r="208" spans="1:43" s="266" customFormat="1" hidden="1" x14ac:dyDescent="0.25">
      <c r="A208" s="1399"/>
      <c r="B208" s="92" t="s">
        <v>322</v>
      </c>
      <c r="C208" s="1327"/>
      <c r="D208" s="1327"/>
      <c r="E208" s="1327"/>
      <c r="F208" s="1327"/>
      <c r="G208" s="104"/>
      <c r="H208" s="104"/>
      <c r="I208" s="1464"/>
      <c r="J208" s="1623"/>
      <c r="K208" s="96"/>
      <c r="L208" s="96"/>
      <c r="M208" s="263"/>
      <c r="N208" s="263"/>
      <c r="O208" s="263"/>
      <c r="P208" s="584"/>
      <c r="Q208" s="584">
        <f>V208</f>
        <v>4173.82</v>
      </c>
      <c r="R208" s="584"/>
      <c r="S208" s="584"/>
      <c r="T208" s="584"/>
      <c r="U208" s="584"/>
      <c r="V208" s="584">
        <f>W208</f>
        <v>4173.82</v>
      </c>
      <c r="W208" s="584">
        <v>4173.82</v>
      </c>
      <c r="X208" s="584"/>
      <c r="Y208" s="584"/>
      <c r="Z208" s="584"/>
      <c r="AA208" s="584">
        <f>AD208</f>
        <v>4900</v>
      </c>
      <c r="AB208" s="584"/>
      <c r="AC208" s="584"/>
      <c r="AD208" s="584">
        <v>4900</v>
      </c>
      <c r="AE208" s="263"/>
      <c r="AF208" s="263"/>
      <c r="AG208" s="263"/>
      <c r="AH208" s="263"/>
      <c r="AI208" s="263"/>
      <c r="AJ208" s="263"/>
      <c r="AK208" s="263"/>
      <c r="AL208" s="263"/>
      <c r="AM208" s="263"/>
      <c r="AN208" s="263"/>
      <c r="AO208" s="263"/>
      <c r="AP208" s="413"/>
      <c r="AQ208" s="584"/>
    </row>
    <row r="209" spans="1:43" s="266" customFormat="1" hidden="1" x14ac:dyDescent="0.25">
      <c r="A209" s="1399"/>
      <c r="B209" s="92" t="s">
        <v>267</v>
      </c>
      <c r="C209" s="1327"/>
      <c r="D209" s="1327"/>
      <c r="E209" s="1327"/>
      <c r="F209" s="1327"/>
      <c r="G209" s="104"/>
      <c r="H209" s="104"/>
      <c r="I209" s="1464"/>
      <c r="J209" s="1623"/>
      <c r="K209" s="96"/>
      <c r="L209" s="96"/>
      <c r="M209" s="263"/>
      <c r="N209" s="263"/>
      <c r="O209" s="263"/>
      <c r="P209" s="263"/>
      <c r="Q209" s="263">
        <f>S209+U209</f>
        <v>753.46</v>
      </c>
      <c r="R209" s="263"/>
      <c r="S209" s="263"/>
      <c r="T209" s="263">
        <f>U209</f>
        <v>753.46</v>
      </c>
      <c r="U209" s="263">
        <f>ROUND((904.153/1.2),2)</f>
        <v>753.46</v>
      </c>
      <c r="V209" s="263"/>
      <c r="W209" s="263"/>
      <c r="X209" s="263"/>
      <c r="Y209" s="263"/>
      <c r="Z209" s="263"/>
      <c r="AA209" s="263">
        <f>AC209</f>
        <v>753.46</v>
      </c>
      <c r="AB209" s="263"/>
      <c r="AC209" s="263">
        <v>753.46</v>
      </c>
      <c r="AD209" s="263"/>
      <c r="AE209" s="263"/>
      <c r="AF209" s="263">
        <f>SUM(AG209:AG209)</f>
        <v>0</v>
      </c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413"/>
      <c r="AQ209" s="263"/>
    </row>
    <row r="210" spans="1:43" ht="15.75" customHeight="1" x14ac:dyDescent="0.25">
      <c r="A210" s="1488"/>
      <c r="B210" s="891" t="s">
        <v>16</v>
      </c>
      <c r="C210" s="1328"/>
      <c r="D210" s="1328"/>
      <c r="E210" s="1328"/>
      <c r="F210" s="1328"/>
      <c r="G210" s="885">
        <v>2021</v>
      </c>
      <c r="H210" s="885">
        <v>2021</v>
      </c>
      <c r="I210" s="1465"/>
      <c r="J210" s="1624"/>
      <c r="K210" s="47"/>
      <c r="L210" s="47">
        <v>0</v>
      </c>
      <c r="M210" s="50">
        <v>0</v>
      </c>
      <c r="N210" s="50">
        <v>0</v>
      </c>
      <c r="O210" s="50">
        <v>3372.5</v>
      </c>
      <c r="P210" s="50">
        <v>78467.490000000005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50">
        <v>0</v>
      </c>
      <c r="W210" s="50">
        <v>0</v>
      </c>
      <c r="X210" s="50">
        <v>0</v>
      </c>
      <c r="Y210" s="50">
        <v>0</v>
      </c>
      <c r="Z210" s="263"/>
      <c r="AA210" s="50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0</v>
      </c>
      <c r="AO210" s="50">
        <v>0</v>
      </c>
      <c r="AP210" s="412"/>
      <c r="AQ210" s="263"/>
    </row>
    <row r="211" spans="1:43" s="327" customFormat="1" ht="42" customHeight="1" x14ac:dyDescent="0.25">
      <c r="A211" s="1649" t="s">
        <v>174</v>
      </c>
      <c r="B211" s="780" t="s">
        <v>175</v>
      </c>
      <c r="C211" s="133"/>
      <c r="D211" s="133"/>
      <c r="E211" s="133"/>
      <c r="F211" s="133"/>
      <c r="G211" s="778"/>
      <c r="H211" s="778"/>
      <c r="I211" s="1651" t="s">
        <v>20</v>
      </c>
      <c r="J211" s="886"/>
      <c r="K211" s="3"/>
      <c r="L211" s="3">
        <f>L212</f>
        <v>3750.02</v>
      </c>
      <c r="M211" s="3">
        <f>M212</f>
        <v>1639</v>
      </c>
      <c r="N211" s="3">
        <f t="shared" ref="N211:AO211" si="123">N212</f>
        <v>0</v>
      </c>
      <c r="O211" s="3">
        <f t="shared" si="123"/>
        <v>0</v>
      </c>
      <c r="P211" s="3">
        <f t="shared" si="123"/>
        <v>0</v>
      </c>
      <c r="Q211" s="3">
        <f t="shared" si="123"/>
        <v>0</v>
      </c>
      <c r="R211" s="3">
        <f t="shared" si="123"/>
        <v>0</v>
      </c>
      <c r="S211" s="3">
        <f t="shared" si="123"/>
        <v>0</v>
      </c>
      <c r="T211" s="3">
        <f t="shared" si="123"/>
        <v>0</v>
      </c>
      <c r="U211" s="3">
        <f t="shared" si="123"/>
        <v>0</v>
      </c>
      <c r="V211" s="3">
        <f t="shared" si="123"/>
        <v>0</v>
      </c>
      <c r="W211" s="3">
        <f t="shared" si="123"/>
        <v>0</v>
      </c>
      <c r="X211" s="3">
        <f t="shared" si="123"/>
        <v>0</v>
      </c>
      <c r="Y211" s="3">
        <f t="shared" si="123"/>
        <v>0</v>
      </c>
      <c r="Z211" s="95">
        <v>0</v>
      </c>
      <c r="AA211" s="3">
        <f t="shared" si="123"/>
        <v>0</v>
      </c>
      <c r="AB211" s="3">
        <f t="shared" si="123"/>
        <v>0</v>
      </c>
      <c r="AC211" s="3">
        <f t="shared" si="123"/>
        <v>0</v>
      </c>
      <c r="AD211" s="3">
        <f t="shared" si="123"/>
        <v>0</v>
      </c>
      <c r="AE211" s="3">
        <f t="shared" si="123"/>
        <v>0</v>
      </c>
      <c r="AF211" s="3">
        <f t="shared" si="123"/>
        <v>0</v>
      </c>
      <c r="AG211" s="3">
        <f t="shared" si="123"/>
        <v>0</v>
      </c>
      <c r="AH211" s="3">
        <f t="shared" si="123"/>
        <v>0</v>
      </c>
      <c r="AI211" s="3">
        <f t="shared" si="123"/>
        <v>0</v>
      </c>
      <c r="AJ211" s="3">
        <f t="shared" si="123"/>
        <v>0</v>
      </c>
      <c r="AK211" s="3">
        <f t="shared" si="123"/>
        <v>0</v>
      </c>
      <c r="AL211" s="3">
        <f t="shared" si="123"/>
        <v>0</v>
      </c>
      <c r="AM211" s="3">
        <f t="shared" si="123"/>
        <v>0</v>
      </c>
      <c r="AN211" s="3">
        <f t="shared" si="123"/>
        <v>0</v>
      </c>
      <c r="AO211" s="3">
        <f t="shared" si="123"/>
        <v>0</v>
      </c>
      <c r="AP211" s="633" t="s">
        <v>256</v>
      </c>
      <c r="AQ211" s="95">
        <v>0</v>
      </c>
    </row>
    <row r="212" spans="1:43" s="327" customFormat="1" ht="15.75" hidden="1" customHeight="1" x14ac:dyDescent="0.25">
      <c r="A212" s="1650"/>
      <c r="B212" s="772" t="s">
        <v>15</v>
      </c>
      <c r="C212" s="133"/>
      <c r="D212" s="133"/>
      <c r="E212" s="133"/>
      <c r="F212" s="133"/>
      <c r="G212" s="312"/>
      <c r="H212" s="871"/>
      <c r="I212" s="1652"/>
      <c r="J212" s="886"/>
      <c r="K212" s="318"/>
      <c r="L212" s="3">
        <v>3750.02</v>
      </c>
      <c r="M212" s="3">
        <v>1639</v>
      </c>
      <c r="N212" s="3">
        <v>0</v>
      </c>
      <c r="O212" s="3">
        <v>0</v>
      </c>
      <c r="P212" s="3">
        <v>0</v>
      </c>
      <c r="Q212" s="819">
        <f>SUM(Q213:Q216)</f>
        <v>0</v>
      </c>
      <c r="R212" s="819">
        <f t="shared" ref="R212:AJ212" si="124">SUM(R213:R216)</f>
        <v>0</v>
      </c>
      <c r="S212" s="819">
        <f t="shared" si="124"/>
        <v>0</v>
      </c>
      <c r="T212" s="819">
        <f t="shared" si="124"/>
        <v>0</v>
      </c>
      <c r="U212" s="819">
        <f t="shared" si="124"/>
        <v>0</v>
      </c>
      <c r="V212" s="819">
        <f t="shared" si="124"/>
        <v>0</v>
      </c>
      <c r="W212" s="819">
        <f t="shared" si="124"/>
        <v>0</v>
      </c>
      <c r="X212" s="3">
        <v>0</v>
      </c>
      <c r="Y212" s="819">
        <f t="shared" si="124"/>
        <v>0</v>
      </c>
      <c r="Z212" s="820"/>
      <c r="AA212" s="819">
        <f t="shared" si="124"/>
        <v>0</v>
      </c>
      <c r="AB212" s="819">
        <f t="shared" si="124"/>
        <v>0</v>
      </c>
      <c r="AC212" s="819">
        <f t="shared" si="124"/>
        <v>0</v>
      </c>
      <c r="AD212" s="819">
        <f t="shared" si="124"/>
        <v>0</v>
      </c>
      <c r="AE212" s="819">
        <f t="shared" si="124"/>
        <v>0</v>
      </c>
      <c r="AF212" s="819">
        <f t="shared" si="124"/>
        <v>0</v>
      </c>
      <c r="AG212" s="819">
        <f t="shared" si="124"/>
        <v>0</v>
      </c>
      <c r="AH212" s="819">
        <f t="shared" si="124"/>
        <v>0</v>
      </c>
      <c r="AI212" s="819">
        <f t="shared" si="124"/>
        <v>0</v>
      </c>
      <c r="AJ212" s="819">
        <f t="shared" si="124"/>
        <v>0</v>
      </c>
      <c r="AK212" s="819">
        <f>SUM(AK213:AK216)</f>
        <v>0</v>
      </c>
      <c r="AL212" s="819">
        <f>SUM(AL213:AL216)</f>
        <v>0</v>
      </c>
      <c r="AM212" s="819">
        <f>SUM(AM213:AM216)</f>
        <v>0</v>
      </c>
      <c r="AN212" s="819">
        <f>SUM(AN213:AN216)</f>
        <v>0</v>
      </c>
      <c r="AO212" s="819">
        <f>SUM(AO213:AO216)</f>
        <v>0</v>
      </c>
      <c r="AP212" s="821"/>
      <c r="AQ212" s="820"/>
    </row>
    <row r="213" spans="1:43" s="827" customFormat="1" ht="15.75" hidden="1" customHeight="1" x14ac:dyDescent="0.25">
      <c r="A213" s="822"/>
      <c r="B213" s="823" t="s">
        <v>234</v>
      </c>
      <c r="C213" s="369"/>
      <c r="D213" s="369"/>
      <c r="E213" s="369"/>
      <c r="F213" s="369"/>
      <c r="G213" s="254"/>
      <c r="H213" s="824"/>
      <c r="I213" s="825"/>
      <c r="J213" s="371"/>
      <c r="K213" s="372"/>
      <c r="L213" s="95"/>
      <c r="M213" s="95"/>
      <c r="N213" s="95"/>
      <c r="O213" s="95"/>
      <c r="P213" s="3"/>
      <c r="Q213" s="820">
        <f>Y213</f>
        <v>0</v>
      </c>
      <c r="R213" s="820"/>
      <c r="S213" s="820"/>
      <c r="T213" s="820"/>
      <c r="U213" s="820"/>
      <c r="V213" s="820"/>
      <c r="W213" s="820"/>
      <c r="X213" s="820">
        <v>0</v>
      </c>
      <c r="Y213" s="820">
        <v>0</v>
      </c>
      <c r="Z213" s="820"/>
      <c r="AA213" s="820">
        <v>0</v>
      </c>
      <c r="AB213" s="820">
        <v>0</v>
      </c>
      <c r="AC213" s="820"/>
      <c r="AD213" s="820"/>
      <c r="AE213" s="820"/>
      <c r="AF213" s="820"/>
      <c r="AG213" s="820"/>
      <c r="AH213" s="820"/>
      <c r="AI213" s="820"/>
      <c r="AJ213" s="820"/>
      <c r="AK213" s="820"/>
      <c r="AL213" s="820"/>
      <c r="AM213" s="820"/>
      <c r="AN213" s="820"/>
      <c r="AO213" s="820"/>
      <c r="AP213" s="826"/>
      <c r="AQ213" s="820"/>
    </row>
    <row r="214" spans="1:43" s="827" customFormat="1" ht="15.75" hidden="1" customHeight="1" x14ac:dyDescent="0.25">
      <c r="A214" s="822"/>
      <c r="B214" s="823" t="s">
        <v>235</v>
      </c>
      <c r="C214" s="369"/>
      <c r="D214" s="369"/>
      <c r="E214" s="369"/>
      <c r="F214" s="369"/>
      <c r="G214" s="254"/>
      <c r="H214" s="824"/>
      <c r="I214" s="825"/>
      <c r="J214" s="371"/>
      <c r="K214" s="372"/>
      <c r="L214" s="95"/>
      <c r="M214" s="95"/>
      <c r="N214" s="95"/>
      <c r="O214" s="95"/>
      <c r="P214" s="3"/>
      <c r="Q214" s="820">
        <f>Y214</f>
        <v>0</v>
      </c>
      <c r="R214" s="820"/>
      <c r="S214" s="820"/>
      <c r="T214" s="820"/>
      <c r="U214" s="820"/>
      <c r="V214" s="820"/>
      <c r="W214" s="820"/>
      <c r="X214" s="820">
        <v>0</v>
      </c>
      <c r="Y214" s="820">
        <v>0</v>
      </c>
      <c r="Z214" s="820"/>
      <c r="AA214" s="820">
        <v>0</v>
      </c>
      <c r="AB214" s="820">
        <v>0</v>
      </c>
      <c r="AC214" s="820"/>
      <c r="AD214" s="820"/>
      <c r="AE214" s="820"/>
      <c r="AF214" s="820"/>
      <c r="AG214" s="820"/>
      <c r="AH214" s="820"/>
      <c r="AI214" s="820"/>
      <c r="AJ214" s="820"/>
      <c r="AK214" s="820"/>
      <c r="AL214" s="820"/>
      <c r="AM214" s="820"/>
      <c r="AN214" s="820"/>
      <c r="AO214" s="820"/>
      <c r="AP214" s="826"/>
      <c r="AQ214" s="820"/>
    </row>
    <row r="215" spans="1:43" s="827" customFormat="1" ht="15.75" hidden="1" customHeight="1" x14ac:dyDescent="0.25">
      <c r="A215" s="822"/>
      <c r="B215" s="823" t="s">
        <v>236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237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327" customFormat="1" ht="40.5" customHeight="1" x14ac:dyDescent="0.25">
      <c r="A217" s="911" t="s">
        <v>176</v>
      </c>
      <c r="B217" s="780" t="s">
        <v>177</v>
      </c>
      <c r="C217" s="133"/>
      <c r="D217" s="133"/>
      <c r="E217" s="133"/>
      <c r="F217" s="133"/>
      <c r="G217" s="778"/>
      <c r="H217" s="778"/>
      <c r="I217" s="1463" t="s">
        <v>20</v>
      </c>
      <c r="J217" s="886"/>
      <c r="K217" s="3"/>
      <c r="L217" s="3">
        <f>L218</f>
        <v>3750.02</v>
      </c>
      <c r="M217" s="3">
        <f>M218</f>
        <v>2630.03</v>
      </c>
      <c r="N217" s="3">
        <f t="shared" ref="N217:AO217" si="125">N218</f>
        <v>0</v>
      </c>
      <c r="O217" s="3">
        <f t="shared" si="125"/>
        <v>0</v>
      </c>
      <c r="P217" s="3">
        <f t="shared" si="125"/>
        <v>0</v>
      </c>
      <c r="Q217" s="3">
        <f t="shared" si="125"/>
        <v>0</v>
      </c>
      <c r="R217" s="3">
        <f t="shared" si="125"/>
        <v>0</v>
      </c>
      <c r="S217" s="3">
        <f t="shared" si="125"/>
        <v>0</v>
      </c>
      <c r="T217" s="3">
        <f t="shared" si="125"/>
        <v>0</v>
      </c>
      <c r="U217" s="3">
        <f t="shared" si="125"/>
        <v>0</v>
      </c>
      <c r="V217" s="3">
        <f t="shared" si="125"/>
        <v>0</v>
      </c>
      <c r="W217" s="3">
        <f t="shared" si="125"/>
        <v>0</v>
      </c>
      <c r="X217" s="3">
        <f t="shared" si="125"/>
        <v>0</v>
      </c>
      <c r="Y217" s="3">
        <f t="shared" si="125"/>
        <v>0</v>
      </c>
      <c r="Z217" s="95">
        <v>0</v>
      </c>
      <c r="AA217" s="3">
        <f t="shared" si="125"/>
        <v>0</v>
      </c>
      <c r="AB217" s="3">
        <f t="shared" si="125"/>
        <v>0</v>
      </c>
      <c r="AC217" s="3">
        <f t="shared" si="125"/>
        <v>0</v>
      </c>
      <c r="AD217" s="3">
        <f t="shared" si="125"/>
        <v>0</v>
      </c>
      <c r="AE217" s="3">
        <f t="shared" si="125"/>
        <v>0</v>
      </c>
      <c r="AF217" s="3">
        <f t="shared" si="125"/>
        <v>0</v>
      </c>
      <c r="AG217" s="3">
        <f t="shared" si="125"/>
        <v>0</v>
      </c>
      <c r="AH217" s="3">
        <f t="shared" si="125"/>
        <v>0</v>
      </c>
      <c r="AI217" s="3">
        <f t="shared" si="125"/>
        <v>0</v>
      </c>
      <c r="AJ217" s="3">
        <f t="shared" si="125"/>
        <v>0</v>
      </c>
      <c r="AK217" s="3">
        <f t="shared" si="125"/>
        <v>0</v>
      </c>
      <c r="AL217" s="3">
        <f t="shared" si="125"/>
        <v>0</v>
      </c>
      <c r="AM217" s="3">
        <f t="shared" si="125"/>
        <v>0</v>
      </c>
      <c r="AN217" s="3">
        <f t="shared" si="125"/>
        <v>0</v>
      </c>
      <c r="AO217" s="3">
        <f t="shared" si="125"/>
        <v>0</v>
      </c>
      <c r="AP217" s="633" t="s">
        <v>256</v>
      </c>
      <c r="AQ217" s="95">
        <v>0</v>
      </c>
    </row>
    <row r="218" spans="1:43" ht="15.75" hidden="1" customHeight="1" x14ac:dyDescent="0.25">
      <c r="A218" s="882"/>
      <c r="B218" s="42" t="s">
        <v>15</v>
      </c>
      <c r="C218" s="341"/>
      <c r="D218" s="341"/>
      <c r="E218" s="341"/>
      <c r="F218" s="341"/>
      <c r="G218" s="313"/>
      <c r="H218" s="916"/>
      <c r="I218" s="1465"/>
      <c r="J218" s="901"/>
      <c r="K218" s="4"/>
      <c r="L218" s="47">
        <v>3750.02</v>
      </c>
      <c r="M218" s="47">
        <v>2630.03</v>
      </c>
      <c r="N218" s="47">
        <v>0</v>
      </c>
      <c r="O218" s="47">
        <v>0</v>
      </c>
      <c r="P218" s="47">
        <v>0</v>
      </c>
      <c r="Q218" s="50">
        <f>SUM(Q219:Q222)</f>
        <v>0</v>
      </c>
      <c r="R218" s="50">
        <f t="shared" ref="R218:W218" si="126">SUM(R219:R222)</f>
        <v>0</v>
      </c>
      <c r="S218" s="50">
        <f t="shared" si="126"/>
        <v>0</v>
      </c>
      <c r="T218" s="50">
        <f t="shared" si="126"/>
        <v>0</v>
      </c>
      <c r="U218" s="50">
        <f t="shared" si="126"/>
        <v>0</v>
      </c>
      <c r="V218" s="50">
        <f t="shared" si="126"/>
        <v>0</v>
      </c>
      <c r="W218" s="50">
        <f t="shared" si="126"/>
        <v>0</v>
      </c>
      <c r="X218" s="47">
        <v>0</v>
      </c>
      <c r="Y218" s="50">
        <f t="shared" ref="Y218:AJ218" si="127">SUM(Y219:Y222)</f>
        <v>0</v>
      </c>
      <c r="Z218" s="263"/>
      <c r="AA218" s="50">
        <f t="shared" si="127"/>
        <v>0</v>
      </c>
      <c r="AB218" s="50">
        <f t="shared" si="127"/>
        <v>0</v>
      </c>
      <c r="AC218" s="50">
        <f t="shared" si="127"/>
        <v>0</v>
      </c>
      <c r="AD218" s="50">
        <f t="shared" si="127"/>
        <v>0</v>
      </c>
      <c r="AE218" s="50">
        <f t="shared" si="127"/>
        <v>0</v>
      </c>
      <c r="AF218" s="50">
        <f t="shared" si="127"/>
        <v>0</v>
      </c>
      <c r="AG218" s="50">
        <f t="shared" si="127"/>
        <v>0</v>
      </c>
      <c r="AH218" s="50">
        <f t="shared" si="127"/>
        <v>0</v>
      </c>
      <c r="AI218" s="50">
        <f t="shared" si="127"/>
        <v>0</v>
      </c>
      <c r="AJ218" s="50">
        <f t="shared" si="127"/>
        <v>0</v>
      </c>
      <c r="AK218" s="50">
        <v>0</v>
      </c>
      <c r="AL218" s="50">
        <v>0</v>
      </c>
      <c r="AM218" s="50">
        <v>0</v>
      </c>
      <c r="AN218" s="50">
        <v>0</v>
      </c>
      <c r="AO218" s="50">
        <v>0</v>
      </c>
      <c r="AP218" s="412"/>
      <c r="AQ218" s="263"/>
    </row>
    <row r="219" spans="1:43" s="266" customFormat="1" ht="15.75" hidden="1" customHeight="1" x14ac:dyDescent="0.25">
      <c r="A219" s="366"/>
      <c r="B219" s="252" t="s">
        <v>238</v>
      </c>
      <c r="C219" s="453"/>
      <c r="D219" s="453"/>
      <c r="E219" s="453"/>
      <c r="F219" s="453"/>
      <c r="G219" s="363"/>
      <c r="H219" s="364"/>
      <c r="I219" s="370"/>
      <c r="J219" s="651"/>
      <c r="K219" s="268"/>
      <c r="L219" s="96"/>
      <c r="M219" s="96"/>
      <c r="N219" s="96"/>
      <c r="O219" s="96"/>
      <c r="P219" s="47"/>
      <c r="Q219" s="263">
        <f>Y219</f>
        <v>0</v>
      </c>
      <c r="R219" s="263"/>
      <c r="S219" s="263"/>
      <c r="T219" s="263"/>
      <c r="U219" s="263"/>
      <c r="V219" s="263"/>
      <c r="W219" s="263"/>
      <c r="X219" s="263">
        <v>0</v>
      </c>
      <c r="Y219" s="263">
        <v>0</v>
      </c>
      <c r="Z219" s="263"/>
      <c r="AA219" s="263">
        <v>0</v>
      </c>
      <c r="AB219" s="263">
        <v>0</v>
      </c>
      <c r="AC219" s="263"/>
      <c r="AD219" s="263"/>
      <c r="AE219" s="263"/>
      <c r="AF219" s="263"/>
      <c r="AG219" s="263"/>
      <c r="AH219" s="263"/>
      <c r="AI219" s="263"/>
      <c r="AJ219" s="263"/>
      <c r="AK219" s="263"/>
      <c r="AL219" s="263"/>
      <c r="AM219" s="263"/>
      <c r="AN219" s="263"/>
      <c r="AO219" s="263"/>
      <c r="AP219" s="413"/>
      <c r="AQ219" s="263"/>
    </row>
    <row r="220" spans="1:43" s="266" customFormat="1" ht="15.75" hidden="1" customHeight="1" x14ac:dyDescent="0.25">
      <c r="A220" s="366"/>
      <c r="B220" s="252" t="s">
        <v>239</v>
      </c>
      <c r="C220" s="453"/>
      <c r="D220" s="453"/>
      <c r="E220" s="453"/>
      <c r="F220" s="453"/>
      <c r="G220" s="363"/>
      <c r="H220" s="364"/>
      <c r="I220" s="370"/>
      <c r="J220" s="651"/>
      <c r="K220" s="268"/>
      <c r="L220" s="96"/>
      <c r="M220" s="96"/>
      <c r="N220" s="96"/>
      <c r="O220" s="96"/>
      <c r="P220" s="47"/>
      <c r="Q220" s="263">
        <f>Y220</f>
        <v>0</v>
      </c>
      <c r="R220" s="263"/>
      <c r="S220" s="263"/>
      <c r="T220" s="263"/>
      <c r="U220" s="263"/>
      <c r="V220" s="263"/>
      <c r="W220" s="263"/>
      <c r="X220" s="263">
        <v>0</v>
      </c>
      <c r="Y220" s="263">
        <v>0</v>
      </c>
      <c r="Z220" s="263"/>
      <c r="AA220" s="263">
        <v>0</v>
      </c>
      <c r="AB220" s="263">
        <v>0</v>
      </c>
      <c r="AC220" s="263"/>
      <c r="AD220" s="263"/>
      <c r="AE220" s="263"/>
      <c r="AF220" s="263"/>
      <c r="AG220" s="263"/>
      <c r="AH220" s="263"/>
      <c r="AI220" s="263"/>
      <c r="AJ220" s="263"/>
      <c r="AK220" s="263"/>
      <c r="AL220" s="263"/>
      <c r="AM220" s="263"/>
      <c r="AN220" s="263"/>
      <c r="AO220" s="263"/>
      <c r="AP220" s="413"/>
      <c r="AQ220" s="263"/>
    </row>
    <row r="221" spans="1:43" s="266" customFormat="1" ht="15.75" hidden="1" customHeight="1" x14ac:dyDescent="0.25">
      <c r="A221" s="366"/>
      <c r="B221" s="252" t="s">
        <v>234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237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327" customFormat="1" ht="59.25" customHeight="1" x14ac:dyDescent="0.25">
      <c r="A223" s="911" t="s">
        <v>178</v>
      </c>
      <c r="B223" s="780" t="s">
        <v>180</v>
      </c>
      <c r="C223" s="133"/>
      <c r="D223" s="133"/>
      <c r="E223" s="133"/>
      <c r="F223" s="133"/>
      <c r="G223" s="778"/>
      <c r="H223" s="778"/>
      <c r="I223" s="1651" t="s">
        <v>181</v>
      </c>
      <c r="J223" s="886"/>
      <c r="K223" s="3"/>
      <c r="L223" s="3">
        <f>L224</f>
        <v>962.68</v>
      </c>
      <c r="M223" s="3">
        <f>M224</f>
        <v>403.33</v>
      </c>
      <c r="N223" s="3">
        <f t="shared" ref="N223:AO223" si="128">N224</f>
        <v>0</v>
      </c>
      <c r="O223" s="3">
        <f t="shared" si="128"/>
        <v>0</v>
      </c>
      <c r="P223" s="3">
        <f t="shared" si="128"/>
        <v>0</v>
      </c>
      <c r="Q223" s="3">
        <f>Q224</f>
        <v>99.9</v>
      </c>
      <c r="R223" s="3">
        <f t="shared" si="128"/>
        <v>0</v>
      </c>
      <c r="S223" s="3">
        <f t="shared" si="128"/>
        <v>0</v>
      </c>
      <c r="T223" s="3">
        <f t="shared" si="128"/>
        <v>0</v>
      </c>
      <c r="U223" s="3">
        <f t="shared" si="128"/>
        <v>0</v>
      </c>
      <c r="V223" s="3">
        <f t="shared" si="128"/>
        <v>0</v>
      </c>
      <c r="W223" s="3">
        <f t="shared" si="128"/>
        <v>0</v>
      </c>
      <c r="X223" s="3">
        <f t="shared" si="128"/>
        <v>0</v>
      </c>
      <c r="Y223" s="3">
        <f t="shared" si="128"/>
        <v>0</v>
      </c>
      <c r="Z223" s="95">
        <v>0</v>
      </c>
      <c r="AA223" s="3">
        <f>AA224</f>
        <v>99.9</v>
      </c>
      <c r="AB223" s="3">
        <f t="shared" si="128"/>
        <v>0</v>
      </c>
      <c r="AC223" s="3">
        <f t="shared" si="128"/>
        <v>0</v>
      </c>
      <c r="AD223" s="3">
        <f t="shared" si="128"/>
        <v>0</v>
      </c>
      <c r="AE223" s="3">
        <f t="shared" si="128"/>
        <v>0</v>
      </c>
      <c r="AF223" s="3">
        <f t="shared" si="128"/>
        <v>0</v>
      </c>
      <c r="AG223" s="3">
        <f t="shared" si="128"/>
        <v>0</v>
      </c>
      <c r="AH223" s="3">
        <f t="shared" si="128"/>
        <v>0</v>
      </c>
      <c r="AI223" s="3">
        <f t="shared" si="128"/>
        <v>0</v>
      </c>
      <c r="AJ223" s="3">
        <f t="shared" si="128"/>
        <v>0</v>
      </c>
      <c r="AK223" s="3">
        <f t="shared" si="128"/>
        <v>0</v>
      </c>
      <c r="AL223" s="3">
        <f t="shared" si="128"/>
        <v>0</v>
      </c>
      <c r="AM223" s="3">
        <f t="shared" si="128"/>
        <v>0</v>
      </c>
      <c r="AN223" s="3">
        <f t="shared" si="128"/>
        <v>0</v>
      </c>
      <c r="AO223" s="3">
        <f t="shared" si="128"/>
        <v>0</v>
      </c>
      <c r="AP223" s="829" t="s">
        <v>207</v>
      </c>
      <c r="AQ223" s="95">
        <v>0</v>
      </c>
    </row>
    <row r="224" spans="1:43" ht="15.75" customHeight="1" x14ac:dyDescent="0.25">
      <c r="A224" s="882"/>
      <c r="B224" s="42" t="s">
        <v>16</v>
      </c>
      <c r="C224" s="341"/>
      <c r="D224" s="341"/>
      <c r="E224" s="341"/>
      <c r="F224" s="341"/>
      <c r="G224" s="313"/>
      <c r="H224" s="916"/>
      <c r="I224" s="1652"/>
      <c r="J224" s="901"/>
      <c r="K224" s="4"/>
      <c r="L224" s="47">
        <v>962.68</v>
      </c>
      <c r="M224" s="47">
        <v>403.33</v>
      </c>
      <c r="N224" s="47">
        <v>0</v>
      </c>
      <c r="O224" s="50">
        <v>0</v>
      </c>
      <c r="P224" s="50">
        <v>0</v>
      </c>
      <c r="Q224" s="50">
        <v>99.9</v>
      </c>
      <c r="R224" s="50">
        <v>0</v>
      </c>
      <c r="S224" s="50">
        <v>0</v>
      </c>
      <c r="T224" s="50">
        <v>0</v>
      </c>
      <c r="U224" s="50">
        <v>0</v>
      </c>
      <c r="V224" s="50">
        <v>0</v>
      </c>
      <c r="W224" s="50">
        <v>0</v>
      </c>
      <c r="X224" s="50">
        <v>0</v>
      </c>
      <c r="Y224" s="50">
        <v>0</v>
      </c>
      <c r="Z224" s="263"/>
      <c r="AA224" s="50">
        <v>99.9</v>
      </c>
      <c r="AB224" s="50">
        <v>0</v>
      </c>
      <c r="AC224" s="50">
        <v>0</v>
      </c>
      <c r="AD224" s="50">
        <v>0</v>
      </c>
      <c r="AE224" s="50">
        <v>0</v>
      </c>
      <c r="AF224" s="50">
        <v>0</v>
      </c>
      <c r="AG224" s="50">
        <v>0</v>
      </c>
      <c r="AH224" s="50">
        <v>0</v>
      </c>
      <c r="AI224" s="50">
        <v>0</v>
      </c>
      <c r="AJ224" s="50">
        <v>0</v>
      </c>
      <c r="AK224" s="50">
        <v>0</v>
      </c>
      <c r="AL224" s="50">
        <v>0</v>
      </c>
      <c r="AM224" s="50">
        <v>0</v>
      </c>
      <c r="AN224" s="50">
        <v>0</v>
      </c>
      <c r="AO224" s="50">
        <v>0</v>
      </c>
      <c r="AP224" s="841"/>
      <c r="AQ224" s="263"/>
    </row>
    <row r="225" spans="1:43" s="327" customFormat="1" ht="29.25" customHeight="1" x14ac:dyDescent="0.25">
      <c r="A225" s="911" t="s">
        <v>179</v>
      </c>
      <c r="B225" s="780" t="s">
        <v>182</v>
      </c>
      <c r="C225" s="133"/>
      <c r="D225" s="133"/>
      <c r="E225" s="133"/>
      <c r="F225" s="133"/>
      <c r="G225" s="778"/>
      <c r="H225" s="778"/>
      <c r="I225" s="1463" t="s">
        <v>181</v>
      </c>
      <c r="J225" s="886"/>
      <c r="K225" s="3"/>
      <c r="L225" s="3">
        <f>L226</f>
        <v>1342.77</v>
      </c>
      <c r="M225" s="3">
        <f>M226</f>
        <v>1246.77</v>
      </c>
      <c r="N225" s="3">
        <f t="shared" ref="N225:AO227" si="129">N226</f>
        <v>0</v>
      </c>
      <c r="O225" s="3">
        <f t="shared" si="129"/>
        <v>0</v>
      </c>
      <c r="P225" s="3">
        <f t="shared" si="129"/>
        <v>0</v>
      </c>
      <c r="Q225" s="3">
        <f t="shared" si="129"/>
        <v>0</v>
      </c>
      <c r="R225" s="3">
        <f t="shared" si="129"/>
        <v>0</v>
      </c>
      <c r="S225" s="3">
        <f t="shared" si="129"/>
        <v>0</v>
      </c>
      <c r="T225" s="3">
        <f t="shared" si="129"/>
        <v>0</v>
      </c>
      <c r="U225" s="3">
        <f t="shared" si="129"/>
        <v>0</v>
      </c>
      <c r="V225" s="3">
        <f t="shared" si="129"/>
        <v>0</v>
      </c>
      <c r="W225" s="3">
        <f t="shared" si="129"/>
        <v>0</v>
      </c>
      <c r="X225" s="3">
        <f t="shared" si="129"/>
        <v>0</v>
      </c>
      <c r="Y225" s="3">
        <f t="shared" si="129"/>
        <v>0</v>
      </c>
      <c r="Z225" s="95">
        <v>0</v>
      </c>
      <c r="AA225" s="3">
        <f t="shared" si="129"/>
        <v>0</v>
      </c>
      <c r="AB225" s="3">
        <f t="shared" si="129"/>
        <v>0</v>
      </c>
      <c r="AC225" s="3">
        <f t="shared" si="129"/>
        <v>0</v>
      </c>
      <c r="AD225" s="3">
        <f t="shared" si="129"/>
        <v>0</v>
      </c>
      <c r="AE225" s="3">
        <f t="shared" si="129"/>
        <v>0</v>
      </c>
      <c r="AF225" s="3">
        <f t="shared" si="129"/>
        <v>0</v>
      </c>
      <c r="AG225" s="3">
        <f t="shared" si="129"/>
        <v>0</v>
      </c>
      <c r="AH225" s="3">
        <f t="shared" si="129"/>
        <v>0</v>
      </c>
      <c r="AI225" s="3">
        <f t="shared" si="129"/>
        <v>0</v>
      </c>
      <c r="AJ225" s="3">
        <f t="shared" si="129"/>
        <v>0</v>
      </c>
      <c r="AK225" s="3">
        <f t="shared" si="129"/>
        <v>0</v>
      </c>
      <c r="AL225" s="3">
        <f t="shared" si="129"/>
        <v>0</v>
      </c>
      <c r="AM225" s="3">
        <f t="shared" si="129"/>
        <v>0</v>
      </c>
      <c r="AN225" s="3">
        <f t="shared" si="129"/>
        <v>0</v>
      </c>
      <c r="AO225" s="3">
        <f t="shared" si="129"/>
        <v>0</v>
      </c>
      <c r="AP225" s="829" t="s">
        <v>207</v>
      </c>
      <c r="AQ225" s="95">
        <v>0</v>
      </c>
    </row>
    <row r="226" spans="1:43" ht="15.75" customHeight="1" x14ac:dyDescent="0.25">
      <c r="A226" s="882"/>
      <c r="B226" s="42" t="s">
        <v>15</v>
      </c>
      <c r="C226" s="341"/>
      <c r="D226" s="341"/>
      <c r="E226" s="341"/>
      <c r="F226" s="341"/>
      <c r="G226" s="313"/>
      <c r="H226" s="916"/>
      <c r="I226" s="1465"/>
      <c r="J226" s="901"/>
      <c r="K226" s="4"/>
      <c r="L226" s="47">
        <v>1342.77</v>
      </c>
      <c r="M226" s="47">
        <v>1246.77</v>
      </c>
      <c r="N226" s="50">
        <v>0</v>
      </c>
      <c r="O226" s="50">
        <v>0</v>
      </c>
      <c r="P226" s="47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47">
        <v>0</v>
      </c>
      <c r="Y226" s="50">
        <v>0</v>
      </c>
      <c r="Z226" s="263"/>
      <c r="AA226" s="50">
        <v>0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412"/>
      <c r="AQ226" s="263"/>
    </row>
    <row r="227" spans="1:43" s="327" customFormat="1" ht="29.25" customHeight="1" x14ac:dyDescent="0.25">
      <c r="A227" s="911" t="s">
        <v>179</v>
      </c>
      <c r="B227" s="780" t="s">
        <v>412</v>
      </c>
      <c r="C227" s="133"/>
      <c r="D227" s="133"/>
      <c r="E227" s="133"/>
      <c r="F227" s="133"/>
      <c r="G227" s="778"/>
      <c r="H227" s="778"/>
      <c r="I227" s="1463" t="s">
        <v>181</v>
      </c>
      <c r="J227" s="886"/>
      <c r="K227" s="3"/>
      <c r="L227" s="3">
        <f>L228</f>
        <v>1342.77</v>
      </c>
      <c r="M227" s="3">
        <f>M228</f>
        <v>1246.77</v>
      </c>
      <c r="N227" s="3">
        <f t="shared" si="129"/>
        <v>0</v>
      </c>
      <c r="O227" s="3">
        <f t="shared" si="129"/>
        <v>0</v>
      </c>
      <c r="P227" s="3">
        <f t="shared" si="129"/>
        <v>2878.15</v>
      </c>
      <c r="Q227" s="3">
        <f t="shared" si="129"/>
        <v>0</v>
      </c>
      <c r="R227" s="3">
        <f t="shared" si="129"/>
        <v>0</v>
      </c>
      <c r="S227" s="3">
        <f t="shared" si="129"/>
        <v>0</v>
      </c>
      <c r="T227" s="3">
        <f t="shared" si="129"/>
        <v>0</v>
      </c>
      <c r="U227" s="3">
        <f t="shared" si="129"/>
        <v>0</v>
      </c>
      <c r="V227" s="3">
        <f t="shared" si="129"/>
        <v>0</v>
      </c>
      <c r="W227" s="3">
        <f t="shared" si="129"/>
        <v>0</v>
      </c>
      <c r="X227" s="3">
        <f t="shared" si="129"/>
        <v>0</v>
      </c>
      <c r="Y227" s="3">
        <f t="shared" si="129"/>
        <v>0</v>
      </c>
      <c r="Z227" s="95">
        <v>0</v>
      </c>
      <c r="AA227" s="3">
        <f t="shared" si="129"/>
        <v>0</v>
      </c>
      <c r="AB227" s="3">
        <f t="shared" si="129"/>
        <v>0</v>
      </c>
      <c r="AC227" s="3">
        <f t="shared" si="129"/>
        <v>0</v>
      </c>
      <c r="AD227" s="3">
        <f t="shared" si="129"/>
        <v>0</v>
      </c>
      <c r="AE227" s="3">
        <f t="shared" si="129"/>
        <v>0</v>
      </c>
      <c r="AF227" s="3">
        <f t="shared" si="129"/>
        <v>0</v>
      </c>
      <c r="AG227" s="3">
        <f t="shared" si="129"/>
        <v>0</v>
      </c>
      <c r="AH227" s="3">
        <f t="shared" si="129"/>
        <v>0</v>
      </c>
      <c r="AI227" s="3">
        <f t="shared" si="129"/>
        <v>0</v>
      </c>
      <c r="AJ227" s="3">
        <f t="shared" si="129"/>
        <v>0</v>
      </c>
      <c r="AK227" s="3">
        <f t="shared" si="129"/>
        <v>0</v>
      </c>
      <c r="AL227" s="3">
        <f t="shared" si="129"/>
        <v>0</v>
      </c>
      <c r="AM227" s="3">
        <f t="shared" si="129"/>
        <v>0</v>
      </c>
      <c r="AN227" s="3">
        <f t="shared" si="129"/>
        <v>0</v>
      </c>
      <c r="AO227" s="3">
        <f t="shared" si="129"/>
        <v>0</v>
      </c>
      <c r="AP227" s="829" t="s">
        <v>207</v>
      </c>
      <c r="AQ227" s="95">
        <v>0</v>
      </c>
    </row>
    <row r="228" spans="1:43" ht="15.75" customHeight="1" x14ac:dyDescent="0.25">
      <c r="A228" s="882"/>
      <c r="B228" s="42" t="s">
        <v>16</v>
      </c>
      <c r="C228" s="341"/>
      <c r="D228" s="341"/>
      <c r="E228" s="341"/>
      <c r="F228" s="341"/>
      <c r="G228" s="313"/>
      <c r="H228" s="916"/>
      <c r="I228" s="1465"/>
      <c r="J228" s="901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2878.15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ht="54" hidden="1" customHeight="1" x14ac:dyDescent="0.25">
      <c r="A229" s="1332" t="s">
        <v>31</v>
      </c>
      <c r="B229" s="1613" t="s">
        <v>208</v>
      </c>
      <c r="C229" s="1614"/>
      <c r="D229" s="1614"/>
      <c r="E229" s="1614"/>
      <c r="F229" s="1614"/>
      <c r="G229" s="1614"/>
      <c r="H229" s="1615"/>
      <c r="I229" s="23" t="s">
        <v>19</v>
      </c>
      <c r="J229" s="900">
        <v>0</v>
      </c>
      <c r="K229" s="900">
        <v>0</v>
      </c>
      <c r="L229" s="47">
        <f>M229+N229+O229</f>
        <v>0</v>
      </c>
      <c r="M229" s="47">
        <v>0</v>
      </c>
      <c r="N229" s="47">
        <v>0</v>
      </c>
      <c r="O229" s="47">
        <v>0</v>
      </c>
      <c r="P229" s="47">
        <v>0</v>
      </c>
      <c r="Q229" s="47">
        <v>0</v>
      </c>
      <c r="R229" s="47">
        <v>0</v>
      </c>
      <c r="S229" s="47">
        <v>0</v>
      </c>
      <c r="T229" s="47">
        <v>0</v>
      </c>
      <c r="U229" s="47">
        <v>0</v>
      </c>
      <c r="V229" s="47">
        <v>0</v>
      </c>
      <c r="W229" s="47">
        <v>0</v>
      </c>
      <c r="X229" s="47">
        <v>0</v>
      </c>
      <c r="Y229" s="47">
        <v>0</v>
      </c>
      <c r="Z229" s="96"/>
      <c r="AA229" s="47">
        <v>0</v>
      </c>
      <c r="AB229" s="47">
        <v>0</v>
      </c>
      <c r="AC229" s="47">
        <v>0</v>
      </c>
      <c r="AD229" s="47">
        <v>0</v>
      </c>
      <c r="AE229" s="47">
        <v>0</v>
      </c>
      <c r="AF229" s="47">
        <v>0</v>
      </c>
      <c r="AG229" s="47">
        <v>0</v>
      </c>
      <c r="AH229" s="47">
        <v>0</v>
      </c>
      <c r="AI229" s="47">
        <v>0</v>
      </c>
      <c r="AJ229" s="47">
        <v>0</v>
      </c>
      <c r="AK229" s="47">
        <v>0</v>
      </c>
      <c r="AL229" s="47">
        <v>0</v>
      </c>
      <c r="AM229" s="47">
        <v>0</v>
      </c>
      <c r="AN229" s="47">
        <v>0</v>
      </c>
      <c r="AO229" s="47">
        <v>0</v>
      </c>
      <c r="AP229" s="397"/>
      <c r="AQ229" s="96"/>
    </row>
    <row r="230" spans="1:43" ht="39.75" hidden="1" customHeight="1" x14ac:dyDescent="0.25">
      <c r="A230" s="1333"/>
      <c r="B230" s="1616"/>
      <c r="C230" s="1617"/>
      <c r="D230" s="1617"/>
      <c r="E230" s="1617"/>
      <c r="F230" s="1617"/>
      <c r="G230" s="1617"/>
      <c r="H230" s="1618"/>
      <c r="I230" s="23" t="s">
        <v>20</v>
      </c>
      <c r="J230" s="900">
        <f>K230+L230</f>
        <v>6696.7899999999991</v>
      </c>
      <c r="K230" s="900">
        <f>K236+K255+K258+K265</f>
        <v>0</v>
      </c>
      <c r="L230" s="47">
        <f t="shared" ref="L230:AE230" si="130">L236</f>
        <v>6696.7899999999991</v>
      </c>
      <c r="M230" s="47">
        <f t="shared" si="130"/>
        <v>0</v>
      </c>
      <c r="N230" s="47">
        <f t="shared" si="130"/>
        <v>2081.9299999999998</v>
      </c>
      <c r="O230" s="47">
        <f t="shared" si="130"/>
        <v>4372.5</v>
      </c>
      <c r="P230" s="47">
        <f t="shared" si="130"/>
        <v>0</v>
      </c>
      <c r="Q230" s="47">
        <f t="shared" si="130"/>
        <v>75</v>
      </c>
      <c r="R230" s="47">
        <f t="shared" si="130"/>
        <v>0</v>
      </c>
      <c r="S230" s="47">
        <f t="shared" si="130"/>
        <v>0</v>
      </c>
      <c r="T230" s="47">
        <f t="shared" si="130"/>
        <v>0</v>
      </c>
      <c r="U230" s="47">
        <f t="shared" si="130"/>
        <v>0</v>
      </c>
      <c r="V230" s="47">
        <f t="shared" si="130"/>
        <v>0</v>
      </c>
      <c r="W230" s="47">
        <f t="shared" si="130"/>
        <v>0</v>
      </c>
      <c r="X230" s="47">
        <f t="shared" si="130"/>
        <v>0</v>
      </c>
      <c r="Y230" s="47">
        <f t="shared" si="130"/>
        <v>0</v>
      </c>
      <c r="Z230" s="96"/>
      <c r="AA230" s="47">
        <f t="shared" si="130"/>
        <v>75</v>
      </c>
      <c r="AB230" s="47">
        <f t="shared" si="130"/>
        <v>0</v>
      </c>
      <c r="AC230" s="47">
        <f t="shared" si="130"/>
        <v>0</v>
      </c>
      <c r="AD230" s="47">
        <f t="shared" si="130"/>
        <v>0</v>
      </c>
      <c r="AE230" s="47">
        <f t="shared" si="130"/>
        <v>0</v>
      </c>
      <c r="AF230" s="47">
        <f t="shared" ref="AF230:AO230" si="131">AF236+AF255+AF258+AF265+AF267</f>
        <v>0</v>
      </c>
      <c r="AG230" s="47">
        <f t="shared" si="131"/>
        <v>0</v>
      </c>
      <c r="AH230" s="47">
        <f t="shared" si="131"/>
        <v>0</v>
      </c>
      <c r="AI230" s="47">
        <f t="shared" si="131"/>
        <v>0</v>
      </c>
      <c r="AJ230" s="47">
        <f t="shared" si="131"/>
        <v>0</v>
      </c>
      <c r="AK230" s="47">
        <f t="shared" si="131"/>
        <v>40144.92</v>
      </c>
      <c r="AL230" s="47">
        <f t="shared" si="131"/>
        <v>40144.92</v>
      </c>
      <c r="AM230" s="47" t="e">
        <f t="shared" si="131"/>
        <v>#DIV/0!</v>
      </c>
      <c r="AN230" s="47">
        <f t="shared" si="131"/>
        <v>0</v>
      </c>
      <c r="AO230" s="47">
        <f t="shared" si="131"/>
        <v>0</v>
      </c>
      <c r="AP230" s="397"/>
      <c r="AQ230" s="96"/>
    </row>
    <row r="231" spans="1:43" ht="26.25" hidden="1" customHeight="1" x14ac:dyDescent="0.25">
      <c r="A231" s="1333"/>
      <c r="B231" s="1616"/>
      <c r="C231" s="1617"/>
      <c r="D231" s="1617"/>
      <c r="E231" s="1617"/>
      <c r="F231" s="1617"/>
      <c r="G231" s="1617"/>
      <c r="H231" s="1618"/>
      <c r="I231" s="23" t="s">
        <v>10</v>
      </c>
      <c r="J231" s="900">
        <v>0</v>
      </c>
      <c r="K231" s="900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25.5" hidden="1" x14ac:dyDescent="0.25">
      <c r="A232" s="1334"/>
      <c r="B232" s="1619"/>
      <c r="C232" s="1620"/>
      <c r="D232" s="1620"/>
      <c r="E232" s="1620"/>
      <c r="F232" s="1620"/>
      <c r="G232" s="1620"/>
      <c r="H232" s="1621"/>
      <c r="I232" s="23" t="s">
        <v>9</v>
      </c>
      <c r="J232" s="900">
        <v>0</v>
      </c>
      <c r="K232" s="900">
        <v>0</v>
      </c>
      <c r="L232" s="47">
        <f>M232+N232+O232</f>
        <v>0</v>
      </c>
      <c r="M232" s="47">
        <v>0</v>
      </c>
      <c r="N232" s="47">
        <v>0</v>
      </c>
      <c r="O232" s="47">
        <v>0</v>
      </c>
      <c r="P232" s="47">
        <v>0</v>
      </c>
      <c r="Q232" s="47">
        <v>0</v>
      </c>
      <c r="R232" s="47">
        <v>0</v>
      </c>
      <c r="S232" s="47">
        <v>0</v>
      </c>
      <c r="T232" s="47">
        <v>0</v>
      </c>
      <c r="U232" s="47">
        <v>0</v>
      </c>
      <c r="V232" s="47">
        <v>0</v>
      </c>
      <c r="W232" s="47">
        <v>0</v>
      </c>
      <c r="X232" s="47">
        <v>0</v>
      </c>
      <c r="Y232" s="47">
        <v>0</v>
      </c>
      <c r="Z232" s="96"/>
      <c r="AA232" s="47">
        <v>0</v>
      </c>
      <c r="AB232" s="47">
        <v>0</v>
      </c>
      <c r="AC232" s="47">
        <v>0</v>
      </c>
      <c r="AD232" s="47">
        <v>0</v>
      </c>
      <c r="AE232" s="47">
        <v>0</v>
      </c>
      <c r="AF232" s="47">
        <v>0</v>
      </c>
      <c r="AG232" s="47">
        <v>0</v>
      </c>
      <c r="AH232" s="47">
        <v>0</v>
      </c>
      <c r="AI232" s="47">
        <v>0</v>
      </c>
      <c r="AJ232" s="47">
        <v>0</v>
      </c>
      <c r="AK232" s="47">
        <v>0</v>
      </c>
      <c r="AL232" s="47">
        <v>0</v>
      </c>
      <c r="AM232" s="47">
        <v>0</v>
      </c>
      <c r="AN232" s="47">
        <v>0</v>
      </c>
      <c r="AO232" s="47">
        <v>0</v>
      </c>
      <c r="AP232" s="397"/>
      <c r="AQ232" s="96"/>
    </row>
    <row r="233" spans="1:43" s="327" customFormat="1" ht="29.25" customHeight="1" x14ac:dyDescent="0.25">
      <c r="A233" s="911" t="s">
        <v>179</v>
      </c>
      <c r="B233" s="780" t="s">
        <v>413</v>
      </c>
      <c r="C233" s="133"/>
      <c r="D233" s="133"/>
      <c r="E233" s="133"/>
      <c r="F233" s="133"/>
      <c r="G233" s="778"/>
      <c r="H233" s="778"/>
      <c r="I233" s="1463" t="s">
        <v>181</v>
      </c>
      <c r="J233" s="886"/>
      <c r="K233" s="3"/>
      <c r="L233" s="3">
        <f>L234</f>
        <v>1342.77</v>
      </c>
      <c r="M233" s="3">
        <f>M234</f>
        <v>1246.77</v>
      </c>
      <c r="N233" s="3">
        <f t="shared" ref="N233:AO233" si="132">N234</f>
        <v>0</v>
      </c>
      <c r="O233" s="3">
        <f t="shared" si="132"/>
        <v>0</v>
      </c>
      <c r="P233" s="3">
        <f t="shared" si="132"/>
        <v>4959</v>
      </c>
      <c r="Q233" s="3">
        <f t="shared" si="132"/>
        <v>0</v>
      </c>
      <c r="R233" s="3">
        <f t="shared" si="132"/>
        <v>0</v>
      </c>
      <c r="S233" s="3">
        <f t="shared" si="132"/>
        <v>0</v>
      </c>
      <c r="T233" s="3">
        <f t="shared" si="132"/>
        <v>0</v>
      </c>
      <c r="U233" s="3">
        <f t="shared" si="132"/>
        <v>0</v>
      </c>
      <c r="V233" s="3">
        <f t="shared" si="132"/>
        <v>0</v>
      </c>
      <c r="W233" s="3">
        <f t="shared" si="132"/>
        <v>0</v>
      </c>
      <c r="X233" s="3">
        <f t="shared" si="132"/>
        <v>0</v>
      </c>
      <c r="Y233" s="3">
        <f t="shared" si="132"/>
        <v>0</v>
      </c>
      <c r="Z233" s="95">
        <v>0</v>
      </c>
      <c r="AA233" s="3">
        <f t="shared" si="132"/>
        <v>0</v>
      </c>
      <c r="AB233" s="3">
        <f t="shared" si="132"/>
        <v>0</v>
      </c>
      <c r="AC233" s="3">
        <f t="shared" si="132"/>
        <v>0</v>
      </c>
      <c r="AD233" s="3">
        <f t="shared" si="132"/>
        <v>0</v>
      </c>
      <c r="AE233" s="3">
        <f t="shared" si="132"/>
        <v>0</v>
      </c>
      <c r="AF233" s="3">
        <f t="shared" si="132"/>
        <v>0</v>
      </c>
      <c r="AG233" s="3">
        <f t="shared" si="132"/>
        <v>0</v>
      </c>
      <c r="AH233" s="3">
        <f t="shared" si="132"/>
        <v>0</v>
      </c>
      <c r="AI233" s="3">
        <f t="shared" si="132"/>
        <v>0</v>
      </c>
      <c r="AJ233" s="3">
        <f t="shared" si="132"/>
        <v>0</v>
      </c>
      <c r="AK233" s="3">
        <f t="shared" si="132"/>
        <v>0</v>
      </c>
      <c r="AL233" s="3">
        <f t="shared" si="132"/>
        <v>0</v>
      </c>
      <c r="AM233" s="3">
        <f t="shared" si="132"/>
        <v>0</v>
      </c>
      <c r="AN233" s="3">
        <f t="shared" si="132"/>
        <v>0</v>
      </c>
      <c r="AO233" s="3">
        <f t="shared" si="132"/>
        <v>0</v>
      </c>
      <c r="AP233" s="829" t="s">
        <v>207</v>
      </c>
      <c r="AQ233" s="95">
        <v>0</v>
      </c>
    </row>
    <row r="234" spans="1:43" ht="15.75" customHeight="1" x14ac:dyDescent="0.25">
      <c r="A234" s="882"/>
      <c r="B234" s="42" t="s">
        <v>39</v>
      </c>
      <c r="C234" s="341"/>
      <c r="D234" s="341"/>
      <c r="E234" s="341"/>
      <c r="F234" s="341"/>
      <c r="G234" s="313"/>
      <c r="H234" s="916"/>
      <c r="I234" s="1465"/>
      <c r="J234" s="901"/>
      <c r="K234" s="4"/>
      <c r="L234" s="47">
        <v>1342.77</v>
      </c>
      <c r="M234" s="47">
        <v>1246.77</v>
      </c>
      <c r="N234" s="50">
        <v>0</v>
      </c>
      <c r="O234" s="50">
        <v>0</v>
      </c>
      <c r="P234" s="47">
        <v>4959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50">
        <v>0</v>
      </c>
      <c r="W234" s="50">
        <v>0</v>
      </c>
      <c r="X234" s="47">
        <v>0</v>
      </c>
      <c r="Y234" s="50">
        <v>0</v>
      </c>
      <c r="Z234" s="263"/>
      <c r="AA234" s="50">
        <v>0</v>
      </c>
      <c r="AB234" s="50">
        <v>0</v>
      </c>
      <c r="AC234" s="50">
        <v>0</v>
      </c>
      <c r="AD234" s="50">
        <v>0</v>
      </c>
      <c r="AE234" s="50">
        <v>0</v>
      </c>
      <c r="AF234" s="50">
        <v>0</v>
      </c>
      <c r="AG234" s="50">
        <v>0</v>
      </c>
      <c r="AH234" s="50">
        <v>0</v>
      </c>
      <c r="AI234" s="50">
        <v>0</v>
      </c>
      <c r="AJ234" s="50">
        <v>0</v>
      </c>
      <c r="AK234" s="50">
        <v>0</v>
      </c>
      <c r="AL234" s="50">
        <v>0</v>
      </c>
      <c r="AM234" s="50">
        <v>0</v>
      </c>
      <c r="AN234" s="50">
        <v>0</v>
      </c>
      <c r="AO234" s="50">
        <v>0</v>
      </c>
      <c r="AP234" s="412"/>
      <c r="AQ234" s="263"/>
    </row>
    <row r="235" spans="1:43" ht="15.75" x14ac:dyDescent="0.25">
      <c r="A235" s="869"/>
      <c r="B235" s="42" t="s">
        <v>16</v>
      </c>
      <c r="C235" s="896"/>
      <c r="D235" s="896"/>
      <c r="E235" s="896"/>
      <c r="F235" s="896"/>
      <c r="G235" s="896"/>
      <c r="H235" s="897"/>
      <c r="I235" s="883"/>
      <c r="J235" s="900"/>
      <c r="K235" s="900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96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"/>
      <c r="AN235" s="47"/>
      <c r="AO235" s="47"/>
      <c r="AP235" s="397"/>
      <c r="AQ235" s="96"/>
    </row>
    <row r="236" spans="1:43" s="327" customFormat="1" ht="30" customHeight="1" x14ac:dyDescent="0.25">
      <c r="A236" s="1344" t="s">
        <v>50</v>
      </c>
      <c r="B236" s="830" t="s">
        <v>183</v>
      </c>
      <c r="C236" s="1658"/>
      <c r="D236" s="1326"/>
      <c r="E236" s="1326"/>
      <c r="F236" s="1644">
        <v>150000</v>
      </c>
      <c r="G236" s="1326">
        <v>2019</v>
      </c>
      <c r="H236" s="1326">
        <v>2019</v>
      </c>
      <c r="I236" s="1326" t="s">
        <v>20</v>
      </c>
      <c r="J236" s="1653">
        <v>4914.5600000000004</v>
      </c>
      <c r="K236" s="3"/>
      <c r="L236" s="3">
        <f t="shared" ref="L236:P236" si="133">L239+L237</f>
        <v>6696.7899999999991</v>
      </c>
      <c r="M236" s="3">
        <f t="shared" si="133"/>
        <v>0</v>
      </c>
      <c r="N236" s="3">
        <f t="shared" si="133"/>
        <v>2081.9299999999998</v>
      </c>
      <c r="O236" s="3">
        <f t="shared" si="133"/>
        <v>4372.5</v>
      </c>
      <c r="P236" s="3">
        <f t="shared" si="133"/>
        <v>0</v>
      </c>
      <c r="Q236" s="3">
        <f>Q237+Q239</f>
        <v>75</v>
      </c>
      <c r="R236" s="3">
        <f t="shared" ref="R236:AA236" si="134">R237+R239</f>
        <v>0</v>
      </c>
      <c r="S236" s="3">
        <f t="shared" si="134"/>
        <v>0</v>
      </c>
      <c r="T236" s="3">
        <f t="shared" si="134"/>
        <v>0</v>
      </c>
      <c r="U236" s="3">
        <f t="shared" si="134"/>
        <v>0</v>
      </c>
      <c r="V236" s="3">
        <f t="shared" si="134"/>
        <v>0</v>
      </c>
      <c r="W236" s="3">
        <f t="shared" si="134"/>
        <v>0</v>
      </c>
      <c r="X236" s="3">
        <f t="shared" si="134"/>
        <v>0</v>
      </c>
      <c r="Y236" s="3">
        <f t="shared" si="134"/>
        <v>0</v>
      </c>
      <c r="Z236" s="3">
        <f t="shared" si="134"/>
        <v>0</v>
      </c>
      <c r="AA236" s="3">
        <f t="shared" si="134"/>
        <v>75</v>
      </c>
      <c r="AB236" s="3">
        <f t="shared" ref="AB236:AJ236" si="135">AB239+AB237</f>
        <v>0</v>
      </c>
      <c r="AC236" s="3">
        <f t="shared" si="135"/>
        <v>0</v>
      </c>
      <c r="AD236" s="3">
        <f t="shared" si="135"/>
        <v>0</v>
      </c>
      <c r="AE236" s="3">
        <f t="shared" si="135"/>
        <v>0</v>
      </c>
      <c r="AF236" s="3">
        <f t="shared" si="135"/>
        <v>0</v>
      </c>
      <c r="AG236" s="3">
        <f t="shared" si="135"/>
        <v>0</v>
      </c>
      <c r="AH236" s="3">
        <f t="shared" si="135"/>
        <v>0</v>
      </c>
      <c r="AI236" s="3">
        <f t="shared" si="135"/>
        <v>0</v>
      </c>
      <c r="AJ236" s="3">
        <f t="shared" si="135"/>
        <v>0</v>
      </c>
      <c r="AK236" s="3">
        <f>P236-Q236</f>
        <v>-75</v>
      </c>
      <c r="AL236" s="3">
        <f>AK236</f>
        <v>-75</v>
      </c>
      <c r="AM236" s="318" t="e">
        <f>ROUND((Q236*100%/P236*100),2)</f>
        <v>#DIV/0!</v>
      </c>
      <c r="AN236" s="3">
        <f>AN239</f>
        <v>0</v>
      </c>
      <c r="AO236" s="3">
        <f>AO239</f>
        <v>0</v>
      </c>
      <c r="AP236" s="633"/>
      <c r="AQ236" s="95">
        <v>45</v>
      </c>
    </row>
    <row r="237" spans="1:43" ht="19.5" customHeight="1" x14ac:dyDescent="0.25">
      <c r="A237" s="1345"/>
      <c r="B237" s="1" t="s">
        <v>15</v>
      </c>
      <c r="C237" s="1659"/>
      <c r="D237" s="1327"/>
      <c r="E237" s="1327"/>
      <c r="F237" s="1645"/>
      <c r="G237" s="1327"/>
      <c r="H237" s="1327"/>
      <c r="I237" s="1327"/>
      <c r="J237" s="1654"/>
      <c r="K237" s="47"/>
      <c r="L237" s="47">
        <f>SUM(M237:O237)</f>
        <v>2081.9299999999998</v>
      </c>
      <c r="M237" s="4">
        <v>0</v>
      </c>
      <c r="N237" s="4">
        <v>2081.9299999999998</v>
      </c>
      <c r="O237" s="4">
        <f t="shared" ref="O237:AO237" si="136">O238</f>
        <v>0</v>
      </c>
      <c r="P237" s="4">
        <f t="shared" si="136"/>
        <v>0</v>
      </c>
      <c r="Q237" s="4">
        <f t="shared" si="136"/>
        <v>75</v>
      </c>
      <c r="R237" s="4">
        <f t="shared" si="136"/>
        <v>0</v>
      </c>
      <c r="S237" s="4">
        <f t="shared" si="136"/>
        <v>0</v>
      </c>
      <c r="T237" s="4">
        <f t="shared" si="136"/>
        <v>0</v>
      </c>
      <c r="U237" s="4">
        <f t="shared" si="136"/>
        <v>0</v>
      </c>
      <c r="V237" s="4">
        <f t="shared" si="136"/>
        <v>0</v>
      </c>
      <c r="W237" s="4">
        <f t="shared" si="136"/>
        <v>0</v>
      </c>
      <c r="X237" s="4">
        <f t="shared" si="136"/>
        <v>0</v>
      </c>
      <c r="Y237" s="4">
        <f t="shared" si="136"/>
        <v>0</v>
      </c>
      <c r="Z237" s="268"/>
      <c r="AA237" s="4">
        <f t="shared" si="136"/>
        <v>75</v>
      </c>
      <c r="AB237" s="4">
        <f t="shared" si="136"/>
        <v>0</v>
      </c>
      <c r="AC237" s="4">
        <f t="shared" si="136"/>
        <v>0</v>
      </c>
      <c r="AD237" s="4">
        <f t="shared" si="136"/>
        <v>0</v>
      </c>
      <c r="AE237" s="4">
        <f t="shared" si="136"/>
        <v>0</v>
      </c>
      <c r="AF237" s="4">
        <f t="shared" si="136"/>
        <v>0</v>
      </c>
      <c r="AG237" s="4">
        <f t="shared" si="136"/>
        <v>0</v>
      </c>
      <c r="AH237" s="4">
        <v>0</v>
      </c>
      <c r="AI237" s="4">
        <v>0</v>
      </c>
      <c r="AJ237" s="4">
        <v>0</v>
      </c>
      <c r="AK237" s="4">
        <f t="shared" si="136"/>
        <v>0</v>
      </c>
      <c r="AL237" s="4">
        <f t="shared" si="136"/>
        <v>0</v>
      </c>
      <c r="AM237" s="4">
        <f t="shared" si="136"/>
        <v>0</v>
      </c>
      <c r="AN237" s="4">
        <f t="shared" si="136"/>
        <v>0</v>
      </c>
      <c r="AO237" s="4">
        <f t="shared" si="136"/>
        <v>0</v>
      </c>
      <c r="AP237" s="876"/>
      <c r="AQ237" s="268"/>
    </row>
    <row r="238" spans="1:43" s="266" customFormat="1" x14ac:dyDescent="0.25">
      <c r="A238" s="1345"/>
      <c r="B238" s="92" t="s">
        <v>250</v>
      </c>
      <c r="C238" s="1659"/>
      <c r="D238" s="1327"/>
      <c r="E238" s="1327"/>
      <c r="F238" s="1645"/>
      <c r="G238" s="1327"/>
      <c r="H238" s="1327"/>
      <c r="I238" s="1327"/>
      <c r="J238" s="1654"/>
      <c r="K238" s="96"/>
      <c r="L238" s="96">
        <f>SUM(M238:O238)</f>
        <v>0</v>
      </c>
      <c r="M238" s="268">
        <v>0</v>
      </c>
      <c r="N238" s="263"/>
      <c r="O238" s="263"/>
      <c r="P238" s="263">
        <f>R238+T238</f>
        <v>0</v>
      </c>
      <c r="Q238" s="263">
        <v>75</v>
      </c>
      <c r="R238" s="263">
        <f>S238</f>
        <v>0</v>
      </c>
      <c r="S238" s="263">
        <v>0</v>
      </c>
      <c r="T238" s="263">
        <v>0</v>
      </c>
      <c r="U238" s="263">
        <v>0</v>
      </c>
      <c r="V238" s="263">
        <v>0</v>
      </c>
      <c r="W238" s="263">
        <v>0</v>
      </c>
      <c r="X238" s="263">
        <v>0</v>
      </c>
      <c r="Y238" s="263">
        <v>0</v>
      </c>
      <c r="Z238" s="263"/>
      <c r="AA238" s="263">
        <v>75</v>
      </c>
      <c r="AB238" s="263">
        <v>0</v>
      </c>
      <c r="AC238" s="263">
        <v>0</v>
      </c>
      <c r="AD238" s="263"/>
      <c r="AE238" s="263"/>
      <c r="AF238" s="263"/>
      <c r="AG238" s="263"/>
      <c r="AH238" s="263"/>
      <c r="AI238" s="263"/>
      <c r="AJ238" s="263"/>
      <c r="AK238" s="263"/>
      <c r="AL238" s="263"/>
      <c r="AM238" s="263"/>
      <c r="AN238" s="263"/>
      <c r="AO238" s="263"/>
      <c r="AP238" s="413"/>
      <c r="AQ238" s="263"/>
    </row>
    <row r="239" spans="1:43" ht="18" customHeight="1" x14ac:dyDescent="0.25">
      <c r="A239" s="1346"/>
      <c r="B239" s="575" t="s">
        <v>16</v>
      </c>
      <c r="C239" s="1356"/>
      <c r="D239" s="1356"/>
      <c r="E239" s="1327"/>
      <c r="F239" s="1357"/>
      <c r="G239" s="1327"/>
      <c r="H239" s="1327"/>
      <c r="I239" s="1327"/>
      <c r="J239" s="1655"/>
      <c r="K239" s="47">
        <v>0</v>
      </c>
      <c r="L239" s="47">
        <v>4614.8599999999997</v>
      </c>
      <c r="M239" s="4">
        <v>0</v>
      </c>
      <c r="N239" s="4">
        <v>0</v>
      </c>
      <c r="O239" s="4">
        <v>4372.5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268"/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876"/>
      <c r="AQ239" s="268"/>
    </row>
    <row r="240" spans="1:43" s="327" customFormat="1" ht="21" customHeight="1" x14ac:dyDescent="0.25">
      <c r="A240" s="870"/>
      <c r="B240" s="830" t="s">
        <v>414</v>
      </c>
      <c r="C240" s="654"/>
      <c r="D240" s="654"/>
      <c r="E240" s="341"/>
      <c r="F240" s="831"/>
      <c r="G240" s="341"/>
      <c r="H240" s="917"/>
      <c r="I240" s="867"/>
      <c r="J240" s="915"/>
      <c r="K240" s="3"/>
      <c r="L240" s="3">
        <f t="shared" ref="L240:O240" si="137">L243+L241</f>
        <v>2081.9299999999998</v>
      </c>
      <c r="M240" s="3">
        <f t="shared" si="137"/>
        <v>0</v>
      </c>
      <c r="N240" s="3">
        <f t="shared" si="137"/>
        <v>2081.9299999999998</v>
      </c>
      <c r="O240" s="3">
        <f t="shared" si="137"/>
        <v>0</v>
      </c>
      <c r="P240" s="3">
        <f>SUM(P241:P242)</f>
        <v>2.7</v>
      </c>
      <c r="Q240" s="3">
        <f>SUM(Q241:Q242)</f>
        <v>0</v>
      </c>
      <c r="R240" s="3">
        <f t="shared" ref="R240:AA240" si="138">SUM(R241:R242)</f>
        <v>0</v>
      </c>
      <c r="S240" s="3">
        <f t="shared" si="138"/>
        <v>0</v>
      </c>
      <c r="T240" s="3">
        <f t="shared" si="138"/>
        <v>0</v>
      </c>
      <c r="U240" s="3">
        <f t="shared" si="138"/>
        <v>0</v>
      </c>
      <c r="V240" s="3">
        <f t="shared" si="138"/>
        <v>0</v>
      </c>
      <c r="W240" s="3">
        <f t="shared" si="138"/>
        <v>0</v>
      </c>
      <c r="X240" s="3">
        <f t="shared" si="138"/>
        <v>0</v>
      </c>
      <c r="Y240" s="3">
        <f t="shared" si="138"/>
        <v>0</v>
      </c>
      <c r="Z240" s="3">
        <f t="shared" si="138"/>
        <v>0</v>
      </c>
      <c r="AA240" s="3">
        <f t="shared" si="138"/>
        <v>0</v>
      </c>
      <c r="AB240" s="3">
        <f t="shared" ref="AB240:AJ240" si="139">AB243+AB241</f>
        <v>0</v>
      </c>
      <c r="AC240" s="3">
        <f t="shared" si="139"/>
        <v>0</v>
      </c>
      <c r="AD240" s="3">
        <f t="shared" si="139"/>
        <v>0</v>
      </c>
      <c r="AE240" s="3">
        <f t="shared" si="139"/>
        <v>0</v>
      </c>
      <c r="AF240" s="3">
        <f t="shared" si="139"/>
        <v>0</v>
      </c>
      <c r="AG240" s="3">
        <f t="shared" si="139"/>
        <v>0</v>
      </c>
      <c r="AH240" s="3">
        <f t="shared" si="139"/>
        <v>0</v>
      </c>
      <c r="AI240" s="3">
        <f t="shared" si="139"/>
        <v>0</v>
      </c>
      <c r="AJ240" s="3">
        <f t="shared" si="139"/>
        <v>0</v>
      </c>
      <c r="AK240" s="3">
        <f>P240-Q240</f>
        <v>2.7</v>
      </c>
      <c r="AL240" s="3">
        <f>AK240</f>
        <v>2.7</v>
      </c>
      <c r="AM240" s="318">
        <f>ROUND((Q240*100%/P240*100),2)</f>
        <v>0</v>
      </c>
      <c r="AN240" s="3">
        <f>AN243</f>
        <v>0</v>
      </c>
      <c r="AO240" s="3">
        <f>AO243</f>
        <v>0</v>
      </c>
      <c r="AP240" s="633"/>
      <c r="AQ240" s="95">
        <v>45</v>
      </c>
    </row>
    <row r="241" spans="1:43" ht="19.5" customHeight="1" x14ac:dyDescent="0.25">
      <c r="A241" s="870"/>
      <c r="B241" s="1" t="s">
        <v>15</v>
      </c>
      <c r="C241" s="654"/>
      <c r="D241" s="654"/>
      <c r="E241" s="341"/>
      <c r="F241" s="831"/>
      <c r="G241" s="341"/>
      <c r="H241" s="917"/>
      <c r="I241" s="867"/>
      <c r="J241" s="915"/>
      <c r="K241" s="47"/>
      <c r="L241" s="47">
        <f>SUM(M241:O241)</f>
        <v>2081.9299999999998</v>
      </c>
      <c r="M241" s="4">
        <v>0</v>
      </c>
      <c r="N241" s="4">
        <v>2081.9299999999998</v>
      </c>
      <c r="O241" s="4">
        <f t="shared" ref="O241:AO241" si="140">O242</f>
        <v>0</v>
      </c>
      <c r="P241" s="4">
        <v>2.7</v>
      </c>
      <c r="Q241" s="4">
        <v>0</v>
      </c>
      <c r="R241" s="4">
        <f t="shared" si="140"/>
        <v>0</v>
      </c>
      <c r="S241" s="4">
        <f t="shared" si="140"/>
        <v>0</v>
      </c>
      <c r="T241" s="4">
        <f t="shared" si="140"/>
        <v>0</v>
      </c>
      <c r="U241" s="4">
        <f t="shared" si="140"/>
        <v>0</v>
      </c>
      <c r="V241" s="4">
        <f t="shared" si="140"/>
        <v>0</v>
      </c>
      <c r="W241" s="4">
        <f t="shared" si="140"/>
        <v>0</v>
      </c>
      <c r="X241" s="4">
        <f t="shared" si="140"/>
        <v>0</v>
      </c>
      <c r="Y241" s="4">
        <f t="shared" si="140"/>
        <v>0</v>
      </c>
      <c r="Z241" s="268"/>
      <c r="AA241" s="4">
        <v>0</v>
      </c>
      <c r="AB241" s="4">
        <f t="shared" si="140"/>
        <v>0</v>
      </c>
      <c r="AC241" s="4">
        <f t="shared" si="140"/>
        <v>0</v>
      </c>
      <c r="AD241" s="4">
        <f t="shared" si="140"/>
        <v>0</v>
      </c>
      <c r="AE241" s="4">
        <f t="shared" si="140"/>
        <v>0</v>
      </c>
      <c r="AF241" s="4">
        <f t="shared" si="140"/>
        <v>0</v>
      </c>
      <c r="AG241" s="4">
        <f t="shared" si="140"/>
        <v>0</v>
      </c>
      <c r="AH241" s="4">
        <v>0</v>
      </c>
      <c r="AI241" s="4">
        <v>0</v>
      </c>
      <c r="AJ241" s="4">
        <v>0</v>
      </c>
      <c r="AK241" s="4">
        <f t="shared" si="140"/>
        <v>0</v>
      </c>
      <c r="AL241" s="4">
        <f t="shared" si="140"/>
        <v>0</v>
      </c>
      <c r="AM241" s="4">
        <f t="shared" si="140"/>
        <v>0</v>
      </c>
      <c r="AN241" s="4">
        <f t="shared" si="140"/>
        <v>0</v>
      </c>
      <c r="AO241" s="4">
        <f t="shared" si="140"/>
        <v>0</v>
      </c>
      <c r="AP241" s="876"/>
      <c r="AQ241" s="268"/>
    </row>
    <row r="242" spans="1:43" ht="18" customHeight="1" x14ac:dyDescent="0.25">
      <c r="A242" s="870"/>
      <c r="B242" s="575" t="s">
        <v>16</v>
      </c>
      <c r="C242" s="654"/>
      <c r="D242" s="654"/>
      <c r="E242" s="341"/>
      <c r="F242" s="831"/>
      <c r="G242" s="341"/>
      <c r="H242" s="917"/>
      <c r="I242" s="867"/>
      <c r="J242" s="915"/>
      <c r="K242" s="4"/>
      <c r="L242" s="47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268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876"/>
      <c r="AQ242" s="268"/>
    </row>
    <row r="243" spans="1:43" ht="54" hidden="1" customHeight="1" x14ac:dyDescent="0.25">
      <c r="A243" s="1332" t="s">
        <v>139</v>
      </c>
      <c r="B243" s="1613" t="s">
        <v>209</v>
      </c>
      <c r="C243" s="1614"/>
      <c r="D243" s="1614"/>
      <c r="E243" s="1614"/>
      <c r="F243" s="1614"/>
      <c r="G243" s="1614"/>
      <c r="H243" s="1615"/>
      <c r="I243" s="23" t="s">
        <v>19</v>
      </c>
      <c r="J243" s="900">
        <v>0</v>
      </c>
      <c r="K243" s="900">
        <v>0</v>
      </c>
      <c r="L243" s="47">
        <f>M243+N243+O243</f>
        <v>0</v>
      </c>
      <c r="M243" s="47">
        <v>0</v>
      </c>
      <c r="N243" s="47">
        <v>0</v>
      </c>
      <c r="O243" s="47">
        <v>0</v>
      </c>
      <c r="P243" s="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47">
        <v>0</v>
      </c>
      <c r="X243" s="47">
        <v>0</v>
      </c>
      <c r="Y243" s="47">
        <v>0</v>
      </c>
      <c r="Z243" s="96"/>
      <c r="AA243" s="47">
        <v>0</v>
      </c>
      <c r="AB243" s="47">
        <v>0</v>
      </c>
      <c r="AC243" s="47">
        <v>0</v>
      </c>
      <c r="AD243" s="47">
        <v>0</v>
      </c>
      <c r="AE243" s="47">
        <v>0</v>
      </c>
      <c r="AF243" s="47">
        <v>0</v>
      </c>
      <c r="AG243" s="47">
        <v>0</v>
      </c>
      <c r="AH243" s="47">
        <v>0</v>
      </c>
      <c r="AI243" s="47">
        <v>0</v>
      </c>
      <c r="AJ243" s="47">
        <v>0</v>
      </c>
      <c r="AK243" s="47">
        <v>0</v>
      </c>
      <c r="AL243" s="47">
        <v>0</v>
      </c>
      <c r="AM243" s="47">
        <v>0</v>
      </c>
      <c r="AN243" s="47">
        <v>0</v>
      </c>
      <c r="AO243" s="47">
        <v>0</v>
      </c>
      <c r="AP243" s="397"/>
      <c r="AQ243" s="96"/>
    </row>
    <row r="244" spans="1:43" ht="39.75" hidden="1" customHeight="1" x14ac:dyDescent="0.25">
      <c r="A244" s="1333"/>
      <c r="B244" s="1616"/>
      <c r="C244" s="1617"/>
      <c r="D244" s="1617"/>
      <c r="E244" s="1617"/>
      <c r="F244" s="1617"/>
      <c r="G244" s="1617"/>
      <c r="H244" s="1618"/>
      <c r="I244" s="23" t="s">
        <v>20</v>
      </c>
      <c r="J244" s="900" t="e">
        <f>K244+L244</f>
        <v>#REF!</v>
      </c>
      <c r="K244" s="900" t="e">
        <f>#REF!+K287+K299+K300</f>
        <v>#REF!</v>
      </c>
      <c r="L244" s="47">
        <f t="shared" ref="L244:AM244" si="141">L247+L250++L255+L259+L265+L267+L271+L276+L283+L287</f>
        <v>333768.50999999995</v>
      </c>
      <c r="M244" s="47">
        <f t="shared" si="141"/>
        <v>31936.59</v>
      </c>
      <c r="N244" s="47">
        <f t="shared" si="141"/>
        <v>80827.610000000015</v>
      </c>
      <c r="O244" s="47">
        <f t="shared" si="141"/>
        <v>46251.09</v>
      </c>
      <c r="P244" s="47">
        <f t="shared" si="141"/>
        <v>53453.89</v>
      </c>
      <c r="Q244" s="47">
        <f t="shared" si="141"/>
        <v>1215.4000000000001</v>
      </c>
      <c r="R244" s="47">
        <f t="shared" si="141"/>
        <v>784.17799999999988</v>
      </c>
      <c r="S244" s="47">
        <f t="shared" si="141"/>
        <v>784.17799999999988</v>
      </c>
      <c r="T244" s="47">
        <f t="shared" si="141"/>
        <v>3249.636</v>
      </c>
      <c r="U244" s="47">
        <f t="shared" si="141"/>
        <v>3253.0360000000001</v>
      </c>
      <c r="V244" s="47">
        <f t="shared" si="141"/>
        <v>157.59</v>
      </c>
      <c r="W244" s="47">
        <f t="shared" si="141"/>
        <v>1096.5039999999999</v>
      </c>
      <c r="X244" s="47">
        <f t="shared" si="141"/>
        <v>0</v>
      </c>
      <c r="Y244" s="47">
        <f t="shared" si="141"/>
        <v>0</v>
      </c>
      <c r="Z244" s="96"/>
      <c r="AA244" s="47">
        <f t="shared" si="141"/>
        <v>1870</v>
      </c>
      <c r="AB244" s="47">
        <f t="shared" si="141"/>
        <v>0</v>
      </c>
      <c r="AC244" s="47">
        <f t="shared" si="141"/>
        <v>2488.15</v>
      </c>
      <c r="AD244" s="47">
        <f t="shared" si="141"/>
        <v>64858.980889999999</v>
      </c>
      <c r="AE244" s="47">
        <f t="shared" si="141"/>
        <v>0</v>
      </c>
      <c r="AF244" s="47">
        <f t="shared" si="141"/>
        <v>0</v>
      </c>
      <c r="AG244" s="47">
        <f t="shared" si="141"/>
        <v>0</v>
      </c>
      <c r="AH244" s="47">
        <f t="shared" si="141"/>
        <v>0</v>
      </c>
      <c r="AI244" s="47">
        <f t="shared" si="141"/>
        <v>0</v>
      </c>
      <c r="AJ244" s="47">
        <f t="shared" si="141"/>
        <v>0</v>
      </c>
      <c r="AK244" s="47">
        <f t="shared" si="141"/>
        <v>44126.939999999995</v>
      </c>
      <c r="AL244" s="47">
        <f t="shared" si="141"/>
        <v>44126.939999999995</v>
      </c>
      <c r="AM244" s="47">
        <f t="shared" si="141"/>
        <v>0</v>
      </c>
      <c r="AN244" s="47">
        <f>AN247+AN250++AN255+AN258+AN265+AN267+AN271+AN276+AN283+AN286</f>
        <v>0</v>
      </c>
      <c r="AO244" s="47">
        <f>AO247+AO250++AO255+AO258+AO265+AO267+AO271+AO276+AO283+AO286</f>
        <v>0</v>
      </c>
      <c r="AP244" s="397"/>
      <c r="AQ244" s="96"/>
    </row>
    <row r="245" spans="1:43" ht="26.25" hidden="1" customHeight="1" x14ac:dyDescent="0.25">
      <c r="A245" s="1333"/>
      <c r="B245" s="1616"/>
      <c r="C245" s="1617"/>
      <c r="D245" s="1617"/>
      <c r="E245" s="1617"/>
      <c r="F245" s="1617"/>
      <c r="G245" s="1617"/>
      <c r="H245" s="1618"/>
      <c r="I245" s="23" t="s">
        <v>10</v>
      </c>
      <c r="J245" s="900">
        <v>0</v>
      </c>
      <c r="K245" s="900">
        <v>0</v>
      </c>
      <c r="L245" s="47">
        <f t="shared" ref="L245:AM245" si="142">L262+L263+L291</f>
        <v>297742.64</v>
      </c>
      <c r="M245" s="47">
        <f t="shared" si="142"/>
        <v>295242.64</v>
      </c>
      <c r="N245" s="47">
        <f t="shared" si="142"/>
        <v>297742.64</v>
      </c>
      <c r="O245" s="47">
        <f t="shared" si="142"/>
        <v>297742.64</v>
      </c>
      <c r="P245" s="47">
        <f t="shared" si="142"/>
        <v>0</v>
      </c>
      <c r="Q245" s="47">
        <f t="shared" si="142"/>
        <v>21705.919999999998</v>
      </c>
      <c r="R245" s="47">
        <f t="shared" si="142"/>
        <v>21705.95</v>
      </c>
      <c r="S245" s="47">
        <f t="shared" si="142"/>
        <v>21705.95</v>
      </c>
      <c r="T245" s="47">
        <f t="shared" si="142"/>
        <v>21705.95</v>
      </c>
      <c r="U245" s="47">
        <f t="shared" si="142"/>
        <v>21705.95</v>
      </c>
      <c r="V245" s="47">
        <f t="shared" si="142"/>
        <v>50383.255000000005</v>
      </c>
      <c r="W245" s="47">
        <f t="shared" si="142"/>
        <v>50383.255000000005</v>
      </c>
      <c r="X245" s="47">
        <f t="shared" si="142"/>
        <v>21705.95</v>
      </c>
      <c r="Y245" s="47">
        <f t="shared" si="142"/>
        <v>21705.95</v>
      </c>
      <c r="Z245" s="96"/>
      <c r="AA245" s="47">
        <f t="shared" si="142"/>
        <v>21705.919999999998</v>
      </c>
      <c r="AB245" s="47">
        <f t="shared" si="142"/>
        <v>17522.268</v>
      </c>
      <c r="AC245" s="47">
        <f t="shared" si="142"/>
        <v>32099.796000000002</v>
      </c>
      <c r="AD245" s="47">
        <f t="shared" si="142"/>
        <v>83597.849889999998</v>
      </c>
      <c r="AE245" s="47">
        <f t="shared" si="142"/>
        <v>0</v>
      </c>
      <c r="AF245" s="47">
        <f t="shared" si="142"/>
        <v>0</v>
      </c>
      <c r="AG245" s="47">
        <f t="shared" si="142"/>
        <v>0</v>
      </c>
      <c r="AH245" s="47">
        <f t="shared" si="142"/>
        <v>0</v>
      </c>
      <c r="AI245" s="47">
        <f t="shared" si="142"/>
        <v>0</v>
      </c>
      <c r="AJ245" s="47">
        <f t="shared" si="142"/>
        <v>0</v>
      </c>
      <c r="AK245" s="47">
        <f t="shared" si="142"/>
        <v>0</v>
      </c>
      <c r="AL245" s="47">
        <f t="shared" si="142"/>
        <v>0</v>
      </c>
      <c r="AM245" s="47">
        <f t="shared" si="142"/>
        <v>0</v>
      </c>
      <c r="AN245" s="47">
        <v>0</v>
      </c>
      <c r="AO245" s="47">
        <v>0</v>
      </c>
      <c r="AP245" s="397"/>
      <c r="AQ245" s="96"/>
    </row>
    <row r="246" spans="1:43" ht="25.5" hidden="1" x14ac:dyDescent="0.25">
      <c r="A246" s="1334"/>
      <c r="B246" s="1619"/>
      <c r="C246" s="1620"/>
      <c r="D246" s="1620"/>
      <c r="E246" s="1620"/>
      <c r="F246" s="1620"/>
      <c r="G246" s="1620"/>
      <c r="H246" s="1621"/>
      <c r="I246" s="23" t="s">
        <v>9</v>
      </c>
      <c r="J246" s="900">
        <v>0</v>
      </c>
      <c r="K246" s="900">
        <v>0</v>
      </c>
      <c r="L246" s="47">
        <f>M246+N246+O246</f>
        <v>0</v>
      </c>
      <c r="M246" s="47">
        <v>0</v>
      </c>
      <c r="N246" s="47">
        <v>0</v>
      </c>
      <c r="O246" s="47">
        <v>0</v>
      </c>
      <c r="P246" s="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47">
        <v>0</v>
      </c>
      <c r="X246" s="47">
        <v>0</v>
      </c>
      <c r="Y246" s="47">
        <v>0</v>
      </c>
      <c r="Z246" s="96"/>
      <c r="AA246" s="47">
        <v>0</v>
      </c>
      <c r="AB246" s="47">
        <v>0</v>
      </c>
      <c r="AC246" s="47">
        <v>0</v>
      </c>
      <c r="AD246" s="47">
        <v>0</v>
      </c>
      <c r="AE246" s="47">
        <v>0</v>
      </c>
      <c r="AF246" s="47">
        <v>0</v>
      </c>
      <c r="AG246" s="47">
        <v>0</v>
      </c>
      <c r="AH246" s="47">
        <v>0</v>
      </c>
      <c r="AI246" s="47">
        <v>0</v>
      </c>
      <c r="AJ246" s="47">
        <v>1</v>
      </c>
      <c r="AK246" s="47">
        <v>0</v>
      </c>
      <c r="AL246" s="47">
        <v>0</v>
      </c>
      <c r="AM246" s="47">
        <v>0</v>
      </c>
      <c r="AN246" s="47">
        <v>0</v>
      </c>
      <c r="AO246" s="47">
        <v>0</v>
      </c>
      <c r="AP246" s="397"/>
      <c r="AQ246" s="96"/>
    </row>
    <row r="247" spans="1:43" s="327" customFormat="1" ht="27.75" customHeight="1" x14ac:dyDescent="0.25">
      <c r="A247" s="1450" t="s">
        <v>184</v>
      </c>
      <c r="B247" s="780" t="s">
        <v>89</v>
      </c>
      <c r="C247" s="133"/>
      <c r="D247" s="133"/>
      <c r="E247" s="133"/>
      <c r="F247" s="133"/>
      <c r="G247" s="778"/>
      <c r="H247" s="778"/>
      <c r="I247" s="1463" t="s">
        <v>20</v>
      </c>
      <c r="J247" s="886"/>
      <c r="K247" s="3"/>
      <c r="L247" s="3">
        <f>L248</f>
        <v>5195.03</v>
      </c>
      <c r="M247" s="3">
        <f>M248</f>
        <v>0</v>
      </c>
      <c r="N247" s="3">
        <f t="shared" ref="N247:AO248" si="143">N248</f>
        <v>5037.4399999999996</v>
      </c>
      <c r="O247" s="3">
        <f t="shared" si="143"/>
        <v>0</v>
      </c>
      <c r="P247" s="3">
        <v>416.03</v>
      </c>
      <c r="Q247" s="3">
        <v>0</v>
      </c>
      <c r="R247" s="3">
        <f t="shared" si="143"/>
        <v>0</v>
      </c>
      <c r="S247" s="3">
        <f t="shared" si="143"/>
        <v>0</v>
      </c>
      <c r="T247" s="3">
        <f t="shared" si="143"/>
        <v>0</v>
      </c>
      <c r="U247" s="3">
        <f t="shared" si="143"/>
        <v>0</v>
      </c>
      <c r="V247" s="3">
        <f t="shared" si="143"/>
        <v>157.59</v>
      </c>
      <c r="W247" s="3">
        <f t="shared" si="143"/>
        <v>1096.5039999999999</v>
      </c>
      <c r="X247" s="3">
        <f t="shared" si="143"/>
        <v>0</v>
      </c>
      <c r="Y247" s="3">
        <f t="shared" si="143"/>
        <v>0</v>
      </c>
      <c r="Z247" s="3">
        <v>0</v>
      </c>
      <c r="AA247" s="3">
        <v>0</v>
      </c>
      <c r="AB247" s="3">
        <f t="shared" si="143"/>
        <v>0</v>
      </c>
      <c r="AC247" s="3">
        <f t="shared" si="143"/>
        <v>0</v>
      </c>
      <c r="AD247" s="3">
        <f t="shared" si="143"/>
        <v>1096.5039999999999</v>
      </c>
      <c r="AE247" s="3">
        <f t="shared" si="143"/>
        <v>0</v>
      </c>
      <c r="AF247" s="3">
        <f t="shared" si="143"/>
        <v>0</v>
      </c>
      <c r="AG247" s="3">
        <f t="shared" si="143"/>
        <v>0</v>
      </c>
      <c r="AH247" s="3">
        <f t="shared" si="143"/>
        <v>0</v>
      </c>
      <c r="AI247" s="3">
        <f t="shared" si="143"/>
        <v>0</v>
      </c>
      <c r="AJ247" s="3">
        <f t="shared" si="143"/>
        <v>0</v>
      </c>
      <c r="AK247" s="3">
        <f t="shared" si="143"/>
        <v>0</v>
      </c>
      <c r="AL247" s="3">
        <f t="shared" si="143"/>
        <v>0</v>
      </c>
      <c r="AM247" s="3">
        <f t="shared" si="143"/>
        <v>0</v>
      </c>
      <c r="AN247" s="3">
        <f t="shared" si="143"/>
        <v>0</v>
      </c>
      <c r="AO247" s="3">
        <f t="shared" si="143"/>
        <v>0</v>
      </c>
      <c r="AP247" s="633"/>
      <c r="AQ247" s="3">
        <v>0</v>
      </c>
    </row>
    <row r="248" spans="1:43" ht="15.75" hidden="1" customHeight="1" x14ac:dyDescent="0.25">
      <c r="A248" s="1656"/>
      <c r="B248" s="47" t="s">
        <v>15</v>
      </c>
      <c r="C248" s="341"/>
      <c r="D248" s="341"/>
      <c r="E248" s="341"/>
      <c r="F248" s="341"/>
      <c r="G248" s="313"/>
      <c r="H248" s="916"/>
      <c r="I248" s="1465"/>
      <c r="J248" s="901"/>
      <c r="K248" s="4"/>
      <c r="L248" s="47">
        <v>5195.03</v>
      </c>
      <c r="M248" s="50">
        <v>0</v>
      </c>
      <c r="N248" s="50">
        <v>5037.4399999999996</v>
      </c>
      <c r="O248" s="50">
        <v>0</v>
      </c>
      <c r="P248" s="50">
        <v>157.59</v>
      </c>
      <c r="Q248" s="447">
        <f>Q249</f>
        <v>1096.5039999999999</v>
      </c>
      <c r="R248" s="447">
        <f t="shared" si="143"/>
        <v>0</v>
      </c>
      <c r="S248" s="447">
        <f t="shared" si="143"/>
        <v>0</v>
      </c>
      <c r="T248" s="447">
        <f t="shared" si="143"/>
        <v>0</v>
      </c>
      <c r="U248" s="447">
        <f t="shared" si="143"/>
        <v>0</v>
      </c>
      <c r="V248" s="447">
        <f t="shared" si="143"/>
        <v>157.59</v>
      </c>
      <c r="W248" s="447">
        <f t="shared" si="143"/>
        <v>1096.5039999999999</v>
      </c>
      <c r="X248" s="447">
        <f t="shared" si="143"/>
        <v>0</v>
      </c>
      <c r="Y248" s="447">
        <f t="shared" si="143"/>
        <v>0</v>
      </c>
      <c r="Z248" s="584"/>
      <c r="AA248" s="447">
        <f t="shared" si="143"/>
        <v>1096.5039999999999</v>
      </c>
      <c r="AB248" s="447">
        <f t="shared" si="143"/>
        <v>0</v>
      </c>
      <c r="AC248" s="447">
        <f t="shared" si="143"/>
        <v>0</v>
      </c>
      <c r="AD248" s="447">
        <f t="shared" si="143"/>
        <v>1096.5039999999999</v>
      </c>
      <c r="AE248" s="447">
        <f t="shared" si="143"/>
        <v>0</v>
      </c>
      <c r="AF248" s="447">
        <f t="shared" si="143"/>
        <v>0</v>
      </c>
      <c r="AG248" s="447">
        <f t="shared" si="143"/>
        <v>0</v>
      </c>
      <c r="AH248" s="447">
        <f t="shared" si="143"/>
        <v>0</v>
      </c>
      <c r="AI248" s="447">
        <f t="shared" si="143"/>
        <v>0</v>
      </c>
      <c r="AJ248" s="447">
        <v>0</v>
      </c>
      <c r="AK248" s="447">
        <v>0</v>
      </c>
      <c r="AL248" s="447">
        <v>0</v>
      </c>
      <c r="AM248" s="50">
        <v>0</v>
      </c>
      <c r="AN248" s="50">
        <v>0</v>
      </c>
      <c r="AO248" s="50">
        <v>0</v>
      </c>
      <c r="AP248" s="412"/>
      <c r="AQ248" s="584"/>
    </row>
    <row r="249" spans="1:43" s="266" customFormat="1" ht="15.75" hidden="1" customHeight="1" x14ac:dyDescent="0.25">
      <c r="A249" s="1657"/>
      <c r="B249" s="96" t="s">
        <v>323</v>
      </c>
      <c r="C249" s="453"/>
      <c r="D249" s="453"/>
      <c r="E249" s="453"/>
      <c r="F249" s="453"/>
      <c r="G249" s="363"/>
      <c r="H249" s="364"/>
      <c r="I249" s="370"/>
      <c r="J249" s="651"/>
      <c r="K249" s="268"/>
      <c r="L249" s="96"/>
      <c r="M249" s="263"/>
      <c r="N249" s="263"/>
      <c r="O249" s="263"/>
      <c r="P249" s="263"/>
      <c r="Q249" s="584">
        <f>W249</f>
        <v>1096.5039999999999</v>
      </c>
      <c r="R249" s="584"/>
      <c r="S249" s="584"/>
      <c r="T249" s="584"/>
      <c r="U249" s="584"/>
      <c r="V249" s="584">
        <v>157.59</v>
      </c>
      <c r="W249" s="584">
        <v>1096.5039999999999</v>
      </c>
      <c r="X249" s="584"/>
      <c r="Y249" s="584"/>
      <c r="Z249" s="584"/>
      <c r="AA249" s="584">
        <f>AD249</f>
        <v>1096.5039999999999</v>
      </c>
      <c r="AB249" s="584"/>
      <c r="AC249" s="584"/>
      <c r="AD249" s="584">
        <v>1096.5039999999999</v>
      </c>
      <c r="AE249" s="584"/>
      <c r="AF249" s="584"/>
      <c r="AG249" s="584"/>
      <c r="AH249" s="584"/>
      <c r="AI249" s="584"/>
      <c r="AJ249" s="584"/>
      <c r="AK249" s="584"/>
      <c r="AL249" s="584"/>
      <c r="AM249" s="263"/>
      <c r="AN249" s="263"/>
      <c r="AO249" s="263"/>
      <c r="AP249" s="413"/>
      <c r="AQ249" s="584"/>
    </row>
    <row r="250" spans="1:43" s="327" customFormat="1" ht="28.5" customHeight="1" x14ac:dyDescent="0.25">
      <c r="A250" s="1450" t="s">
        <v>185</v>
      </c>
      <c r="B250" s="780" t="s">
        <v>187</v>
      </c>
      <c r="C250" s="133"/>
      <c r="D250" s="133"/>
      <c r="E250" s="133"/>
      <c r="F250" s="133"/>
      <c r="G250" s="778"/>
      <c r="H250" s="778"/>
      <c r="I250" s="1463" t="s">
        <v>20</v>
      </c>
      <c r="J250" s="886"/>
      <c r="K250" s="3"/>
      <c r="L250" s="3">
        <f>L251+L254</f>
        <v>134036.41</v>
      </c>
      <c r="M250" s="3">
        <f t="shared" ref="M250:AO250" si="144">M251+M254</f>
        <v>1825.11</v>
      </c>
      <c r="N250" s="3">
        <f t="shared" si="144"/>
        <v>57476.200000000004</v>
      </c>
      <c r="O250" s="3">
        <f t="shared" si="144"/>
        <v>0</v>
      </c>
      <c r="P250" s="3">
        <f t="shared" si="144"/>
        <v>8907.52</v>
      </c>
      <c r="Q250" s="3">
        <f t="shared" si="144"/>
        <v>0</v>
      </c>
      <c r="R250" s="3">
        <f t="shared" si="144"/>
        <v>0</v>
      </c>
      <c r="S250" s="3">
        <f t="shared" si="144"/>
        <v>0</v>
      </c>
      <c r="T250" s="3">
        <f t="shared" si="144"/>
        <v>0</v>
      </c>
      <c r="U250" s="3">
        <f t="shared" si="144"/>
        <v>0</v>
      </c>
      <c r="V250" s="3">
        <f t="shared" si="144"/>
        <v>0</v>
      </c>
      <c r="W250" s="3">
        <f t="shared" si="144"/>
        <v>0</v>
      </c>
      <c r="X250" s="3">
        <f t="shared" si="144"/>
        <v>0</v>
      </c>
      <c r="Y250" s="3">
        <f t="shared" si="144"/>
        <v>0</v>
      </c>
      <c r="Z250" s="95">
        <v>0</v>
      </c>
      <c r="AA250" s="3">
        <f>AA251+AA254</f>
        <v>0</v>
      </c>
      <c r="AB250" s="3">
        <f t="shared" si="144"/>
        <v>0</v>
      </c>
      <c r="AC250" s="3">
        <f t="shared" si="144"/>
        <v>0</v>
      </c>
      <c r="AD250" s="3">
        <f t="shared" si="144"/>
        <v>0</v>
      </c>
      <c r="AE250" s="3">
        <f t="shared" si="144"/>
        <v>0</v>
      </c>
      <c r="AF250" s="3">
        <f t="shared" si="144"/>
        <v>0</v>
      </c>
      <c r="AG250" s="3">
        <f t="shared" si="144"/>
        <v>0</v>
      </c>
      <c r="AH250" s="3">
        <f t="shared" si="144"/>
        <v>0</v>
      </c>
      <c r="AI250" s="3">
        <f t="shared" si="144"/>
        <v>0</v>
      </c>
      <c r="AJ250" s="3">
        <f t="shared" si="144"/>
        <v>0</v>
      </c>
      <c r="AK250" s="3">
        <f t="shared" si="144"/>
        <v>0</v>
      </c>
      <c r="AL250" s="3">
        <f t="shared" si="144"/>
        <v>0</v>
      </c>
      <c r="AM250" s="3">
        <f t="shared" si="144"/>
        <v>0</v>
      </c>
      <c r="AN250" s="3">
        <f t="shared" si="144"/>
        <v>0</v>
      </c>
      <c r="AO250" s="3">
        <f t="shared" si="144"/>
        <v>0</v>
      </c>
      <c r="AP250" s="633" t="s">
        <v>256</v>
      </c>
      <c r="AQ250" s="95">
        <v>0</v>
      </c>
    </row>
    <row r="251" spans="1:43" ht="15.75" customHeight="1" x14ac:dyDescent="0.25">
      <c r="A251" s="1656"/>
      <c r="B251" s="47" t="s">
        <v>15</v>
      </c>
      <c r="C251" s="341"/>
      <c r="D251" s="341"/>
      <c r="E251" s="341"/>
      <c r="F251" s="341"/>
      <c r="G251" s="313"/>
      <c r="H251" s="916"/>
      <c r="I251" s="1464"/>
      <c r="J251" s="901"/>
      <c r="K251" s="4"/>
      <c r="L251" s="47">
        <v>2401.5100000000002</v>
      </c>
      <c r="M251" s="47">
        <v>1825.11</v>
      </c>
      <c r="N251" s="47">
        <v>576.4</v>
      </c>
      <c r="O251" s="47">
        <v>0</v>
      </c>
      <c r="P251" s="47">
        <v>0</v>
      </c>
      <c r="Q251" s="47">
        <f>SUM(Q252:Q253)</f>
        <v>0</v>
      </c>
      <c r="R251" s="50">
        <f>SUM(R252:R253)</f>
        <v>0</v>
      </c>
      <c r="S251" s="50">
        <f t="shared" ref="S251:Y251" si="145">SUM(S252:S253)</f>
        <v>0</v>
      </c>
      <c r="T251" s="50">
        <f t="shared" si="145"/>
        <v>0</v>
      </c>
      <c r="U251" s="50">
        <f t="shared" si="145"/>
        <v>0</v>
      </c>
      <c r="V251" s="50">
        <f t="shared" si="145"/>
        <v>0</v>
      </c>
      <c r="W251" s="50">
        <f t="shared" si="145"/>
        <v>0</v>
      </c>
      <c r="X251" s="447">
        <f t="shared" si="145"/>
        <v>0</v>
      </c>
      <c r="Y251" s="447">
        <f t="shared" si="145"/>
        <v>0</v>
      </c>
      <c r="Z251" s="584"/>
      <c r="AA251" s="447">
        <f>AA252+AA253</f>
        <v>0</v>
      </c>
      <c r="AB251" s="50">
        <f>AB252+AB253</f>
        <v>0</v>
      </c>
      <c r="AC251" s="50">
        <f>AC252+AC253</f>
        <v>0</v>
      </c>
      <c r="AD251" s="50">
        <f>AD252+AD253</f>
        <v>0</v>
      </c>
      <c r="AE251" s="50">
        <f>AE252</f>
        <v>0</v>
      </c>
      <c r="AF251" s="50">
        <v>0</v>
      </c>
      <c r="AG251" s="50">
        <v>0</v>
      </c>
      <c r="AH251" s="50">
        <v>0</v>
      </c>
      <c r="AI251" s="50">
        <v>0</v>
      </c>
      <c r="AJ251" s="50">
        <v>0</v>
      </c>
      <c r="AK251" s="50">
        <v>0</v>
      </c>
      <c r="AL251" s="50">
        <v>0</v>
      </c>
      <c r="AM251" s="50">
        <v>0</v>
      </c>
      <c r="AN251" s="50">
        <v>0</v>
      </c>
      <c r="AO251" s="50">
        <v>0</v>
      </c>
      <c r="AP251" s="412"/>
      <c r="AQ251" s="584"/>
    </row>
    <row r="252" spans="1:43" s="266" customFormat="1" ht="15.75" hidden="1" customHeight="1" x14ac:dyDescent="0.25">
      <c r="A252" s="1656"/>
      <c r="B252" s="452" t="s">
        <v>267</v>
      </c>
      <c r="C252" s="453"/>
      <c r="D252" s="453"/>
      <c r="E252" s="453"/>
      <c r="F252" s="453"/>
      <c r="G252" s="453"/>
      <c r="H252" s="454"/>
      <c r="I252" s="1464"/>
      <c r="J252" s="651"/>
      <c r="K252" s="268"/>
      <c r="L252" s="96"/>
      <c r="M252" s="268"/>
      <c r="N252" s="268"/>
      <c r="O252" s="268"/>
      <c r="P252" s="268">
        <f>Q252</f>
        <v>0</v>
      </c>
      <c r="Q252" s="455">
        <f>S252+U252+W252</f>
        <v>0</v>
      </c>
      <c r="R252" s="455"/>
      <c r="S252" s="455"/>
      <c r="T252" s="455">
        <v>0</v>
      </c>
      <c r="U252" s="455">
        <v>0</v>
      </c>
      <c r="V252" s="455"/>
      <c r="W252" s="455"/>
      <c r="X252" s="455"/>
      <c r="Y252" s="455"/>
      <c r="Z252" s="455"/>
      <c r="AA252" s="455">
        <f>SUM(AB252:AE252)</f>
        <v>0</v>
      </c>
      <c r="AB252" s="455"/>
      <c r="AC252" s="455">
        <v>0</v>
      </c>
      <c r="AD252" s="455">
        <v>0</v>
      </c>
      <c r="AE252" s="455"/>
      <c r="AF252" s="455"/>
      <c r="AG252" s="455"/>
      <c r="AH252" s="455"/>
      <c r="AI252" s="455"/>
      <c r="AJ252" s="455"/>
      <c r="AK252" s="455"/>
      <c r="AL252" s="455"/>
      <c r="AM252" s="455"/>
      <c r="AN252" s="455"/>
      <c r="AO252" s="455"/>
      <c r="AP252" s="456"/>
      <c r="AQ252" s="455"/>
    </row>
    <row r="253" spans="1:43" s="266" customFormat="1" ht="15.75" hidden="1" customHeight="1" x14ac:dyDescent="0.25">
      <c r="A253" s="1656"/>
      <c r="B253" s="452" t="s">
        <v>271</v>
      </c>
      <c r="C253" s="453"/>
      <c r="D253" s="453"/>
      <c r="E253" s="453"/>
      <c r="F253" s="453"/>
      <c r="G253" s="453"/>
      <c r="H253" s="454"/>
      <c r="I253" s="1464"/>
      <c r="J253" s="651"/>
      <c r="K253" s="268"/>
      <c r="L253" s="96"/>
      <c r="M253" s="268"/>
      <c r="N253" s="268"/>
      <c r="O253" s="268"/>
      <c r="P253" s="268"/>
      <c r="Q253" s="489">
        <f>S253+U253+W253+Y253</f>
        <v>0</v>
      </c>
      <c r="R253" s="489"/>
      <c r="S253" s="489"/>
      <c r="T253" s="489"/>
      <c r="U253" s="489"/>
      <c r="V253" s="489">
        <f>W253</f>
        <v>0</v>
      </c>
      <c r="W253" s="489">
        <v>0</v>
      </c>
      <c r="X253" s="489">
        <f>Y253</f>
        <v>0</v>
      </c>
      <c r="Y253" s="489">
        <v>0</v>
      </c>
      <c r="Z253" s="489"/>
      <c r="AA253" s="489">
        <f>SUM(AB253:AE253)</f>
        <v>0</v>
      </c>
      <c r="AB253" s="489"/>
      <c r="AC253" s="489"/>
      <c r="AD253" s="489">
        <v>0</v>
      </c>
      <c r="AE253" s="455"/>
      <c r="AF253" s="455"/>
      <c r="AG253" s="455"/>
      <c r="AH253" s="455"/>
      <c r="AI253" s="455"/>
      <c r="AJ253" s="455"/>
      <c r="AK253" s="455"/>
      <c r="AL253" s="455"/>
      <c r="AM253" s="455"/>
      <c r="AN253" s="455"/>
      <c r="AO253" s="455"/>
      <c r="AP253" s="456"/>
      <c r="AQ253" s="489"/>
    </row>
    <row r="254" spans="1:43" ht="15.75" customHeight="1" x14ac:dyDescent="0.25">
      <c r="A254" s="1657"/>
      <c r="B254" s="340" t="s">
        <v>32</v>
      </c>
      <c r="C254" s="341"/>
      <c r="D254" s="341"/>
      <c r="E254" s="341"/>
      <c r="F254" s="341"/>
      <c r="G254" s="341"/>
      <c r="H254" s="917"/>
      <c r="I254" s="1662"/>
      <c r="J254" s="901"/>
      <c r="K254" s="4"/>
      <c r="L254" s="47">
        <v>131634.9</v>
      </c>
      <c r="M254" s="343">
        <v>0</v>
      </c>
      <c r="N254" s="47">
        <v>56899.8</v>
      </c>
      <c r="O254" s="343">
        <v>0</v>
      </c>
      <c r="P254" s="47">
        <v>8907.52</v>
      </c>
      <c r="Q254" s="47">
        <v>0</v>
      </c>
      <c r="R254" s="343">
        <v>0</v>
      </c>
      <c r="S254" s="343">
        <v>0</v>
      </c>
      <c r="T254" s="343">
        <v>0</v>
      </c>
      <c r="U254" s="343">
        <v>0</v>
      </c>
      <c r="V254" s="343">
        <v>0</v>
      </c>
      <c r="W254" s="343">
        <v>0</v>
      </c>
      <c r="X254" s="343">
        <v>0</v>
      </c>
      <c r="Y254" s="343">
        <v>0</v>
      </c>
      <c r="Z254" s="455"/>
      <c r="AA254" s="343">
        <v>0</v>
      </c>
      <c r="AB254" s="343">
        <v>0</v>
      </c>
      <c r="AC254" s="343">
        <v>0</v>
      </c>
      <c r="AD254" s="343">
        <v>0</v>
      </c>
      <c r="AE254" s="343">
        <v>0</v>
      </c>
      <c r="AF254" s="343">
        <v>0</v>
      </c>
      <c r="AG254" s="343">
        <v>0</v>
      </c>
      <c r="AH254" s="343">
        <v>0</v>
      </c>
      <c r="AI254" s="343">
        <v>0</v>
      </c>
      <c r="AJ254" s="343">
        <v>0</v>
      </c>
      <c r="AK254" s="343">
        <v>0</v>
      </c>
      <c r="AL254" s="343">
        <v>0</v>
      </c>
      <c r="AM254" s="343">
        <v>0</v>
      </c>
      <c r="AN254" s="343">
        <v>0</v>
      </c>
      <c r="AO254" s="343">
        <v>0</v>
      </c>
      <c r="AP254" s="415"/>
      <c r="AQ254" s="455"/>
    </row>
    <row r="255" spans="1:43" s="327" customFormat="1" ht="27.75" customHeight="1" x14ac:dyDescent="0.25">
      <c r="A255" s="1473" t="s">
        <v>186</v>
      </c>
      <c r="B255" s="780" t="s">
        <v>210</v>
      </c>
      <c r="C255" s="890"/>
      <c r="D255" s="890"/>
      <c r="E255" s="890">
        <v>300</v>
      </c>
      <c r="F255" s="890"/>
      <c r="G255" s="890">
        <v>2019</v>
      </c>
      <c r="H255" s="890">
        <v>2019</v>
      </c>
      <c r="I255" s="1493" t="s">
        <v>20</v>
      </c>
      <c r="J255" s="52">
        <f>K255+L255</f>
        <v>27019.38</v>
      </c>
      <c r="K255" s="3">
        <v>0</v>
      </c>
      <c r="L255" s="3">
        <f>L256</f>
        <v>27019.38</v>
      </c>
      <c r="M255" s="3">
        <f>M256</f>
        <v>27019.38</v>
      </c>
      <c r="N255" s="318">
        <v>0</v>
      </c>
      <c r="O255" s="318">
        <v>0</v>
      </c>
      <c r="P255" s="318">
        <f>P256</f>
        <v>0</v>
      </c>
      <c r="Q255" s="318">
        <f>Q256</f>
        <v>0</v>
      </c>
      <c r="R255" s="318">
        <f t="shared" ref="R255:AO256" si="146">R256</f>
        <v>0</v>
      </c>
      <c r="S255" s="318">
        <f t="shared" si="146"/>
        <v>0</v>
      </c>
      <c r="T255" s="318">
        <f t="shared" si="146"/>
        <v>0</v>
      </c>
      <c r="U255" s="318">
        <f t="shared" si="146"/>
        <v>0</v>
      </c>
      <c r="V255" s="318">
        <f t="shared" si="146"/>
        <v>0</v>
      </c>
      <c r="W255" s="318">
        <f t="shared" si="146"/>
        <v>0</v>
      </c>
      <c r="X255" s="318">
        <f t="shared" si="146"/>
        <v>0</v>
      </c>
      <c r="Y255" s="318">
        <f t="shared" si="146"/>
        <v>0</v>
      </c>
      <c r="Z255" s="372">
        <v>0</v>
      </c>
      <c r="AA255" s="318">
        <f t="shared" si="146"/>
        <v>0</v>
      </c>
      <c r="AB255" s="318">
        <f t="shared" si="146"/>
        <v>0</v>
      </c>
      <c r="AC255" s="318">
        <f t="shared" si="146"/>
        <v>0</v>
      </c>
      <c r="AD255" s="318">
        <f t="shared" si="146"/>
        <v>0</v>
      </c>
      <c r="AE255" s="318">
        <f t="shared" si="146"/>
        <v>0</v>
      </c>
      <c r="AF255" s="318">
        <f t="shared" si="146"/>
        <v>0</v>
      </c>
      <c r="AG255" s="318">
        <f t="shared" si="146"/>
        <v>0</v>
      </c>
      <c r="AH255" s="318">
        <f t="shared" si="146"/>
        <v>0</v>
      </c>
      <c r="AI255" s="318">
        <f t="shared" si="146"/>
        <v>0</v>
      </c>
      <c r="AJ255" s="318">
        <f t="shared" si="146"/>
        <v>0</v>
      </c>
      <c r="AK255" s="318">
        <f t="shared" si="146"/>
        <v>0</v>
      </c>
      <c r="AL255" s="318">
        <f t="shared" si="146"/>
        <v>0</v>
      </c>
      <c r="AM255" s="318">
        <f t="shared" si="146"/>
        <v>0</v>
      </c>
      <c r="AN255" s="318">
        <f t="shared" si="146"/>
        <v>0</v>
      </c>
      <c r="AO255" s="318">
        <f t="shared" si="146"/>
        <v>0</v>
      </c>
      <c r="AP255" s="783" t="s">
        <v>273</v>
      </c>
      <c r="AQ255" s="372">
        <v>0</v>
      </c>
    </row>
    <row r="256" spans="1:43" ht="19.5" hidden="1" customHeight="1" x14ac:dyDescent="0.25">
      <c r="A256" s="1663"/>
      <c r="B256" s="1" t="s">
        <v>211</v>
      </c>
      <c r="C256" s="885"/>
      <c r="D256" s="885"/>
      <c r="E256" s="885"/>
      <c r="F256" s="885"/>
      <c r="G256" s="885"/>
      <c r="H256" s="885"/>
      <c r="I256" s="1494"/>
      <c r="J256" s="6"/>
      <c r="K256" s="47"/>
      <c r="L256" s="47">
        <v>27019.38</v>
      </c>
      <c r="M256" s="47">
        <v>27019.38</v>
      </c>
      <c r="N256" s="47">
        <v>0</v>
      </c>
      <c r="O256" s="47">
        <v>0</v>
      </c>
      <c r="P256" s="4">
        <v>0</v>
      </c>
      <c r="Q256" s="4">
        <f>Q257</f>
        <v>0</v>
      </c>
      <c r="R256" s="4">
        <f t="shared" si="146"/>
        <v>0</v>
      </c>
      <c r="S256" s="4">
        <f t="shared" si="146"/>
        <v>0</v>
      </c>
      <c r="T256" s="4">
        <f t="shared" si="146"/>
        <v>0</v>
      </c>
      <c r="U256" s="4">
        <f t="shared" si="146"/>
        <v>0</v>
      </c>
      <c r="V256" s="4">
        <f t="shared" si="146"/>
        <v>0</v>
      </c>
      <c r="W256" s="4">
        <f t="shared" si="146"/>
        <v>0</v>
      </c>
      <c r="X256" s="4">
        <v>0</v>
      </c>
      <c r="Y256" s="4">
        <f t="shared" si="146"/>
        <v>0</v>
      </c>
      <c r="Z256" s="268"/>
      <c r="AA256" s="4">
        <f t="shared" si="146"/>
        <v>0</v>
      </c>
      <c r="AB256" s="4">
        <f t="shared" si="146"/>
        <v>0</v>
      </c>
      <c r="AC256" s="4">
        <f t="shared" si="146"/>
        <v>0</v>
      </c>
      <c r="AD256" s="4">
        <f t="shared" si="146"/>
        <v>0</v>
      </c>
      <c r="AE256" s="4">
        <f t="shared" si="146"/>
        <v>0</v>
      </c>
      <c r="AF256" s="4">
        <f>AF257</f>
        <v>0</v>
      </c>
      <c r="AG256" s="4">
        <f t="shared" si="146"/>
        <v>0</v>
      </c>
      <c r="AH256" s="4">
        <f t="shared" si="146"/>
        <v>0</v>
      </c>
      <c r="AI256" s="4">
        <f t="shared" si="146"/>
        <v>0</v>
      </c>
      <c r="AJ256" s="4">
        <f t="shared" si="146"/>
        <v>0</v>
      </c>
      <c r="AK256" s="4">
        <f t="shared" si="146"/>
        <v>0</v>
      </c>
      <c r="AL256" s="4">
        <f t="shared" si="146"/>
        <v>0</v>
      </c>
      <c r="AM256" s="4">
        <f t="shared" si="146"/>
        <v>0</v>
      </c>
      <c r="AN256" s="4">
        <f t="shared" si="146"/>
        <v>0</v>
      </c>
      <c r="AO256" s="4">
        <f t="shared" si="146"/>
        <v>0</v>
      </c>
      <c r="AP256" s="417"/>
      <c r="AQ256" s="268"/>
    </row>
    <row r="257" spans="1:43" s="266" customFormat="1" ht="15.75" hidden="1" x14ac:dyDescent="0.25">
      <c r="A257" s="267"/>
      <c r="B257" s="102" t="s">
        <v>253</v>
      </c>
      <c r="C257" s="104"/>
      <c r="D257" s="104"/>
      <c r="E257" s="104"/>
      <c r="F257" s="104"/>
      <c r="G257" s="104"/>
      <c r="H257" s="104"/>
      <c r="I257" s="102"/>
      <c r="J257" s="106"/>
      <c r="K257" s="96"/>
      <c r="L257" s="96"/>
      <c r="M257" s="268"/>
      <c r="N257" s="268"/>
      <c r="O257" s="268"/>
      <c r="P257" s="268">
        <f>Q257</f>
        <v>0</v>
      </c>
      <c r="Q257" s="268">
        <f>S257+U257+W257</f>
        <v>0</v>
      </c>
      <c r="R257" s="268">
        <f>S257</f>
        <v>0</v>
      </c>
      <c r="S257" s="268">
        <v>0</v>
      </c>
      <c r="T257" s="268">
        <v>0</v>
      </c>
      <c r="U257" s="268">
        <v>0</v>
      </c>
      <c r="V257" s="268">
        <f>W257</f>
        <v>0</v>
      </c>
      <c r="W257" s="268">
        <v>0</v>
      </c>
      <c r="X257" s="268">
        <v>0</v>
      </c>
      <c r="Y257" s="268">
        <v>0</v>
      </c>
      <c r="Z257" s="268"/>
      <c r="AA257" s="268">
        <f>SUM(AB257:AC257)</f>
        <v>0</v>
      </c>
      <c r="AB257" s="268">
        <v>0</v>
      </c>
      <c r="AC257" s="268">
        <v>0</v>
      </c>
      <c r="AD257" s="268">
        <v>0</v>
      </c>
      <c r="AE257" s="268"/>
      <c r="AF257" s="268">
        <f>SUM(AG257:AI257)</f>
        <v>0</v>
      </c>
      <c r="AG257" s="268"/>
      <c r="AH257" s="268">
        <v>0</v>
      </c>
      <c r="AI257" s="268">
        <v>0</v>
      </c>
      <c r="AJ257" s="268"/>
      <c r="AK257" s="96"/>
      <c r="AL257" s="96"/>
      <c r="AM257" s="96"/>
      <c r="AN257" s="268"/>
      <c r="AO257" s="268"/>
      <c r="AP257" s="418"/>
      <c r="AQ257" s="268"/>
    </row>
    <row r="258" spans="1:43" s="327" customFormat="1" ht="40.5" customHeight="1" x14ac:dyDescent="0.25">
      <c r="A258" s="832" t="s">
        <v>188</v>
      </c>
      <c r="B258" s="780" t="s">
        <v>289</v>
      </c>
      <c r="C258" s="890">
        <v>63</v>
      </c>
      <c r="D258" s="890">
        <v>250</v>
      </c>
      <c r="E258" s="890">
        <v>250</v>
      </c>
      <c r="F258" s="890"/>
      <c r="G258" s="890">
        <v>2019</v>
      </c>
      <c r="H258" s="890">
        <v>2019</v>
      </c>
      <c r="I258" s="780"/>
      <c r="J258" s="52">
        <f>K258+L258</f>
        <v>36691.870000000003</v>
      </c>
      <c r="K258" s="3">
        <v>0</v>
      </c>
      <c r="L258" s="3">
        <f>L259+L262+L263</f>
        <v>36691.870000000003</v>
      </c>
      <c r="M258" s="3">
        <f>M259+M262+M263</f>
        <v>31392.57</v>
      </c>
      <c r="N258" s="3">
        <f>N259+N262+N263</f>
        <v>33892.57</v>
      </c>
      <c r="O258" s="3">
        <f>O259+O262+O263</f>
        <v>33892.57</v>
      </c>
      <c r="P258" s="3">
        <f>P259+P262+P263</f>
        <v>0</v>
      </c>
      <c r="Q258" s="3">
        <f>Q259+Q263</f>
        <v>0</v>
      </c>
      <c r="R258" s="3">
        <f t="shared" ref="R258:AI258" si="147">R259+R263</f>
        <v>138.15199999999999</v>
      </c>
      <c r="S258" s="3">
        <f t="shared" si="147"/>
        <v>138.15199999999999</v>
      </c>
      <c r="T258" s="3">
        <f t="shared" si="147"/>
        <v>2350</v>
      </c>
      <c r="U258" s="3">
        <f t="shared" si="147"/>
        <v>2350</v>
      </c>
      <c r="V258" s="3">
        <f t="shared" si="147"/>
        <v>28677.305</v>
      </c>
      <c r="W258" s="3">
        <f t="shared" si="147"/>
        <v>28677.305</v>
      </c>
      <c r="X258" s="3">
        <f t="shared" si="147"/>
        <v>0</v>
      </c>
      <c r="Y258" s="3">
        <f t="shared" si="147"/>
        <v>0</v>
      </c>
      <c r="Z258" s="3">
        <f t="shared" si="147"/>
        <v>0</v>
      </c>
      <c r="AA258" s="3">
        <f t="shared" si="147"/>
        <v>0</v>
      </c>
      <c r="AB258" s="3">
        <f t="shared" si="147"/>
        <v>0</v>
      </c>
      <c r="AC258" s="3">
        <f t="shared" si="147"/>
        <v>17468.748</v>
      </c>
      <c r="AD258" s="3">
        <f t="shared" si="147"/>
        <v>19862.373</v>
      </c>
      <c r="AE258" s="3">
        <f t="shared" si="147"/>
        <v>0</v>
      </c>
      <c r="AF258" s="3">
        <f t="shared" si="147"/>
        <v>0</v>
      </c>
      <c r="AG258" s="3">
        <f t="shared" si="147"/>
        <v>0</v>
      </c>
      <c r="AH258" s="3">
        <f t="shared" si="147"/>
        <v>0</v>
      </c>
      <c r="AI258" s="3">
        <f t="shared" si="147"/>
        <v>0</v>
      </c>
      <c r="AJ258" s="3">
        <v>0</v>
      </c>
      <c r="AK258" s="3">
        <f>P258-Q258</f>
        <v>0</v>
      </c>
      <c r="AL258" s="3">
        <f>AK258</f>
        <v>0</v>
      </c>
      <c r="AM258" s="318" t="e">
        <f>ROUND((Q258*100%/P258*100),2)</f>
        <v>#DIV/0!</v>
      </c>
      <c r="AN258" s="3">
        <v>0</v>
      </c>
      <c r="AO258" s="3">
        <v>0</v>
      </c>
      <c r="AP258" s="633"/>
      <c r="AQ258" s="95">
        <f>76.182+4641.965+15.332</f>
        <v>4733.4790000000003</v>
      </c>
    </row>
    <row r="259" spans="1:43" ht="33.75" x14ac:dyDescent="0.25">
      <c r="A259" s="887"/>
      <c r="B259" s="47" t="s">
        <v>15</v>
      </c>
      <c r="C259" s="885"/>
      <c r="D259" s="885"/>
      <c r="E259" s="885"/>
      <c r="F259" s="885"/>
      <c r="G259" s="885"/>
      <c r="H259" s="885"/>
      <c r="I259" s="481" t="s">
        <v>20</v>
      </c>
      <c r="J259" s="462"/>
      <c r="K259" s="47"/>
      <c r="L259" s="47">
        <v>2799.3</v>
      </c>
      <c r="M259" s="4"/>
      <c r="N259" s="4">
        <v>0</v>
      </c>
      <c r="O259" s="4"/>
      <c r="P259" s="4">
        <v>0</v>
      </c>
      <c r="Q259" s="4">
        <v>0</v>
      </c>
      <c r="R259" s="4">
        <f t="shared" ref="R259:AE259" si="148">SUM(R260:R261)</f>
        <v>138.15199999999999</v>
      </c>
      <c r="S259" s="4">
        <f t="shared" si="148"/>
        <v>138.15199999999999</v>
      </c>
      <c r="T259" s="4">
        <f t="shared" si="148"/>
        <v>2350</v>
      </c>
      <c r="U259" s="4">
        <f t="shared" si="148"/>
        <v>2350</v>
      </c>
      <c r="V259" s="4">
        <f t="shared" si="148"/>
        <v>0</v>
      </c>
      <c r="W259" s="4">
        <f t="shared" si="148"/>
        <v>0</v>
      </c>
      <c r="X259" s="4">
        <f t="shared" si="148"/>
        <v>0</v>
      </c>
      <c r="Y259" s="4">
        <f t="shared" si="148"/>
        <v>0</v>
      </c>
      <c r="Z259" s="268"/>
      <c r="AA259" s="4">
        <v>0</v>
      </c>
      <c r="AB259" s="4">
        <f t="shared" si="148"/>
        <v>0</v>
      </c>
      <c r="AC259" s="4">
        <f t="shared" si="148"/>
        <v>2488.15</v>
      </c>
      <c r="AD259" s="4">
        <f t="shared" si="148"/>
        <v>0</v>
      </c>
      <c r="AE259" s="4">
        <f t="shared" si="148"/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7">
        <v>0</v>
      </c>
      <c r="AL259" s="47">
        <v>0</v>
      </c>
      <c r="AM259" s="47">
        <v>0</v>
      </c>
      <c r="AN259" s="4">
        <v>0</v>
      </c>
      <c r="AO259" s="4">
        <v>0</v>
      </c>
      <c r="AP259" s="876"/>
      <c r="AQ259" s="268"/>
    </row>
    <row r="260" spans="1:43" s="266" customFormat="1" ht="15.75" hidden="1" x14ac:dyDescent="0.25">
      <c r="A260" s="267"/>
      <c r="B260" s="102" t="s">
        <v>303</v>
      </c>
      <c r="C260" s="104"/>
      <c r="D260" s="104"/>
      <c r="E260" s="104"/>
      <c r="F260" s="104"/>
      <c r="G260" s="104"/>
      <c r="H260" s="104"/>
      <c r="I260" s="102"/>
      <c r="J260" s="106"/>
      <c r="K260" s="96"/>
      <c r="L260" s="96"/>
      <c r="M260" s="268"/>
      <c r="N260" s="268"/>
      <c r="O260" s="268"/>
      <c r="P260" s="268">
        <f>R260+T260</f>
        <v>138.15199999999999</v>
      </c>
      <c r="Q260" s="268">
        <f>S260</f>
        <v>138.15199999999999</v>
      </c>
      <c r="R260" s="268">
        <f>S260</f>
        <v>138.15199999999999</v>
      </c>
      <c r="S260" s="268">
        <v>138.15199999999999</v>
      </c>
      <c r="T260" s="268">
        <f>U260</f>
        <v>0</v>
      </c>
      <c r="U260" s="268">
        <v>0</v>
      </c>
      <c r="V260" s="268"/>
      <c r="W260" s="268"/>
      <c r="X260" s="268"/>
      <c r="Y260" s="268">
        <v>0</v>
      </c>
      <c r="Z260" s="268"/>
      <c r="AA260" s="268">
        <f>AC260</f>
        <v>138.15</v>
      </c>
      <c r="AB260" s="268">
        <v>0</v>
      </c>
      <c r="AC260" s="268">
        <v>138.15</v>
      </c>
      <c r="AD260" s="268"/>
      <c r="AE260" s="268">
        <v>0</v>
      </c>
      <c r="AF260" s="268"/>
      <c r="AG260" s="268"/>
      <c r="AH260" s="268"/>
      <c r="AI260" s="268"/>
      <c r="AJ260" s="268"/>
      <c r="AK260" s="47">
        <v>0</v>
      </c>
      <c r="AL260" s="47">
        <v>0</v>
      </c>
      <c r="AM260" s="47">
        <v>0</v>
      </c>
      <c r="AN260" s="4">
        <v>0</v>
      </c>
      <c r="AO260" s="4">
        <v>0</v>
      </c>
      <c r="AP260" s="418"/>
      <c r="AQ260" s="268"/>
    </row>
    <row r="261" spans="1:43" s="266" customFormat="1" ht="15.75" hidden="1" x14ac:dyDescent="0.25">
      <c r="A261" s="490"/>
      <c r="B261" s="102" t="s">
        <v>311</v>
      </c>
      <c r="C261" s="104"/>
      <c r="D261" s="104"/>
      <c r="E261" s="104"/>
      <c r="F261" s="104"/>
      <c r="G261" s="104"/>
      <c r="H261" s="104"/>
      <c r="I261" s="92"/>
      <c r="J261" s="442"/>
      <c r="K261" s="96"/>
      <c r="L261" s="96"/>
      <c r="M261" s="268"/>
      <c r="N261" s="268"/>
      <c r="O261" s="268"/>
      <c r="P261" s="268"/>
      <c r="Q261" s="268">
        <f>Y261+U261</f>
        <v>2350</v>
      </c>
      <c r="R261" s="268"/>
      <c r="S261" s="268"/>
      <c r="T261" s="268">
        <f>U261</f>
        <v>2350</v>
      </c>
      <c r="U261" s="268">
        <v>2350</v>
      </c>
      <c r="V261" s="268"/>
      <c r="W261" s="268"/>
      <c r="X261" s="268"/>
      <c r="Y261" s="268">
        <v>0</v>
      </c>
      <c r="Z261" s="268"/>
      <c r="AA261" s="268">
        <f>AI261+AE261</f>
        <v>0</v>
      </c>
      <c r="AB261" s="268"/>
      <c r="AC261" s="268">
        <v>2350</v>
      </c>
      <c r="AD261" s="268"/>
      <c r="AE261" s="268">
        <v>0</v>
      </c>
      <c r="AF261" s="268"/>
      <c r="AG261" s="268"/>
      <c r="AH261" s="268"/>
      <c r="AI261" s="268"/>
      <c r="AJ261" s="268"/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418"/>
      <c r="AQ261" s="268"/>
    </row>
    <row r="262" spans="1:43" ht="15.75" x14ac:dyDescent="0.25">
      <c r="A262" s="887"/>
      <c r="B262" s="47" t="s">
        <v>15</v>
      </c>
      <c r="C262" s="885"/>
      <c r="D262" s="885"/>
      <c r="E262" s="885"/>
      <c r="F262" s="885"/>
      <c r="G262" s="885"/>
      <c r="H262" s="885"/>
      <c r="I262" s="1493" t="s">
        <v>10</v>
      </c>
      <c r="J262" s="462"/>
      <c r="K262" s="47"/>
      <c r="L262" s="47">
        <v>2500</v>
      </c>
      <c r="M262" s="4"/>
      <c r="N262" s="4">
        <v>2500</v>
      </c>
      <c r="O262" s="4">
        <v>2500</v>
      </c>
      <c r="P262" s="4">
        <v>0</v>
      </c>
      <c r="Q262" s="4">
        <v>0</v>
      </c>
      <c r="R262" s="4">
        <v>0</v>
      </c>
      <c r="S262" s="4">
        <v>0</v>
      </c>
      <c r="T262" s="4"/>
      <c r="U262" s="4"/>
      <c r="V262" s="4"/>
      <c r="W262" s="4"/>
      <c r="X262" s="4"/>
      <c r="Y262" s="4"/>
      <c r="Z262" s="268"/>
      <c r="AA262" s="4">
        <v>0</v>
      </c>
      <c r="AB262" s="4">
        <v>0</v>
      </c>
      <c r="AC262" s="4"/>
      <c r="AD262" s="4"/>
      <c r="AE262" s="4"/>
      <c r="AF262" s="4">
        <v>0</v>
      </c>
      <c r="AG262" s="4">
        <v>0</v>
      </c>
      <c r="AH262" s="4"/>
      <c r="AI262" s="4"/>
      <c r="AJ262" s="4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7"/>
      <c r="AQ262" s="268"/>
    </row>
    <row r="263" spans="1:43" ht="15.75" x14ac:dyDescent="0.25">
      <c r="A263" s="887"/>
      <c r="B263" s="1" t="s">
        <v>16</v>
      </c>
      <c r="C263" s="885"/>
      <c r="D263" s="885"/>
      <c r="E263" s="885"/>
      <c r="F263" s="885"/>
      <c r="G263" s="885"/>
      <c r="H263" s="885"/>
      <c r="I263" s="1494"/>
      <c r="J263" s="462"/>
      <c r="K263" s="47"/>
      <c r="L263" s="47">
        <v>31392.57</v>
      </c>
      <c r="M263" s="47">
        <v>31392.57</v>
      </c>
      <c r="N263" s="47">
        <v>31392.57</v>
      </c>
      <c r="O263" s="47">
        <v>31392.57</v>
      </c>
      <c r="P263" s="47">
        <v>0</v>
      </c>
      <c r="Q263" s="4">
        <v>0</v>
      </c>
      <c r="R263" s="4">
        <f t="shared" ref="R263:AI263" si="149">R264</f>
        <v>0</v>
      </c>
      <c r="S263" s="4">
        <f t="shared" si="149"/>
        <v>0</v>
      </c>
      <c r="T263" s="4">
        <f t="shared" si="149"/>
        <v>0</v>
      </c>
      <c r="U263" s="4">
        <f t="shared" si="149"/>
        <v>0</v>
      </c>
      <c r="V263" s="4">
        <f t="shared" si="149"/>
        <v>28677.305</v>
      </c>
      <c r="W263" s="4">
        <f t="shared" si="149"/>
        <v>28677.305</v>
      </c>
      <c r="X263" s="4">
        <f t="shared" si="149"/>
        <v>0</v>
      </c>
      <c r="Y263" s="4">
        <f t="shared" si="149"/>
        <v>0</v>
      </c>
      <c r="Z263" s="268"/>
      <c r="AA263" s="4">
        <v>0</v>
      </c>
      <c r="AB263" s="4">
        <f t="shared" si="149"/>
        <v>0</v>
      </c>
      <c r="AC263" s="4">
        <f t="shared" si="149"/>
        <v>14980.598</v>
      </c>
      <c r="AD263" s="4">
        <f t="shared" si="149"/>
        <v>19862.373</v>
      </c>
      <c r="AE263" s="4">
        <f t="shared" si="149"/>
        <v>0</v>
      </c>
      <c r="AF263" s="4">
        <f t="shared" si="149"/>
        <v>0</v>
      </c>
      <c r="AG263" s="4">
        <f t="shared" si="149"/>
        <v>0</v>
      </c>
      <c r="AH263" s="4">
        <f t="shared" si="149"/>
        <v>0</v>
      </c>
      <c r="AI263" s="4">
        <f t="shared" si="149"/>
        <v>0</v>
      </c>
      <c r="AJ263" s="4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7"/>
      <c r="AQ263" s="268"/>
    </row>
    <row r="264" spans="1:43" s="266" customFormat="1" ht="15.75" hidden="1" x14ac:dyDescent="0.25">
      <c r="A264" s="490"/>
      <c r="B264" s="102" t="s">
        <v>316</v>
      </c>
      <c r="C264" s="104"/>
      <c r="D264" s="104"/>
      <c r="E264" s="104"/>
      <c r="F264" s="104"/>
      <c r="G264" s="104"/>
      <c r="H264" s="104"/>
      <c r="I264" s="575"/>
      <c r="J264" s="442"/>
      <c r="K264" s="96"/>
      <c r="L264" s="96"/>
      <c r="M264" s="268"/>
      <c r="N264" s="268"/>
      <c r="O264" s="268"/>
      <c r="P264" s="268"/>
      <c r="Q264" s="268">
        <f>W264</f>
        <v>28677.305</v>
      </c>
      <c r="R264" s="268"/>
      <c r="S264" s="268"/>
      <c r="T264" s="268"/>
      <c r="U264" s="268"/>
      <c r="V264" s="268">
        <f>W264</f>
        <v>28677.305</v>
      </c>
      <c r="W264" s="268">
        <v>28677.305</v>
      </c>
      <c r="X264" s="268"/>
      <c r="Y264" s="268"/>
      <c r="Z264" s="268"/>
      <c r="AA264" s="268">
        <f>AC264+AD264</f>
        <v>34842.970999999998</v>
      </c>
      <c r="AB264" s="268"/>
      <c r="AC264" s="268">
        <v>14980.598</v>
      </c>
      <c r="AD264" s="268">
        <v>19862.373</v>
      </c>
      <c r="AE264" s="268"/>
      <c r="AF264" s="268"/>
      <c r="AG264" s="268"/>
      <c r="AH264" s="268"/>
      <c r="AI264" s="268"/>
      <c r="AJ264" s="268"/>
      <c r="AK264" s="96"/>
      <c r="AL264" s="96"/>
      <c r="AM264" s="96"/>
      <c r="AN264" s="268"/>
      <c r="AO264" s="268"/>
      <c r="AP264" s="418"/>
      <c r="AQ264" s="268"/>
    </row>
    <row r="265" spans="1:43" s="327" customFormat="1" ht="18.75" customHeight="1" x14ac:dyDescent="0.25">
      <c r="A265" s="1358" t="s">
        <v>189</v>
      </c>
      <c r="B265" s="609" t="s">
        <v>35</v>
      </c>
      <c r="C265" s="1661">
        <v>500</v>
      </c>
      <c r="D265" s="1661" t="s">
        <v>43</v>
      </c>
      <c r="E265" s="1661">
        <v>850</v>
      </c>
      <c r="F265" s="1660">
        <v>20400</v>
      </c>
      <c r="G265" s="807"/>
      <c r="H265" s="807"/>
      <c r="I265" s="1326" t="s">
        <v>20</v>
      </c>
      <c r="J265" s="1622">
        <v>6942.46</v>
      </c>
      <c r="K265" s="3">
        <v>0</v>
      </c>
      <c r="L265" s="3">
        <f>L266</f>
        <v>6462.97</v>
      </c>
      <c r="M265" s="318">
        <f>M266</f>
        <v>0</v>
      </c>
      <c r="N265" s="318">
        <f>N266</f>
        <v>0</v>
      </c>
      <c r="O265" s="318">
        <f>O266</f>
        <v>6942.46</v>
      </c>
      <c r="P265" s="318">
        <v>0</v>
      </c>
      <c r="Q265" s="318">
        <v>0</v>
      </c>
      <c r="R265" s="318">
        <v>0</v>
      </c>
      <c r="S265" s="318">
        <v>0</v>
      </c>
      <c r="T265" s="318">
        <v>0</v>
      </c>
      <c r="U265" s="318">
        <v>0</v>
      </c>
      <c r="V265" s="318">
        <v>0</v>
      </c>
      <c r="W265" s="318">
        <v>0</v>
      </c>
      <c r="X265" s="318">
        <v>0</v>
      </c>
      <c r="Y265" s="318">
        <v>0</v>
      </c>
      <c r="Z265" s="372">
        <v>0</v>
      </c>
      <c r="AA265" s="318">
        <v>0</v>
      </c>
      <c r="AB265" s="318">
        <v>0</v>
      </c>
      <c r="AC265" s="318">
        <v>0</v>
      </c>
      <c r="AD265" s="318">
        <v>0</v>
      </c>
      <c r="AE265" s="318">
        <v>0</v>
      </c>
      <c r="AF265" s="318">
        <v>0</v>
      </c>
      <c r="AG265" s="318">
        <v>0</v>
      </c>
      <c r="AH265" s="318">
        <v>0</v>
      </c>
      <c r="AI265" s="318">
        <v>0</v>
      </c>
      <c r="AJ265" s="318">
        <v>0</v>
      </c>
      <c r="AK265" s="3">
        <f>P265-Q265</f>
        <v>0</v>
      </c>
      <c r="AL265" s="3">
        <f>AK265</f>
        <v>0</v>
      </c>
      <c r="AM265" s="3">
        <v>0</v>
      </c>
      <c r="AN265" s="318">
        <v>0</v>
      </c>
      <c r="AO265" s="318">
        <v>0</v>
      </c>
      <c r="AP265" s="833"/>
      <c r="AQ265" s="372">
        <v>0</v>
      </c>
    </row>
    <row r="266" spans="1:43" ht="15" hidden="1" customHeight="1" x14ac:dyDescent="0.25">
      <c r="A266" s="1361"/>
      <c r="B266" s="1" t="s">
        <v>15</v>
      </c>
      <c r="C266" s="1661"/>
      <c r="D266" s="1661"/>
      <c r="E266" s="1661"/>
      <c r="F266" s="1661"/>
      <c r="G266" s="885">
        <v>2021</v>
      </c>
      <c r="H266" s="885">
        <v>2021</v>
      </c>
      <c r="I266" s="1328"/>
      <c r="J266" s="1624"/>
      <c r="K266" s="47"/>
      <c r="L266" s="47">
        <v>6462.97</v>
      </c>
      <c r="M266" s="47">
        <v>0</v>
      </c>
      <c r="N266" s="47">
        <v>0</v>
      </c>
      <c r="O266" s="47">
        <v>6942.46</v>
      </c>
      <c r="P266" s="47">
        <v>6462.97</v>
      </c>
      <c r="Q266" s="47">
        <v>0</v>
      </c>
      <c r="R266" s="47">
        <v>0</v>
      </c>
      <c r="S266" s="47">
        <v>0</v>
      </c>
      <c r="T266" s="47">
        <v>0</v>
      </c>
      <c r="U266" s="47">
        <v>0</v>
      </c>
      <c r="V266" s="47">
        <v>0</v>
      </c>
      <c r="W266" s="47">
        <v>0</v>
      </c>
      <c r="X266" s="47">
        <v>0</v>
      </c>
      <c r="Y266" s="47">
        <v>0</v>
      </c>
      <c r="Z266" s="96"/>
      <c r="AA266" s="47">
        <v>0</v>
      </c>
      <c r="AB266" s="47">
        <v>0</v>
      </c>
      <c r="AC266" s="47">
        <v>0</v>
      </c>
      <c r="AD266" s="47">
        <v>0</v>
      </c>
      <c r="AE266" s="47">
        <v>0</v>
      </c>
      <c r="AF266" s="47">
        <v>0</v>
      </c>
      <c r="AG266" s="47">
        <v>0</v>
      </c>
      <c r="AH266" s="47">
        <v>0</v>
      </c>
      <c r="AI266" s="47">
        <v>0</v>
      </c>
      <c r="AJ266" s="47">
        <v>0</v>
      </c>
      <c r="AK266" s="47">
        <v>0</v>
      </c>
      <c r="AL266" s="47">
        <v>0</v>
      </c>
      <c r="AM266" s="47">
        <v>0</v>
      </c>
      <c r="AN266" s="47">
        <v>0</v>
      </c>
      <c r="AO266" s="47">
        <v>0</v>
      </c>
      <c r="AP266" s="419"/>
      <c r="AQ266" s="96"/>
    </row>
    <row r="267" spans="1:43" s="327" customFormat="1" ht="28.5" customHeight="1" x14ac:dyDescent="0.25">
      <c r="A267" s="1358" t="s">
        <v>190</v>
      </c>
      <c r="B267" s="780" t="s">
        <v>191</v>
      </c>
      <c r="C267" s="1660"/>
      <c r="D267" s="1660"/>
      <c r="E267" s="1660"/>
      <c r="F267" s="1660">
        <v>80</v>
      </c>
      <c r="G267" s="807"/>
      <c r="H267" s="807"/>
      <c r="I267" s="1326" t="s">
        <v>20</v>
      </c>
      <c r="J267" s="52">
        <f>L267</f>
        <v>45265.81</v>
      </c>
      <c r="K267" s="52"/>
      <c r="L267" s="3">
        <f t="shared" ref="L267:AO267" si="150">L268+L270</f>
        <v>45265.81</v>
      </c>
      <c r="M267" s="3">
        <f t="shared" si="150"/>
        <v>33.479999999999997</v>
      </c>
      <c r="N267" s="3">
        <f t="shared" si="150"/>
        <v>7044.44</v>
      </c>
      <c r="O267" s="3">
        <f t="shared" si="150"/>
        <v>11467.37</v>
      </c>
      <c r="P267" s="3">
        <f t="shared" si="150"/>
        <v>40219.919999999998</v>
      </c>
      <c r="Q267" s="3">
        <f t="shared" si="150"/>
        <v>0</v>
      </c>
      <c r="R267" s="3">
        <f t="shared" si="150"/>
        <v>0</v>
      </c>
      <c r="S267" s="3">
        <f t="shared" si="150"/>
        <v>0</v>
      </c>
      <c r="T267" s="3">
        <f t="shared" si="150"/>
        <v>27</v>
      </c>
      <c r="U267" s="3">
        <f t="shared" si="150"/>
        <v>27</v>
      </c>
      <c r="V267" s="3">
        <f t="shared" si="150"/>
        <v>0</v>
      </c>
      <c r="W267" s="3">
        <f t="shared" si="150"/>
        <v>0</v>
      </c>
      <c r="X267" s="3">
        <f t="shared" si="150"/>
        <v>0</v>
      </c>
      <c r="Y267" s="3">
        <f t="shared" si="150"/>
        <v>0</v>
      </c>
      <c r="Z267" s="95">
        <v>0</v>
      </c>
      <c r="AA267" s="3">
        <f t="shared" si="150"/>
        <v>0</v>
      </c>
      <c r="AB267" s="3">
        <f>AB268+AB270</f>
        <v>0</v>
      </c>
      <c r="AC267" s="3">
        <f>AC268+AC270</f>
        <v>0</v>
      </c>
      <c r="AD267" s="3">
        <f>AD268+AD270</f>
        <v>27</v>
      </c>
      <c r="AE267" s="3">
        <f>AE268+AE270</f>
        <v>0</v>
      </c>
      <c r="AF267" s="3">
        <f t="shared" si="150"/>
        <v>0</v>
      </c>
      <c r="AG267" s="3">
        <f t="shared" si="150"/>
        <v>0</v>
      </c>
      <c r="AH267" s="3">
        <f t="shared" si="150"/>
        <v>0</v>
      </c>
      <c r="AI267" s="3">
        <f t="shared" si="150"/>
        <v>0</v>
      </c>
      <c r="AJ267" s="3">
        <f t="shared" si="150"/>
        <v>0</v>
      </c>
      <c r="AK267" s="3">
        <f>P267-Q267</f>
        <v>40219.919999999998</v>
      </c>
      <c r="AL267" s="3">
        <f>AK267</f>
        <v>40219.919999999998</v>
      </c>
      <c r="AM267" s="318">
        <v>0</v>
      </c>
      <c r="AN267" s="3">
        <f t="shared" si="150"/>
        <v>0</v>
      </c>
      <c r="AO267" s="3">
        <f t="shared" si="150"/>
        <v>0</v>
      </c>
      <c r="AP267" s="834"/>
      <c r="AQ267" s="95">
        <v>0</v>
      </c>
    </row>
    <row r="268" spans="1:43" ht="17.25" customHeight="1" x14ac:dyDescent="0.25">
      <c r="A268" s="1359"/>
      <c r="B268" s="1" t="s">
        <v>15</v>
      </c>
      <c r="C268" s="1661"/>
      <c r="D268" s="1661"/>
      <c r="E268" s="1661"/>
      <c r="F268" s="1661"/>
      <c r="G268" s="885">
        <v>2019</v>
      </c>
      <c r="H268" s="885">
        <v>2019</v>
      </c>
      <c r="I268" s="1327"/>
      <c r="J268" s="6">
        <f>L268</f>
        <v>7077.92</v>
      </c>
      <c r="K268" s="6"/>
      <c r="L268" s="47">
        <v>7077.92</v>
      </c>
      <c r="M268" s="47">
        <v>33.479999999999997</v>
      </c>
      <c r="N268" s="47">
        <v>7044.44</v>
      </c>
      <c r="O268" s="47">
        <v>0</v>
      </c>
      <c r="P268" s="47">
        <v>0</v>
      </c>
      <c r="Q268" s="47">
        <v>0</v>
      </c>
      <c r="R268" s="47">
        <f t="shared" ref="R268:AD268" si="151">SUM(R269)</f>
        <v>0</v>
      </c>
      <c r="S268" s="47">
        <f t="shared" si="151"/>
        <v>0</v>
      </c>
      <c r="T268" s="47">
        <f t="shared" si="151"/>
        <v>27</v>
      </c>
      <c r="U268" s="47">
        <f t="shared" si="151"/>
        <v>27</v>
      </c>
      <c r="V268" s="47">
        <f t="shared" si="151"/>
        <v>0</v>
      </c>
      <c r="W268" s="47">
        <f t="shared" si="151"/>
        <v>0</v>
      </c>
      <c r="X268" s="47">
        <f t="shared" si="151"/>
        <v>0</v>
      </c>
      <c r="Y268" s="47">
        <f t="shared" si="151"/>
        <v>0</v>
      </c>
      <c r="Z268" s="96"/>
      <c r="AA268" s="47">
        <v>0</v>
      </c>
      <c r="AB268" s="47">
        <f t="shared" si="151"/>
        <v>0</v>
      </c>
      <c r="AC268" s="47">
        <f t="shared" si="151"/>
        <v>0</v>
      </c>
      <c r="AD268" s="47">
        <f t="shared" si="151"/>
        <v>27</v>
      </c>
      <c r="AE268" s="47">
        <v>0</v>
      </c>
      <c r="AF268" s="47">
        <f>AF269</f>
        <v>0</v>
      </c>
      <c r="AG268" s="47">
        <f>AG269</f>
        <v>0</v>
      </c>
      <c r="AH268" s="47">
        <f>AH269</f>
        <v>0</v>
      </c>
      <c r="AI268" s="47">
        <f>AI269</f>
        <v>0</v>
      </c>
      <c r="AJ268" s="47">
        <f>AJ269</f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266" customFormat="1" ht="25.5" hidden="1" customHeight="1" x14ac:dyDescent="0.25">
      <c r="A269" s="1359"/>
      <c r="B269" s="102" t="s">
        <v>267</v>
      </c>
      <c r="C269" s="576"/>
      <c r="D269" s="576"/>
      <c r="E269" s="576"/>
      <c r="F269" s="576"/>
      <c r="G269" s="104"/>
      <c r="H269" s="104"/>
      <c r="I269" s="1327"/>
      <c r="J269" s="106"/>
      <c r="K269" s="106"/>
      <c r="L269" s="96"/>
      <c r="M269" s="96"/>
      <c r="N269" s="96"/>
      <c r="O269" s="96"/>
      <c r="P269" s="96">
        <f>R269</f>
        <v>0</v>
      </c>
      <c r="Q269" s="96">
        <f>S269+U269</f>
        <v>27</v>
      </c>
      <c r="R269" s="96">
        <v>0</v>
      </c>
      <c r="S269" s="96">
        <v>0</v>
      </c>
      <c r="T269" s="96">
        <f>U269</f>
        <v>27</v>
      </c>
      <c r="U269" s="96">
        <f>ROUND((32.4/1.2),2)</f>
        <v>27</v>
      </c>
      <c r="V269" s="96"/>
      <c r="W269" s="96"/>
      <c r="X269" s="96"/>
      <c r="Y269" s="96"/>
      <c r="Z269" s="96"/>
      <c r="AA269" s="96">
        <f>AD269</f>
        <v>27</v>
      </c>
      <c r="AB269" s="96">
        <v>0</v>
      </c>
      <c r="AC269" s="96"/>
      <c r="AD269" s="96">
        <v>27</v>
      </c>
      <c r="AE269" s="96"/>
      <c r="AF269" s="96">
        <f>SUM(AG269:AG269)</f>
        <v>0</v>
      </c>
      <c r="AG269" s="96"/>
      <c r="AH269" s="96"/>
      <c r="AI269" s="96"/>
      <c r="AJ269" s="96"/>
      <c r="AK269" s="96"/>
      <c r="AL269" s="96"/>
      <c r="AM269" s="96"/>
      <c r="AN269" s="96"/>
      <c r="AO269" s="96"/>
      <c r="AP269" s="421"/>
      <c r="AQ269" s="96"/>
    </row>
    <row r="270" spans="1:43" ht="17.25" customHeight="1" x14ac:dyDescent="0.25">
      <c r="A270" s="1361"/>
      <c r="B270" s="1" t="s">
        <v>16</v>
      </c>
      <c r="C270" s="918"/>
      <c r="D270" s="918"/>
      <c r="E270" s="918"/>
      <c r="F270" s="918"/>
      <c r="G270" s="885">
        <v>2020</v>
      </c>
      <c r="H270" s="885">
        <v>2021</v>
      </c>
      <c r="I270" s="1328"/>
      <c r="J270" s="6">
        <f>L270</f>
        <v>38187.89</v>
      </c>
      <c r="K270" s="6"/>
      <c r="L270" s="47">
        <v>38187.89</v>
      </c>
      <c r="M270" s="47">
        <v>0</v>
      </c>
      <c r="N270" s="47">
        <v>0</v>
      </c>
      <c r="O270" s="47">
        <v>11467.37</v>
      </c>
      <c r="P270" s="47">
        <v>40219.919999999998</v>
      </c>
      <c r="Q270" s="47">
        <v>0</v>
      </c>
      <c r="R270" s="47">
        <v>0</v>
      </c>
      <c r="S270" s="47">
        <v>0</v>
      </c>
      <c r="T270" s="47">
        <v>0</v>
      </c>
      <c r="U270" s="47">
        <v>0</v>
      </c>
      <c r="V270" s="47">
        <v>0</v>
      </c>
      <c r="W270" s="47">
        <v>0</v>
      </c>
      <c r="X270" s="47">
        <v>0</v>
      </c>
      <c r="Y270" s="47">
        <v>0</v>
      </c>
      <c r="Z270" s="96"/>
      <c r="AA270" s="47">
        <v>0</v>
      </c>
      <c r="AB270" s="47">
        <v>0</v>
      </c>
      <c r="AC270" s="47">
        <v>0</v>
      </c>
      <c r="AD270" s="47">
        <v>0</v>
      </c>
      <c r="AE270" s="47">
        <v>0</v>
      </c>
      <c r="AF270" s="47">
        <v>0</v>
      </c>
      <c r="AG270" s="47">
        <v>0</v>
      </c>
      <c r="AH270" s="47">
        <v>0</v>
      </c>
      <c r="AI270" s="47">
        <v>0</v>
      </c>
      <c r="AJ270" s="47"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327" customFormat="1" ht="39.75" customHeight="1" x14ac:dyDescent="0.25">
      <c r="A271" s="1358" t="s">
        <v>192</v>
      </c>
      <c r="B271" s="772" t="s">
        <v>166</v>
      </c>
      <c r="C271" s="1660"/>
      <c r="D271" s="1660"/>
      <c r="E271" s="1660"/>
      <c r="F271" s="1660">
        <v>80</v>
      </c>
      <c r="G271" s="807"/>
      <c r="H271" s="807"/>
      <c r="I271" s="1326" t="s">
        <v>20</v>
      </c>
      <c r="J271" s="52">
        <f>L271</f>
        <v>94875.549999999988</v>
      </c>
      <c r="K271" s="52"/>
      <c r="L271" s="3">
        <f t="shared" ref="L271:O271" si="152">L272+L275</f>
        <v>94875.549999999988</v>
      </c>
      <c r="M271" s="3">
        <f t="shared" si="152"/>
        <v>2761.44</v>
      </c>
      <c r="N271" s="3">
        <f t="shared" si="152"/>
        <v>9629.68</v>
      </c>
      <c r="O271" s="3">
        <f t="shared" si="152"/>
        <v>22469.279999999999</v>
      </c>
      <c r="P271" s="3">
        <v>3907.02</v>
      </c>
      <c r="Q271" s="3">
        <v>0</v>
      </c>
      <c r="R271" s="3">
        <f t="shared" ref="R271:Y271" si="153">R272+R275</f>
        <v>646.02599999999995</v>
      </c>
      <c r="S271" s="3">
        <f t="shared" si="153"/>
        <v>646.02599999999995</v>
      </c>
      <c r="T271" s="3">
        <f t="shared" si="153"/>
        <v>872.63599999999997</v>
      </c>
      <c r="U271" s="3">
        <f t="shared" si="153"/>
        <v>872.63599999999997</v>
      </c>
      <c r="V271" s="3">
        <f t="shared" si="153"/>
        <v>0</v>
      </c>
      <c r="W271" s="3">
        <f t="shared" si="153"/>
        <v>0</v>
      </c>
      <c r="X271" s="3">
        <f t="shared" si="153"/>
        <v>0</v>
      </c>
      <c r="Y271" s="3">
        <f t="shared" si="153"/>
        <v>0</v>
      </c>
      <c r="Z271" s="3">
        <v>0</v>
      </c>
      <c r="AA271" s="3">
        <f>AA272+AA275</f>
        <v>0</v>
      </c>
      <c r="AB271" s="3">
        <f>AB272+AB275</f>
        <v>0</v>
      </c>
      <c r="AC271" s="3">
        <f t="shared" ref="AC271:AJ271" si="154">AC272+AC275</f>
        <v>0</v>
      </c>
      <c r="AD271" s="3">
        <f t="shared" si="154"/>
        <v>0</v>
      </c>
      <c r="AE271" s="3">
        <f t="shared" si="154"/>
        <v>0</v>
      </c>
      <c r="AF271" s="3">
        <f t="shared" si="154"/>
        <v>0</v>
      </c>
      <c r="AG271" s="3">
        <f t="shared" si="154"/>
        <v>0</v>
      </c>
      <c r="AH271" s="3">
        <f t="shared" si="154"/>
        <v>0</v>
      </c>
      <c r="AI271" s="3">
        <f t="shared" si="154"/>
        <v>0</v>
      </c>
      <c r="AJ271" s="3">
        <f t="shared" si="154"/>
        <v>0</v>
      </c>
      <c r="AK271" s="3">
        <f>P271-Q271</f>
        <v>3907.02</v>
      </c>
      <c r="AL271" s="3">
        <f>AK271</f>
        <v>3907.02</v>
      </c>
      <c r="AM271" s="3">
        <f>ROUND((Q271*100%/P271*100),2)</f>
        <v>0</v>
      </c>
      <c r="AN271" s="3">
        <f>AN272+AN275</f>
        <v>0</v>
      </c>
      <c r="AO271" s="3">
        <f>AO272+AO275</f>
        <v>0</v>
      </c>
      <c r="AP271" s="633" t="s">
        <v>256</v>
      </c>
      <c r="AQ271" s="3">
        <v>0</v>
      </c>
    </row>
    <row r="272" spans="1:43" ht="16.5" hidden="1" customHeight="1" x14ac:dyDescent="0.25">
      <c r="A272" s="1359"/>
      <c r="B272" s="42" t="s">
        <v>15</v>
      </c>
      <c r="C272" s="1661"/>
      <c r="D272" s="1661"/>
      <c r="E272" s="1661"/>
      <c r="F272" s="1661"/>
      <c r="G272" s="313"/>
      <c r="H272" s="916"/>
      <c r="I272" s="1327"/>
      <c r="J272" s="902"/>
      <c r="K272" s="47"/>
      <c r="L272" s="47">
        <v>5734.87</v>
      </c>
      <c r="M272" s="47">
        <v>2761.44</v>
      </c>
      <c r="N272" s="47">
        <v>105.99</v>
      </c>
      <c r="O272" s="47">
        <v>0</v>
      </c>
      <c r="P272" s="47">
        <v>0</v>
      </c>
      <c r="Q272" s="47">
        <f>SUM(Q273:Q275)</f>
        <v>1518.6619999999998</v>
      </c>
      <c r="R272" s="47">
        <f>S272</f>
        <v>646.02599999999995</v>
      </c>
      <c r="S272" s="47">
        <f>SUM(S273:S275)</f>
        <v>646.02599999999995</v>
      </c>
      <c r="T272" s="47">
        <f>SUM(T273:T275)</f>
        <v>872.63599999999997</v>
      </c>
      <c r="U272" s="47">
        <f>SUM(U273:U275)</f>
        <v>872.63599999999997</v>
      </c>
      <c r="V272" s="47">
        <f>SUM(V273:V275)</f>
        <v>0</v>
      </c>
      <c r="W272" s="47">
        <f>SUM(W273:W275)</f>
        <v>0</v>
      </c>
      <c r="X272" s="47">
        <v>0</v>
      </c>
      <c r="Y272" s="47">
        <f t="shared" ref="Y272:AE272" si="155">SUM(Y273:Y275)</f>
        <v>0</v>
      </c>
      <c r="Z272" s="96"/>
      <c r="AA272" s="47">
        <f t="shared" si="155"/>
        <v>0</v>
      </c>
      <c r="AB272" s="47">
        <f t="shared" si="155"/>
        <v>0</v>
      </c>
      <c r="AC272" s="47">
        <f t="shared" si="155"/>
        <v>0</v>
      </c>
      <c r="AD272" s="47">
        <f t="shared" si="155"/>
        <v>0</v>
      </c>
      <c r="AE272" s="47">
        <f t="shared" si="155"/>
        <v>0</v>
      </c>
      <c r="AF272" s="47">
        <f>SUM(AF273)</f>
        <v>0</v>
      </c>
      <c r="AG272" s="47">
        <f>SUM(AG273)</f>
        <v>0</v>
      </c>
      <c r="AH272" s="47">
        <f>SUM(AH273)</f>
        <v>0</v>
      </c>
      <c r="AI272" s="47">
        <f>SUM(AI273)</f>
        <v>0</v>
      </c>
      <c r="AJ272" s="47">
        <f>SUM(AJ273)</f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397"/>
      <c r="AQ272" s="96"/>
    </row>
    <row r="273" spans="1:79" s="266" customFormat="1" ht="16.5" hidden="1" customHeight="1" x14ac:dyDescent="0.25">
      <c r="A273" s="1359"/>
      <c r="B273" s="252" t="s">
        <v>228</v>
      </c>
      <c r="C273" s="363"/>
      <c r="D273" s="363"/>
      <c r="E273" s="363"/>
      <c r="F273" s="363"/>
      <c r="G273" s="363"/>
      <c r="H273" s="364"/>
      <c r="I273" s="1327"/>
      <c r="J273" s="258"/>
      <c r="K273" s="96"/>
      <c r="L273" s="96"/>
      <c r="M273" s="96"/>
      <c r="N273" s="96"/>
      <c r="O273" s="96"/>
      <c r="P273" s="47"/>
      <c r="Q273" s="96">
        <f>S273+U273</f>
        <v>1518.6619999999998</v>
      </c>
      <c r="R273" s="96">
        <v>0</v>
      </c>
      <c r="S273" s="96">
        <v>646.02599999999995</v>
      </c>
      <c r="T273" s="96">
        <f>U273</f>
        <v>872.63599999999997</v>
      </c>
      <c r="U273" s="96">
        <v>872.63599999999997</v>
      </c>
      <c r="V273" s="96"/>
      <c r="W273" s="96"/>
      <c r="X273" s="96">
        <v>0</v>
      </c>
      <c r="Y273" s="96">
        <v>0</v>
      </c>
      <c r="Z273" s="96"/>
      <c r="AA273" s="96">
        <v>0</v>
      </c>
      <c r="AB273" s="96">
        <v>0</v>
      </c>
      <c r="AC273" s="96"/>
      <c r="AD273" s="96"/>
      <c r="AE273" s="96">
        <v>0</v>
      </c>
      <c r="AF273" s="96">
        <f>SUM(AG273:AG273)</f>
        <v>0</v>
      </c>
      <c r="AG273" s="96"/>
      <c r="AH273" s="96"/>
      <c r="AI273" s="96"/>
      <c r="AJ273" s="96"/>
      <c r="AK273" s="96">
        <v>0</v>
      </c>
      <c r="AL273" s="96">
        <v>0</v>
      </c>
      <c r="AM273" s="96">
        <v>0</v>
      </c>
      <c r="AN273" s="96">
        <v>0</v>
      </c>
      <c r="AO273" s="96">
        <v>0</v>
      </c>
      <c r="AP273" s="405"/>
      <c r="AQ273" s="96"/>
    </row>
    <row r="274" spans="1:79" s="266" customFormat="1" ht="16.5" hidden="1" customHeight="1" x14ac:dyDescent="0.25">
      <c r="A274" s="1359"/>
      <c r="B274" s="252" t="s">
        <v>267</v>
      </c>
      <c r="C274" s="363"/>
      <c r="D274" s="363"/>
      <c r="E274" s="363"/>
      <c r="F274" s="363"/>
      <c r="G274" s="363"/>
      <c r="H274" s="364"/>
      <c r="I274" s="1327"/>
      <c r="J274" s="258"/>
      <c r="K274" s="96"/>
      <c r="L274" s="96"/>
      <c r="M274" s="96"/>
      <c r="N274" s="96"/>
      <c r="O274" s="96"/>
      <c r="P274" s="96">
        <f>R274+T274</f>
        <v>0</v>
      </c>
      <c r="Q274" s="96">
        <f>S274+U274</f>
        <v>0</v>
      </c>
      <c r="R274" s="96">
        <v>0</v>
      </c>
      <c r="S274" s="96">
        <v>0</v>
      </c>
      <c r="T274" s="96">
        <f>U274</f>
        <v>0</v>
      </c>
      <c r="U274" s="96">
        <v>0</v>
      </c>
      <c r="V274" s="96"/>
      <c r="W274" s="96"/>
      <c r="X274" s="96"/>
      <c r="Y274" s="96"/>
      <c r="Z274" s="96"/>
      <c r="AA274" s="96">
        <f>SUM(AB274:AD274)</f>
        <v>0</v>
      </c>
      <c r="AB274" s="96"/>
      <c r="AC274" s="96">
        <v>0</v>
      </c>
      <c r="AD274" s="96">
        <v>0</v>
      </c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405"/>
      <c r="AQ274" s="96"/>
    </row>
    <row r="275" spans="1:79" ht="0.75" hidden="1" customHeight="1" x14ac:dyDescent="0.25">
      <c r="A275" s="1361"/>
      <c r="B275" s="1" t="s">
        <v>16</v>
      </c>
      <c r="C275" s="918"/>
      <c r="D275" s="918"/>
      <c r="E275" s="918"/>
      <c r="F275" s="918"/>
      <c r="G275" s="885">
        <v>2020</v>
      </c>
      <c r="H275" s="885">
        <v>2021</v>
      </c>
      <c r="I275" s="1328"/>
      <c r="J275" s="6">
        <f>L275</f>
        <v>89140.68</v>
      </c>
      <c r="K275" s="6"/>
      <c r="L275" s="47">
        <v>89140.68</v>
      </c>
      <c r="M275" s="47">
        <v>0</v>
      </c>
      <c r="N275" s="47">
        <v>9523.69</v>
      </c>
      <c r="O275" s="47">
        <v>22469.279999999999</v>
      </c>
      <c r="P275" s="47">
        <v>2605.9899999999998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47">
        <v>0</v>
      </c>
      <c r="X275" s="47">
        <v>0</v>
      </c>
      <c r="Y275" s="47">
        <v>0</v>
      </c>
      <c r="Z275" s="96"/>
      <c r="AA275" s="47">
        <v>0</v>
      </c>
      <c r="AB275" s="47">
        <v>0</v>
      </c>
      <c r="AC275" s="47">
        <v>0</v>
      </c>
      <c r="AD275" s="47">
        <v>0</v>
      </c>
      <c r="AE275" s="47">
        <v>0</v>
      </c>
      <c r="AF275" s="47">
        <v>0</v>
      </c>
      <c r="AG275" s="47">
        <v>0</v>
      </c>
      <c r="AH275" s="47">
        <v>0</v>
      </c>
      <c r="AI275" s="47">
        <v>0</v>
      </c>
      <c r="AJ275" s="47">
        <v>0</v>
      </c>
      <c r="AK275" s="47">
        <v>0</v>
      </c>
      <c r="AL275" s="47">
        <v>0</v>
      </c>
      <c r="AM275" s="47">
        <v>0</v>
      </c>
      <c r="AN275" s="47">
        <v>0</v>
      </c>
      <c r="AO275" s="47">
        <v>0</v>
      </c>
      <c r="AP275" s="419"/>
      <c r="AQ275" s="96"/>
    </row>
    <row r="276" spans="1:79" s="327" customFormat="1" ht="41.25" customHeight="1" x14ac:dyDescent="0.25">
      <c r="A276" s="1358" t="s">
        <v>193</v>
      </c>
      <c r="B276" s="772" t="s">
        <v>163</v>
      </c>
      <c r="C276" s="1660"/>
      <c r="D276" s="1660"/>
      <c r="E276" s="1660"/>
      <c r="F276" s="1660">
        <v>81</v>
      </c>
      <c r="G276" s="807"/>
      <c r="H276" s="807"/>
      <c r="I276" s="1326" t="s">
        <v>20</v>
      </c>
      <c r="J276" s="52">
        <f>L276</f>
        <v>5513.9</v>
      </c>
      <c r="K276" s="52"/>
      <c r="L276" s="3">
        <f t="shared" ref="L276:AA276" si="156">L277+L282</f>
        <v>5513.9</v>
      </c>
      <c r="M276" s="3">
        <f t="shared" si="156"/>
        <v>297.18</v>
      </c>
      <c r="N276" s="3">
        <f t="shared" si="156"/>
        <v>1639.85</v>
      </c>
      <c r="O276" s="3">
        <f t="shared" si="156"/>
        <v>0</v>
      </c>
      <c r="P276" s="3">
        <f t="shared" si="156"/>
        <v>0</v>
      </c>
      <c r="Q276" s="3">
        <f t="shared" si="156"/>
        <v>0</v>
      </c>
      <c r="R276" s="3">
        <f t="shared" si="156"/>
        <v>0</v>
      </c>
      <c r="S276" s="3">
        <f t="shared" si="156"/>
        <v>0</v>
      </c>
      <c r="T276" s="3">
        <f t="shared" si="156"/>
        <v>0</v>
      </c>
      <c r="U276" s="3">
        <f t="shared" si="156"/>
        <v>0</v>
      </c>
      <c r="V276" s="3">
        <f t="shared" si="156"/>
        <v>0</v>
      </c>
      <c r="W276" s="3">
        <f t="shared" si="156"/>
        <v>0</v>
      </c>
      <c r="X276" s="3">
        <f t="shared" si="156"/>
        <v>0</v>
      </c>
      <c r="Y276" s="3">
        <f t="shared" si="156"/>
        <v>0</v>
      </c>
      <c r="Z276" s="95">
        <v>0</v>
      </c>
      <c r="AA276" s="3">
        <f t="shared" si="156"/>
        <v>0</v>
      </c>
      <c r="AB276" s="3">
        <f>AB277+AB282</f>
        <v>0</v>
      </c>
      <c r="AC276" s="3">
        <f t="shared" ref="AC276:AJ276" si="157">AC277+AC282</f>
        <v>0</v>
      </c>
      <c r="AD276" s="3">
        <f t="shared" si="157"/>
        <v>0</v>
      </c>
      <c r="AE276" s="3">
        <f t="shared" si="157"/>
        <v>0</v>
      </c>
      <c r="AF276" s="3">
        <f t="shared" si="157"/>
        <v>0</v>
      </c>
      <c r="AG276" s="3">
        <f t="shared" si="157"/>
        <v>0</v>
      </c>
      <c r="AH276" s="3">
        <f t="shared" si="157"/>
        <v>0</v>
      </c>
      <c r="AI276" s="3">
        <f t="shared" si="157"/>
        <v>0</v>
      </c>
      <c r="AJ276" s="3">
        <f t="shared" si="157"/>
        <v>0</v>
      </c>
      <c r="AK276" s="3">
        <f>P276-Q276</f>
        <v>0</v>
      </c>
      <c r="AL276" s="3">
        <f>AK276</f>
        <v>0</v>
      </c>
      <c r="AM276" s="3">
        <v>0</v>
      </c>
      <c r="AN276" s="3">
        <f>AN277+AN282</f>
        <v>0</v>
      </c>
      <c r="AO276" s="3">
        <f>AO277+AO282</f>
        <v>0</v>
      </c>
      <c r="AP276" s="633" t="s">
        <v>256</v>
      </c>
      <c r="AQ276" s="95">
        <v>0</v>
      </c>
    </row>
    <row r="277" spans="1:79" ht="17.25" hidden="1" customHeight="1" x14ac:dyDescent="0.25">
      <c r="A277" s="1359"/>
      <c r="B277" s="1" t="s">
        <v>15</v>
      </c>
      <c r="C277" s="1661"/>
      <c r="D277" s="1661"/>
      <c r="E277" s="1661"/>
      <c r="F277" s="1661"/>
      <c r="G277" s="885">
        <v>2021</v>
      </c>
      <c r="H277" s="885">
        <v>2023</v>
      </c>
      <c r="I277" s="1327"/>
      <c r="J277" s="6">
        <f>L277</f>
        <v>594.36</v>
      </c>
      <c r="K277" s="6"/>
      <c r="L277" s="47">
        <v>594.36</v>
      </c>
      <c r="M277" s="47">
        <v>297.18</v>
      </c>
      <c r="N277" s="47">
        <v>0</v>
      </c>
      <c r="O277" s="47">
        <v>0</v>
      </c>
      <c r="P277" s="47">
        <v>0</v>
      </c>
      <c r="Q277" s="47">
        <f>SUM(Q279:Q281)</f>
        <v>0</v>
      </c>
      <c r="R277" s="47">
        <f t="shared" ref="R277:AE277" si="158">SUM(R279:R281)</f>
        <v>0</v>
      </c>
      <c r="S277" s="47">
        <f t="shared" si="158"/>
        <v>0</v>
      </c>
      <c r="T277" s="47">
        <f t="shared" si="158"/>
        <v>0</v>
      </c>
      <c r="U277" s="47">
        <f t="shared" si="158"/>
        <v>0</v>
      </c>
      <c r="V277" s="47">
        <f t="shared" si="158"/>
        <v>0</v>
      </c>
      <c r="W277" s="47">
        <f t="shared" si="158"/>
        <v>0</v>
      </c>
      <c r="X277" s="47">
        <v>0</v>
      </c>
      <c r="Y277" s="47">
        <f t="shared" si="158"/>
        <v>0</v>
      </c>
      <c r="Z277" s="96"/>
      <c r="AA277" s="47">
        <f t="shared" si="158"/>
        <v>0</v>
      </c>
      <c r="AB277" s="47">
        <f t="shared" si="158"/>
        <v>0</v>
      </c>
      <c r="AC277" s="47">
        <f t="shared" si="158"/>
        <v>0</v>
      </c>
      <c r="AD277" s="47">
        <f t="shared" si="158"/>
        <v>0</v>
      </c>
      <c r="AE277" s="47">
        <f t="shared" si="158"/>
        <v>0</v>
      </c>
      <c r="AF277" s="47">
        <f>AF281</f>
        <v>0</v>
      </c>
      <c r="AG277" s="47">
        <f>AG281</f>
        <v>0</v>
      </c>
      <c r="AH277" s="47">
        <f>AH281</f>
        <v>0</v>
      </c>
      <c r="AI277" s="47">
        <f>AI281</f>
        <v>0</v>
      </c>
      <c r="AJ277" s="47">
        <f>AJ281</f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79" s="266" customFormat="1" ht="17.25" hidden="1" customHeight="1" x14ac:dyDescent="0.25">
      <c r="A278" s="1359"/>
      <c r="B278" s="102" t="s">
        <v>93</v>
      </c>
      <c r="C278" s="576"/>
      <c r="D278" s="576"/>
      <c r="E278" s="576"/>
      <c r="F278" s="576"/>
      <c r="G278" s="104"/>
      <c r="H278" s="104"/>
      <c r="I278" s="1327"/>
      <c r="J278" s="106"/>
      <c r="K278" s="106"/>
      <c r="L278" s="96"/>
      <c r="M278" s="96"/>
      <c r="N278" s="96"/>
      <c r="O278" s="96"/>
      <c r="P278" s="96">
        <f>R278</f>
        <v>0</v>
      </c>
      <c r="Q278" s="96">
        <f>S278</f>
        <v>0</v>
      </c>
      <c r="R278" s="96">
        <f>S278</f>
        <v>0</v>
      </c>
      <c r="S278" s="96">
        <v>0</v>
      </c>
      <c r="T278" s="96"/>
      <c r="U278" s="96"/>
      <c r="V278" s="96"/>
      <c r="W278" s="96"/>
      <c r="X278" s="96">
        <v>0</v>
      </c>
      <c r="Y278" s="96">
        <v>0</v>
      </c>
      <c r="Z278" s="96"/>
      <c r="AA278" s="96">
        <v>0</v>
      </c>
      <c r="AB278" s="96">
        <v>0</v>
      </c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421"/>
      <c r="AQ278" s="96"/>
    </row>
    <row r="279" spans="1:79" s="266" customFormat="1" ht="17.25" hidden="1" customHeight="1" x14ac:dyDescent="0.25">
      <c r="A279" s="1359"/>
      <c r="B279" s="252" t="s">
        <v>225</v>
      </c>
      <c r="C279" s="363"/>
      <c r="D279" s="363"/>
      <c r="E279" s="363"/>
      <c r="F279" s="363"/>
      <c r="G279" s="363"/>
      <c r="H279" s="364"/>
      <c r="I279" s="1327"/>
      <c r="J279" s="258"/>
      <c r="K279" s="96"/>
      <c r="L279" s="96"/>
      <c r="M279" s="96"/>
      <c r="N279" s="96"/>
      <c r="O279" s="96"/>
      <c r="P279" s="47"/>
      <c r="Q279" s="96">
        <f>Y279</f>
        <v>0</v>
      </c>
      <c r="R279" s="96"/>
      <c r="S279" s="96"/>
      <c r="T279" s="96"/>
      <c r="U279" s="96"/>
      <c r="V279" s="96"/>
      <c r="W279" s="96"/>
      <c r="X279" s="96">
        <v>0</v>
      </c>
      <c r="Y279" s="96">
        <v>0</v>
      </c>
      <c r="Z279" s="96"/>
      <c r="AA279" s="96">
        <v>0</v>
      </c>
      <c r="AB279" s="96">
        <v>0</v>
      </c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405"/>
      <c r="AQ279" s="96"/>
    </row>
    <row r="280" spans="1:79" s="266" customFormat="1" ht="17.25" hidden="1" customHeight="1" x14ac:dyDescent="0.25">
      <c r="A280" s="1359"/>
      <c r="B280" s="252" t="s">
        <v>226</v>
      </c>
      <c r="C280" s="363"/>
      <c r="D280" s="363"/>
      <c r="E280" s="363"/>
      <c r="F280" s="363"/>
      <c r="G280" s="363"/>
      <c r="H280" s="364"/>
      <c r="I280" s="1327"/>
      <c r="J280" s="258"/>
      <c r="K280" s="96"/>
      <c r="L280" s="96"/>
      <c r="M280" s="96"/>
      <c r="N280" s="96"/>
      <c r="O280" s="96"/>
      <c r="P280" s="47"/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f>AB280</f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05"/>
      <c r="AQ280" s="96"/>
    </row>
    <row r="281" spans="1:79" s="266" customFormat="1" ht="17.25" hidden="1" customHeight="1" x14ac:dyDescent="0.25">
      <c r="A281" s="1359"/>
      <c r="B281" s="252" t="s">
        <v>227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79" ht="15.75" hidden="1" customHeight="1" x14ac:dyDescent="0.25">
      <c r="A282" s="1361"/>
      <c r="B282" s="1" t="s">
        <v>32</v>
      </c>
      <c r="C282" s="918"/>
      <c r="D282" s="918"/>
      <c r="E282" s="918"/>
      <c r="F282" s="918"/>
      <c r="G282" s="885">
        <v>2022</v>
      </c>
      <c r="H282" s="885">
        <v>2025</v>
      </c>
      <c r="I282" s="1328"/>
      <c r="J282" s="6">
        <f>L282</f>
        <v>4919.54</v>
      </c>
      <c r="K282" s="6"/>
      <c r="L282" s="47">
        <v>4919.54</v>
      </c>
      <c r="M282" s="47">
        <v>0</v>
      </c>
      <c r="N282" s="47">
        <v>1639.85</v>
      </c>
      <c r="O282" s="47">
        <v>0</v>
      </c>
      <c r="P282" s="47">
        <v>0</v>
      </c>
      <c r="Q282" s="47">
        <v>0</v>
      </c>
      <c r="R282" s="47">
        <v>0</v>
      </c>
      <c r="S282" s="47">
        <v>0</v>
      </c>
      <c r="T282" s="47">
        <v>0</v>
      </c>
      <c r="U282" s="47">
        <v>0</v>
      </c>
      <c r="V282" s="47">
        <v>0</v>
      </c>
      <c r="W282" s="47">
        <v>0</v>
      </c>
      <c r="X282" s="47">
        <v>0</v>
      </c>
      <c r="Y282" s="47">
        <v>0</v>
      </c>
      <c r="Z282" s="96"/>
      <c r="AA282" s="47">
        <v>0</v>
      </c>
      <c r="AB282" s="47">
        <v>0</v>
      </c>
      <c r="AC282" s="47">
        <v>0</v>
      </c>
      <c r="AD282" s="47">
        <v>0</v>
      </c>
      <c r="AE282" s="47">
        <v>0</v>
      </c>
      <c r="AF282" s="47">
        <v>0</v>
      </c>
      <c r="AG282" s="47">
        <v>0</v>
      </c>
      <c r="AH282" s="47">
        <v>0</v>
      </c>
      <c r="AI282" s="47">
        <v>0</v>
      </c>
      <c r="AJ282" s="47">
        <v>0</v>
      </c>
      <c r="AK282" s="47">
        <v>0</v>
      </c>
      <c r="AL282" s="47">
        <v>0</v>
      </c>
      <c r="AM282" s="47">
        <v>0</v>
      </c>
      <c r="AN282" s="47">
        <v>0</v>
      </c>
      <c r="AO282" s="47">
        <v>0</v>
      </c>
      <c r="AP282" s="419"/>
      <c r="AQ282" s="96"/>
    </row>
    <row r="283" spans="1:79" s="327" customFormat="1" ht="22.5" customHeight="1" x14ac:dyDescent="0.25">
      <c r="A283" s="1358" t="s">
        <v>194</v>
      </c>
      <c r="B283" s="780" t="s">
        <v>196</v>
      </c>
      <c r="C283" s="874"/>
      <c r="D283" s="874"/>
      <c r="E283" s="874"/>
      <c r="F283" s="874">
        <v>82</v>
      </c>
      <c r="G283" s="807"/>
      <c r="H283" s="807"/>
      <c r="I283" s="1326" t="s">
        <v>20</v>
      </c>
      <c r="J283" s="52">
        <f>L283</f>
        <v>12299.37</v>
      </c>
      <c r="K283" s="52"/>
      <c r="L283" s="3">
        <f>L285</f>
        <v>12299.37</v>
      </c>
      <c r="M283" s="3">
        <f t="shared" ref="M283:AO283" si="159">M285</f>
        <v>0</v>
      </c>
      <c r="N283" s="3">
        <f t="shared" si="159"/>
        <v>0</v>
      </c>
      <c r="O283" s="3">
        <f t="shared" si="159"/>
        <v>5371.98</v>
      </c>
      <c r="P283" s="3">
        <f t="shared" si="159"/>
        <v>0</v>
      </c>
      <c r="Q283" s="3">
        <f>Q284+Q285</f>
        <v>1205.01</v>
      </c>
      <c r="R283" s="3">
        <f t="shared" ref="R283:AA283" si="160">R284+R285</f>
        <v>0</v>
      </c>
      <c r="S283" s="3">
        <f t="shared" si="160"/>
        <v>0</v>
      </c>
      <c r="T283" s="3">
        <f t="shared" si="160"/>
        <v>0</v>
      </c>
      <c r="U283" s="3">
        <f t="shared" si="160"/>
        <v>0</v>
      </c>
      <c r="V283" s="3">
        <f t="shared" si="160"/>
        <v>0</v>
      </c>
      <c r="W283" s="3">
        <f t="shared" si="160"/>
        <v>0</v>
      </c>
      <c r="X283" s="3">
        <f t="shared" si="160"/>
        <v>0</v>
      </c>
      <c r="Y283" s="3">
        <f t="shared" si="160"/>
        <v>0</v>
      </c>
      <c r="Z283" s="3">
        <f t="shared" si="160"/>
        <v>0</v>
      </c>
      <c r="AA283" s="3">
        <f t="shared" si="160"/>
        <v>1870</v>
      </c>
      <c r="AB283" s="3">
        <f t="shared" si="159"/>
        <v>0</v>
      </c>
      <c r="AC283" s="3">
        <f t="shared" si="159"/>
        <v>0</v>
      </c>
      <c r="AD283" s="3">
        <f t="shared" si="159"/>
        <v>0</v>
      </c>
      <c r="AE283" s="3">
        <f t="shared" si="159"/>
        <v>0</v>
      </c>
      <c r="AF283" s="3">
        <f t="shared" si="159"/>
        <v>0</v>
      </c>
      <c r="AG283" s="3">
        <f t="shared" si="159"/>
        <v>0</v>
      </c>
      <c r="AH283" s="3">
        <f t="shared" si="159"/>
        <v>0</v>
      </c>
      <c r="AI283" s="3">
        <f t="shared" si="159"/>
        <v>0</v>
      </c>
      <c r="AJ283" s="3">
        <f t="shared" si="159"/>
        <v>0</v>
      </c>
      <c r="AK283" s="3">
        <f t="shared" si="159"/>
        <v>0</v>
      </c>
      <c r="AL283" s="3">
        <f t="shared" si="159"/>
        <v>0</v>
      </c>
      <c r="AM283" s="3">
        <f t="shared" si="159"/>
        <v>0</v>
      </c>
      <c r="AN283" s="3">
        <f t="shared" si="159"/>
        <v>0</v>
      </c>
      <c r="AO283" s="3">
        <f t="shared" si="159"/>
        <v>0</v>
      </c>
      <c r="AP283" s="834"/>
      <c r="AQ283" s="95">
        <v>0</v>
      </c>
    </row>
    <row r="284" spans="1:79" ht="15.75" customHeight="1" x14ac:dyDescent="0.25">
      <c r="A284" s="1359"/>
      <c r="B284" s="1" t="s">
        <v>39</v>
      </c>
      <c r="C284" s="919"/>
      <c r="D284" s="919"/>
      <c r="E284" s="919"/>
      <c r="F284" s="919"/>
      <c r="G284" s="885"/>
      <c r="H284" s="885"/>
      <c r="I284" s="1327"/>
      <c r="J284" s="6"/>
      <c r="K284" s="6"/>
      <c r="L284" s="47"/>
      <c r="M284" s="47"/>
      <c r="N284" s="47"/>
      <c r="O284" s="47"/>
      <c r="P284" s="47">
        <f>R284</f>
        <v>0</v>
      </c>
      <c r="Q284" s="47">
        <v>1205.01</v>
      </c>
      <c r="R284" s="47">
        <f>S284</f>
        <v>0</v>
      </c>
      <c r="S284" s="47">
        <v>0</v>
      </c>
      <c r="T284" s="47"/>
      <c r="U284" s="47"/>
      <c r="V284" s="47"/>
      <c r="W284" s="47"/>
      <c r="X284" s="47"/>
      <c r="Y284" s="47"/>
      <c r="Z284" s="47"/>
      <c r="AA284" s="47">
        <v>1870</v>
      </c>
      <c r="AB284" s="47">
        <v>0</v>
      </c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19"/>
      <c r="AQ284" s="47"/>
    </row>
    <row r="285" spans="1:79" ht="19.5" customHeight="1" x14ac:dyDescent="0.25">
      <c r="A285" s="1361"/>
      <c r="B285" s="1" t="s">
        <v>213</v>
      </c>
      <c r="C285" s="918"/>
      <c r="D285" s="918"/>
      <c r="E285" s="918"/>
      <c r="F285" s="918"/>
      <c r="G285" s="885">
        <v>2024</v>
      </c>
      <c r="H285" s="885">
        <v>2029</v>
      </c>
      <c r="I285" s="1328"/>
      <c r="J285" s="6">
        <f>L285</f>
        <v>12299.37</v>
      </c>
      <c r="K285" s="6"/>
      <c r="L285" s="47">
        <v>12299.37</v>
      </c>
      <c r="M285" s="47">
        <v>0</v>
      </c>
      <c r="N285" s="47">
        <v>0</v>
      </c>
      <c r="O285" s="47">
        <v>5371.98</v>
      </c>
      <c r="P285" s="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7">
        <v>0</v>
      </c>
      <c r="Y285" s="47">
        <v>0</v>
      </c>
      <c r="Z285" s="96"/>
      <c r="AA285" s="47">
        <v>0</v>
      </c>
      <c r="AB285" s="47">
        <v>0</v>
      </c>
      <c r="AC285" s="47">
        <v>0</v>
      </c>
      <c r="AD285" s="47">
        <v>0</v>
      </c>
      <c r="AE285" s="47">
        <v>0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7">
        <v>0</v>
      </c>
      <c r="AM285" s="47">
        <v>0</v>
      </c>
      <c r="AN285" s="47">
        <v>0</v>
      </c>
      <c r="AO285" s="47">
        <v>0</v>
      </c>
      <c r="AP285" s="419"/>
      <c r="AQ285" s="96"/>
    </row>
    <row r="286" spans="1:79" s="327" customFormat="1" ht="24" customHeight="1" x14ac:dyDescent="0.25">
      <c r="A286" s="1358" t="s">
        <v>195</v>
      </c>
      <c r="B286" s="780" t="s">
        <v>197</v>
      </c>
      <c r="C286" s="874"/>
      <c r="D286" s="874"/>
      <c r="E286" s="874"/>
      <c r="F286" s="874">
        <v>83</v>
      </c>
      <c r="G286" s="807"/>
      <c r="H286" s="807"/>
      <c r="I286" s="872"/>
      <c r="J286" s="52">
        <f>L286</f>
        <v>264150.86</v>
      </c>
      <c r="K286" s="52"/>
      <c r="L286" s="3">
        <f>L287+L291</f>
        <v>264150.86</v>
      </c>
      <c r="M286" s="3">
        <f>M287+M291</f>
        <v>263850.07</v>
      </c>
      <c r="N286" s="3">
        <f>N287+N291</f>
        <v>263850.07</v>
      </c>
      <c r="O286" s="3">
        <f>O287+O291</f>
        <v>263850.07</v>
      </c>
      <c r="P286" s="3">
        <f>P287+P291</f>
        <v>3.4</v>
      </c>
      <c r="Q286" s="3">
        <f t="shared" ref="Q286:Z286" si="161">Q287+Q291</f>
        <v>21716.309999999998</v>
      </c>
      <c r="R286" s="3">
        <f t="shared" si="161"/>
        <v>21705.95</v>
      </c>
      <c r="S286" s="3">
        <f t="shared" si="161"/>
        <v>21705.95</v>
      </c>
      <c r="T286" s="3">
        <f t="shared" si="161"/>
        <v>21705.95</v>
      </c>
      <c r="U286" s="3">
        <f t="shared" si="161"/>
        <v>21709.350000000002</v>
      </c>
      <c r="V286" s="3">
        <f t="shared" si="161"/>
        <v>21705.95</v>
      </c>
      <c r="W286" s="3">
        <f t="shared" si="161"/>
        <v>21705.95</v>
      </c>
      <c r="X286" s="3">
        <f t="shared" si="161"/>
        <v>21705.95</v>
      </c>
      <c r="Y286" s="3">
        <f t="shared" si="161"/>
        <v>21705.95</v>
      </c>
      <c r="Z286" s="3">
        <f t="shared" si="161"/>
        <v>21705.95</v>
      </c>
      <c r="AA286" s="3">
        <f>AA287+AA291</f>
        <v>21705.919999999998</v>
      </c>
      <c r="AB286" s="3">
        <f>AB287+AB291</f>
        <v>17522.268</v>
      </c>
      <c r="AC286" s="3">
        <f>AC287+AC291</f>
        <v>17119.198000000004</v>
      </c>
      <c r="AD286" s="3">
        <f t="shared" ref="AD286:AO286" si="162">AD287</f>
        <v>63735.476889999998</v>
      </c>
      <c r="AE286" s="3">
        <f t="shared" si="162"/>
        <v>0</v>
      </c>
      <c r="AF286" s="3">
        <f t="shared" si="162"/>
        <v>0</v>
      </c>
      <c r="AG286" s="3">
        <f t="shared" si="162"/>
        <v>0</v>
      </c>
      <c r="AH286" s="3">
        <f t="shared" si="162"/>
        <v>0</v>
      </c>
      <c r="AI286" s="3">
        <f t="shared" si="162"/>
        <v>0</v>
      </c>
      <c r="AJ286" s="3">
        <f t="shared" si="162"/>
        <v>0</v>
      </c>
      <c r="AK286" s="3">
        <f t="shared" si="162"/>
        <v>0</v>
      </c>
      <c r="AL286" s="3">
        <f t="shared" si="162"/>
        <v>0</v>
      </c>
      <c r="AM286" s="3">
        <v>7.79</v>
      </c>
      <c r="AN286" s="3">
        <f t="shared" si="162"/>
        <v>0</v>
      </c>
      <c r="AO286" s="3">
        <f t="shared" si="162"/>
        <v>0</v>
      </c>
      <c r="AP286" s="834"/>
      <c r="AQ286" s="95">
        <f>116.245</f>
        <v>116.245</v>
      </c>
      <c r="AR286" s="835"/>
    </row>
    <row r="287" spans="1:79" ht="14.25" customHeight="1" x14ac:dyDescent="0.25">
      <c r="A287" s="1359"/>
      <c r="B287" s="1" t="s">
        <v>213</v>
      </c>
      <c r="C287" s="918"/>
      <c r="D287" s="918"/>
      <c r="E287" s="918"/>
      <c r="F287" s="918"/>
      <c r="G287" s="885">
        <v>2026</v>
      </c>
      <c r="H287" s="885">
        <v>2033</v>
      </c>
      <c r="I287" s="885" t="s">
        <v>20</v>
      </c>
      <c r="J287" s="6">
        <f>L287</f>
        <v>300.79000000000002</v>
      </c>
      <c r="K287" s="6"/>
      <c r="L287" s="47">
        <v>300.79000000000002</v>
      </c>
      <c r="M287" s="47">
        <v>0</v>
      </c>
      <c r="N287" s="47">
        <v>0</v>
      </c>
      <c r="O287" s="47">
        <v>0</v>
      </c>
      <c r="P287" s="47">
        <v>3.4</v>
      </c>
      <c r="Q287" s="47">
        <v>10.39</v>
      </c>
      <c r="R287" s="47">
        <f t="shared" ref="R287:Z287" si="163">SUM(R288:R290)</f>
        <v>0</v>
      </c>
      <c r="S287" s="47">
        <f t="shared" si="163"/>
        <v>0</v>
      </c>
      <c r="T287" s="47">
        <f t="shared" si="163"/>
        <v>0</v>
      </c>
      <c r="U287" s="47">
        <f t="shared" si="163"/>
        <v>3.4</v>
      </c>
      <c r="V287" s="47">
        <f t="shared" si="163"/>
        <v>0</v>
      </c>
      <c r="W287" s="47">
        <f t="shared" si="163"/>
        <v>0</v>
      </c>
      <c r="X287" s="47">
        <f t="shared" si="163"/>
        <v>0</v>
      </c>
      <c r="Y287" s="47">
        <f t="shared" si="163"/>
        <v>0</v>
      </c>
      <c r="Z287" s="47">
        <f t="shared" si="163"/>
        <v>0</v>
      </c>
      <c r="AA287" s="47">
        <v>0</v>
      </c>
      <c r="AB287" s="47">
        <v>0</v>
      </c>
      <c r="AC287" s="47">
        <v>0</v>
      </c>
      <c r="AD287" s="47">
        <f>SUM(AD288:AD291)</f>
        <v>63735.476889999998</v>
      </c>
      <c r="AE287" s="47">
        <f>SUM(AE288:AE291)</f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  <c r="AR287" s="600"/>
      <c r="AS287" s="600"/>
      <c r="AT287" s="600"/>
      <c r="AU287" s="600"/>
      <c r="AV287" s="600"/>
      <c r="AW287" s="600"/>
      <c r="AX287" s="600"/>
      <c r="AY287" s="600"/>
      <c r="AZ287" s="600"/>
      <c r="BA287" s="600"/>
      <c r="BB287" s="600"/>
      <c r="BC287" s="600"/>
      <c r="BD287" s="600"/>
      <c r="BE287" s="600"/>
      <c r="BF287" s="600"/>
      <c r="BG287" s="600"/>
      <c r="BH287" s="600"/>
      <c r="BI287" s="600"/>
      <c r="BJ287" s="600"/>
      <c r="BK287" s="600"/>
      <c r="BL287" s="600"/>
      <c r="BM287" s="600"/>
      <c r="BN287" s="600"/>
      <c r="BO287" s="600"/>
      <c r="BP287" s="600"/>
      <c r="BQ287" s="600"/>
      <c r="BR287" s="600"/>
      <c r="BS287" s="600"/>
      <c r="BT287" s="600"/>
      <c r="BU287" s="600"/>
      <c r="BV287" s="600"/>
      <c r="BW287" s="600"/>
      <c r="BX287" s="600"/>
      <c r="BY287" s="600"/>
      <c r="BZ287" s="600"/>
      <c r="CA287" s="600"/>
    </row>
    <row r="288" spans="1:79" s="266" customFormat="1" ht="15" hidden="1" customHeight="1" x14ac:dyDescent="0.25">
      <c r="A288" s="1664"/>
      <c r="B288" s="92" t="s">
        <v>264</v>
      </c>
      <c r="C288" s="653"/>
      <c r="D288" s="653"/>
      <c r="E288" s="653"/>
      <c r="F288" s="653"/>
      <c r="G288" s="262"/>
      <c r="H288" s="262"/>
      <c r="I288" s="368"/>
      <c r="J288" s="442"/>
      <c r="K288" s="442"/>
      <c r="L288" s="268"/>
      <c r="M288" s="268"/>
      <c r="N288" s="268"/>
      <c r="O288" s="268"/>
      <c r="P288" s="268">
        <f>R288</f>
        <v>0</v>
      </c>
      <c r="Q288" s="268">
        <v>116.25</v>
      </c>
      <c r="R288" s="268">
        <f>S288</f>
        <v>0</v>
      </c>
      <c r="S288" s="268">
        <v>0</v>
      </c>
      <c r="T288" s="268"/>
      <c r="U288" s="268"/>
      <c r="V288" s="268"/>
      <c r="W288" s="268"/>
      <c r="X288" s="268"/>
      <c r="Y288" s="268"/>
      <c r="Z288" s="268"/>
      <c r="AA288" s="96">
        <v>116.25</v>
      </c>
      <c r="AB288" s="268">
        <v>0</v>
      </c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418"/>
      <c r="AQ288" s="268"/>
      <c r="AR288" s="602"/>
      <c r="AS288" s="602"/>
      <c r="AT288" s="602"/>
      <c r="AU288" s="602"/>
      <c r="AV288" s="602"/>
      <c r="AW288" s="602"/>
      <c r="AX288" s="602"/>
      <c r="AY288" s="602"/>
      <c r="AZ288" s="602"/>
      <c r="BA288" s="602"/>
      <c r="BB288" s="602"/>
      <c r="BC288" s="602"/>
      <c r="BD288" s="602"/>
      <c r="BE288" s="602"/>
      <c r="BF288" s="602"/>
      <c r="BG288" s="602"/>
      <c r="BH288" s="602"/>
      <c r="BI288" s="602"/>
      <c r="BJ288" s="602"/>
      <c r="BK288" s="602"/>
      <c r="BL288" s="602"/>
      <c r="BM288" s="602"/>
      <c r="BN288" s="602"/>
      <c r="BO288" s="602"/>
      <c r="BP288" s="602"/>
      <c r="BQ288" s="602"/>
      <c r="BR288" s="602"/>
      <c r="BS288" s="602"/>
      <c r="BT288" s="602"/>
      <c r="BU288" s="602"/>
      <c r="BV288" s="602"/>
      <c r="BW288" s="602"/>
      <c r="BX288" s="602"/>
      <c r="BY288" s="602"/>
      <c r="BZ288" s="602"/>
      <c r="CA288" s="602"/>
    </row>
    <row r="289" spans="1:79" s="544" customFormat="1" hidden="1" x14ac:dyDescent="0.25">
      <c r="A289" s="1664"/>
      <c r="B289" s="102" t="s">
        <v>312</v>
      </c>
      <c r="C289" s="576"/>
      <c r="D289" s="576"/>
      <c r="E289" s="576"/>
      <c r="F289" s="576"/>
      <c r="G289" s="104"/>
      <c r="H289" s="104"/>
      <c r="I289" s="443"/>
      <c r="J289" s="106"/>
      <c r="K289" s="106"/>
      <c r="L289" s="96"/>
      <c r="M289" s="96"/>
      <c r="N289" s="96"/>
      <c r="O289" s="96"/>
      <c r="P289" s="96"/>
      <c r="Q289" s="96">
        <f>S289+U289</f>
        <v>3.4</v>
      </c>
      <c r="R289" s="96"/>
      <c r="S289" s="96">
        <v>0</v>
      </c>
      <c r="T289" s="96"/>
      <c r="U289" s="96">
        <v>3.4</v>
      </c>
      <c r="V289" s="96"/>
      <c r="W289" s="96"/>
      <c r="X289" s="96"/>
      <c r="Y289" s="96"/>
      <c r="Z289" s="96"/>
      <c r="AA289" s="96">
        <f>AB289+AC289</f>
        <v>3.4</v>
      </c>
      <c r="AB289" s="96">
        <v>0</v>
      </c>
      <c r="AC289" s="96">
        <v>3.4</v>
      </c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421"/>
      <c r="AQ289" s="96"/>
      <c r="AR289" s="602"/>
      <c r="AS289" s="602"/>
      <c r="AT289" s="602"/>
      <c r="AU289" s="602"/>
      <c r="AV289" s="602"/>
      <c r="AW289" s="602"/>
      <c r="AX289" s="602"/>
      <c r="AY289" s="602"/>
      <c r="AZ289" s="602"/>
      <c r="BA289" s="602"/>
      <c r="BB289" s="602"/>
      <c r="BC289" s="602"/>
      <c r="BD289" s="602"/>
      <c r="BE289" s="602"/>
      <c r="BF289" s="602"/>
      <c r="BG289" s="602"/>
      <c r="BH289" s="602"/>
      <c r="BI289" s="602"/>
      <c r="BJ289" s="602"/>
      <c r="BK289" s="602"/>
      <c r="BL289" s="602"/>
      <c r="BM289" s="602"/>
      <c r="BN289" s="602"/>
      <c r="BO289" s="602"/>
      <c r="BP289" s="602"/>
      <c r="BQ289" s="602"/>
      <c r="BR289" s="602"/>
      <c r="BS289" s="602"/>
      <c r="BT289" s="602"/>
      <c r="BU289" s="602"/>
      <c r="BV289" s="602"/>
      <c r="BW289" s="602"/>
      <c r="BX289" s="602"/>
      <c r="BY289" s="602"/>
      <c r="BZ289" s="602"/>
      <c r="CA289" s="622"/>
    </row>
    <row r="290" spans="1:79" s="48" customFormat="1" ht="25.5" hidden="1" customHeight="1" x14ac:dyDescent="0.25">
      <c r="A290" s="1664"/>
      <c r="B290" s="102" t="s">
        <v>265</v>
      </c>
      <c r="C290" s="576"/>
      <c r="D290" s="576"/>
      <c r="E290" s="576"/>
      <c r="F290" s="576"/>
      <c r="G290" s="104"/>
      <c r="H290" s="104"/>
      <c r="I290" s="619"/>
      <c r="J290" s="106"/>
      <c r="K290" s="106"/>
      <c r="L290" s="96"/>
      <c r="M290" s="96"/>
      <c r="N290" s="96"/>
      <c r="O290" s="96"/>
      <c r="P290" s="96">
        <f>R290+T290</f>
        <v>0</v>
      </c>
      <c r="Q290" s="96">
        <f>S290+U290+W290+Y290</f>
        <v>0</v>
      </c>
      <c r="R290" s="96"/>
      <c r="S290" s="96"/>
      <c r="T290" s="96">
        <v>0</v>
      </c>
      <c r="U290" s="96">
        <v>0</v>
      </c>
      <c r="V290" s="96">
        <f>W290</f>
        <v>0</v>
      </c>
      <c r="W290" s="96">
        <v>0</v>
      </c>
      <c r="X290" s="96"/>
      <c r="Y290" s="96">
        <v>0</v>
      </c>
      <c r="Z290" s="96"/>
      <c r="AA290" s="96">
        <f>SUM(AB290:AE290)</f>
        <v>0</v>
      </c>
      <c r="AB290" s="96"/>
      <c r="AC290" s="96">
        <v>0</v>
      </c>
      <c r="AD290" s="96">
        <v>0</v>
      </c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421"/>
      <c r="AQ290" s="96"/>
      <c r="AR290" s="600"/>
      <c r="AS290" s="600"/>
      <c r="AT290" s="600"/>
      <c r="AU290" s="600"/>
      <c r="AV290" s="600"/>
      <c r="AW290" s="600"/>
      <c r="AX290" s="600"/>
      <c r="AY290" s="600"/>
      <c r="AZ290" s="600"/>
      <c r="BA290" s="600"/>
      <c r="BB290" s="600"/>
      <c r="BC290" s="600"/>
      <c r="BD290" s="600"/>
      <c r="BE290" s="600"/>
      <c r="BF290" s="600"/>
      <c r="BG290" s="600"/>
      <c r="BH290" s="600"/>
      <c r="BI290" s="600"/>
      <c r="BJ290" s="600"/>
      <c r="BK290" s="600"/>
      <c r="BL290" s="600"/>
      <c r="BM290" s="600"/>
      <c r="BN290" s="600"/>
      <c r="BO290" s="600"/>
      <c r="BP290" s="600"/>
      <c r="BQ290" s="600"/>
      <c r="BR290" s="600"/>
      <c r="BS290" s="600"/>
      <c r="BT290" s="600"/>
      <c r="BU290" s="600"/>
      <c r="BV290" s="600"/>
      <c r="BW290" s="600"/>
      <c r="BX290" s="600"/>
      <c r="BY290" s="600"/>
      <c r="BZ290" s="600"/>
      <c r="CA290" s="621"/>
    </row>
    <row r="291" spans="1:79" s="48" customFormat="1" ht="15.75" customHeight="1" x14ac:dyDescent="0.25">
      <c r="A291" s="1664"/>
      <c r="B291" s="1" t="s">
        <v>415</v>
      </c>
      <c r="C291" s="919"/>
      <c r="D291" s="919"/>
      <c r="E291" s="919"/>
      <c r="F291" s="919"/>
      <c r="G291" s="885"/>
      <c r="H291" s="885"/>
      <c r="I291" s="23" t="s">
        <v>10</v>
      </c>
      <c r="J291" s="6"/>
      <c r="K291" s="6"/>
      <c r="L291" s="47">
        <v>263850.07</v>
      </c>
      <c r="M291" s="47">
        <v>263850.07</v>
      </c>
      <c r="N291" s="47">
        <v>263850.07</v>
      </c>
      <c r="O291" s="47">
        <v>263850.07</v>
      </c>
      <c r="P291" s="47">
        <v>0</v>
      </c>
      <c r="Q291" s="47">
        <v>21705.919999999998</v>
      </c>
      <c r="R291" s="47">
        <v>21705.95</v>
      </c>
      <c r="S291" s="47">
        <v>21705.95</v>
      </c>
      <c r="T291" s="47">
        <v>21705.95</v>
      </c>
      <c r="U291" s="47">
        <v>21705.95</v>
      </c>
      <c r="V291" s="47">
        <v>21705.95</v>
      </c>
      <c r="W291" s="47">
        <v>21705.95</v>
      </c>
      <c r="X291" s="47">
        <v>21705.95</v>
      </c>
      <c r="Y291" s="47">
        <v>21705.95</v>
      </c>
      <c r="Z291" s="47">
        <v>21705.95</v>
      </c>
      <c r="AA291" s="47">
        <v>21705.919999999998</v>
      </c>
      <c r="AB291" s="47">
        <f t="shared" ref="AB291:AJ291" si="164">SUM(AB292:AB295)</f>
        <v>17522.268</v>
      </c>
      <c r="AC291" s="47">
        <f t="shared" si="164"/>
        <v>17119.198000000004</v>
      </c>
      <c r="AD291" s="47">
        <f t="shared" si="164"/>
        <v>63735.476889999998</v>
      </c>
      <c r="AE291" s="47">
        <f t="shared" si="164"/>
        <v>0</v>
      </c>
      <c r="AF291" s="47">
        <f t="shared" si="164"/>
        <v>0</v>
      </c>
      <c r="AG291" s="47">
        <f t="shared" si="164"/>
        <v>0</v>
      </c>
      <c r="AH291" s="47">
        <f t="shared" si="164"/>
        <v>0</v>
      </c>
      <c r="AI291" s="47">
        <f t="shared" si="164"/>
        <v>0</v>
      </c>
      <c r="AJ291" s="47">
        <f t="shared" si="164"/>
        <v>0</v>
      </c>
      <c r="AK291" s="47">
        <f>AK292</f>
        <v>0</v>
      </c>
      <c r="AL291" s="47">
        <v>0</v>
      </c>
      <c r="AM291" s="47">
        <v>0</v>
      </c>
      <c r="AN291" s="47">
        <v>0</v>
      </c>
      <c r="AO291" s="47">
        <v>0</v>
      </c>
      <c r="AP291" s="419"/>
      <c r="AQ291" s="96"/>
      <c r="AR291" s="600"/>
      <c r="AS291" s="600"/>
      <c r="AT291" s="600"/>
      <c r="AU291" s="600"/>
      <c r="AV291" s="600"/>
      <c r="AW291" s="600"/>
      <c r="AX291" s="600"/>
      <c r="AY291" s="600"/>
      <c r="AZ291" s="600"/>
      <c r="BA291" s="600"/>
      <c r="BB291" s="600"/>
      <c r="BC291" s="600"/>
      <c r="BD291" s="600"/>
      <c r="BE291" s="600"/>
      <c r="BF291" s="600"/>
      <c r="BG291" s="600"/>
      <c r="BH291" s="600"/>
      <c r="BI291" s="600"/>
      <c r="BJ291" s="600"/>
      <c r="BK291" s="600"/>
      <c r="BL291" s="600"/>
      <c r="BM291" s="600"/>
      <c r="BN291" s="600"/>
      <c r="BO291" s="600"/>
      <c r="BP291" s="600"/>
      <c r="BQ291" s="600"/>
      <c r="BR291" s="600"/>
      <c r="BS291" s="600"/>
      <c r="BT291" s="600"/>
      <c r="BU291" s="600"/>
      <c r="BV291" s="600"/>
      <c r="BW291" s="600"/>
      <c r="BX291" s="600"/>
      <c r="BY291" s="600"/>
      <c r="BZ291" s="600"/>
      <c r="CA291" s="621"/>
    </row>
    <row r="292" spans="1:79" s="544" customFormat="1" hidden="1" x14ac:dyDescent="0.25">
      <c r="A292" s="1664"/>
      <c r="B292" s="102" t="s">
        <v>304</v>
      </c>
      <c r="C292" s="576"/>
      <c r="D292" s="576"/>
      <c r="E292" s="576"/>
      <c r="F292" s="576"/>
      <c r="G292" s="104"/>
      <c r="H292" s="104"/>
      <c r="I292" s="443"/>
      <c r="J292" s="106"/>
      <c r="K292" s="106"/>
      <c r="L292" s="96"/>
      <c r="M292" s="96"/>
      <c r="N292" s="96"/>
      <c r="O292" s="96"/>
      <c r="P292" s="96"/>
      <c r="Q292" s="96">
        <v>0</v>
      </c>
      <c r="R292" s="96"/>
      <c r="S292" s="96">
        <v>17505.331999999999</v>
      </c>
      <c r="T292" s="96"/>
      <c r="U292" s="96">
        <v>17063.596000000001</v>
      </c>
      <c r="V292" s="96"/>
      <c r="W292" s="96">
        <v>63608.259890000001</v>
      </c>
      <c r="X292" s="96"/>
      <c r="Y292" s="96"/>
      <c r="Z292" s="96"/>
      <c r="AA292" s="96">
        <v>0</v>
      </c>
      <c r="AB292" s="96">
        <v>17505.331999999999</v>
      </c>
      <c r="AC292" s="96">
        <v>17063.596000000001</v>
      </c>
      <c r="AD292" s="96">
        <v>63608.259890000001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2"/>
      <c r="AS292" s="602"/>
      <c r="AT292" s="602"/>
      <c r="AU292" s="602"/>
      <c r="AV292" s="602"/>
      <c r="AW292" s="602"/>
      <c r="AX292" s="602"/>
      <c r="AY292" s="602"/>
      <c r="AZ292" s="602"/>
      <c r="BA292" s="602"/>
      <c r="BB292" s="602"/>
      <c r="BC292" s="602"/>
      <c r="BD292" s="602"/>
      <c r="BE292" s="602"/>
      <c r="BF292" s="602"/>
      <c r="BG292" s="602"/>
      <c r="BH292" s="602"/>
      <c r="BI292" s="602"/>
      <c r="BJ292" s="602"/>
      <c r="BK292" s="602"/>
      <c r="BL292" s="602"/>
      <c r="BM292" s="602"/>
      <c r="BN292" s="602"/>
      <c r="BO292" s="602"/>
      <c r="BP292" s="602"/>
      <c r="BQ292" s="602"/>
      <c r="BR292" s="602"/>
      <c r="BS292" s="602"/>
      <c r="BT292" s="602"/>
      <c r="BU292" s="602"/>
      <c r="BV292" s="602"/>
      <c r="BW292" s="602"/>
      <c r="BX292" s="602"/>
      <c r="BY292" s="602"/>
      <c r="BZ292" s="602"/>
      <c r="CA292" s="622"/>
    </row>
    <row r="293" spans="1:79" s="544" customFormat="1" hidden="1" x14ac:dyDescent="0.25">
      <c r="A293" s="1664"/>
      <c r="B293" s="102" t="s">
        <v>305</v>
      </c>
      <c r="C293" s="576"/>
      <c r="D293" s="576"/>
      <c r="E293" s="576"/>
      <c r="F293" s="576"/>
      <c r="G293" s="104"/>
      <c r="H293" s="104"/>
      <c r="I293" s="443"/>
      <c r="J293" s="106"/>
      <c r="K293" s="106"/>
      <c r="L293" s="96"/>
      <c r="M293" s="96"/>
      <c r="N293" s="96"/>
      <c r="O293" s="96"/>
      <c r="P293" s="96"/>
      <c r="Q293" s="96">
        <v>0</v>
      </c>
      <c r="R293" s="96"/>
      <c r="S293" s="96">
        <v>16.936</v>
      </c>
      <c r="T293" s="96"/>
      <c r="U293" s="96">
        <v>35.421999999999997</v>
      </c>
      <c r="V293" s="96"/>
      <c r="W293" s="96">
        <f>127.21652+16.78083</f>
        <v>143.99735000000001</v>
      </c>
      <c r="X293" s="96"/>
      <c r="Y293" s="96"/>
      <c r="Z293" s="96"/>
      <c r="AA293" s="96">
        <v>0</v>
      </c>
      <c r="AB293" s="96">
        <v>16.936</v>
      </c>
      <c r="AC293" s="96">
        <v>52.201999999999998</v>
      </c>
      <c r="AD293" s="96">
        <v>127.217</v>
      </c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421"/>
      <c r="AQ293" s="96"/>
      <c r="AR293" s="602"/>
      <c r="AS293" s="602"/>
      <c r="AT293" s="602"/>
      <c r="AU293" s="602"/>
      <c r="AV293" s="602"/>
      <c r="AW293" s="602"/>
      <c r="AX293" s="602"/>
      <c r="AY293" s="602"/>
      <c r="AZ293" s="602"/>
      <c r="BA293" s="602"/>
      <c r="BB293" s="602"/>
      <c r="BC293" s="602"/>
      <c r="BD293" s="602"/>
      <c r="BE293" s="602"/>
      <c r="BF293" s="602"/>
      <c r="BG293" s="602"/>
      <c r="BH293" s="602"/>
      <c r="BI293" s="602"/>
      <c r="BJ293" s="602"/>
      <c r="BK293" s="602"/>
      <c r="BL293" s="602"/>
      <c r="BM293" s="602"/>
      <c r="BN293" s="602"/>
      <c r="BO293" s="602"/>
      <c r="BP293" s="602"/>
      <c r="BQ293" s="602"/>
      <c r="BR293" s="602"/>
      <c r="BS293" s="602"/>
      <c r="BT293" s="602"/>
      <c r="BU293" s="602"/>
      <c r="BV293" s="602"/>
      <c r="BW293" s="602"/>
      <c r="BX293" s="602"/>
      <c r="BY293" s="602"/>
      <c r="BZ293" s="602"/>
      <c r="CA293" s="622"/>
    </row>
    <row r="294" spans="1:79" s="544" customFormat="1" hidden="1" x14ac:dyDescent="0.25">
      <c r="A294" s="1664"/>
      <c r="B294" s="102" t="s">
        <v>317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v>0</v>
      </c>
      <c r="R294" s="96"/>
      <c r="S294" s="96"/>
      <c r="T294" s="96"/>
      <c r="U294" s="96">
        <v>9848.4549999999999</v>
      </c>
      <c r="V294" s="96"/>
      <c r="W294" s="96"/>
      <c r="X294" s="96"/>
      <c r="Y294" s="96"/>
      <c r="Z294" s="96"/>
      <c r="AA294" s="96">
        <v>0</v>
      </c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hidden="1" x14ac:dyDescent="0.25">
      <c r="A295" s="1665"/>
      <c r="B295" s="102"/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v>0</v>
      </c>
      <c r="R295" s="96"/>
      <c r="S295" s="96">
        <v>0</v>
      </c>
      <c r="T295" s="96"/>
      <c r="U295" s="96">
        <v>3.4</v>
      </c>
      <c r="V295" s="96"/>
      <c r="W295" s="96"/>
      <c r="X295" s="96"/>
      <c r="Y295" s="96"/>
      <c r="Z295" s="96"/>
      <c r="AA295" s="96">
        <v>0</v>
      </c>
      <c r="AB295" s="96">
        <v>0</v>
      </c>
      <c r="AC295" s="96">
        <v>3.4</v>
      </c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327" customFormat="1" ht="33" customHeight="1" x14ac:dyDescent="0.25">
      <c r="A296" s="1358" t="s">
        <v>194</v>
      </c>
      <c r="B296" s="780" t="s">
        <v>393</v>
      </c>
      <c r="C296" s="874"/>
      <c r="D296" s="874"/>
      <c r="E296" s="874"/>
      <c r="F296" s="874">
        <v>82</v>
      </c>
      <c r="G296" s="807"/>
      <c r="H296" s="807"/>
      <c r="I296" s="1326" t="s">
        <v>20</v>
      </c>
      <c r="J296" s="52">
        <f>L296</f>
        <v>12299.37</v>
      </c>
      <c r="K296" s="52"/>
      <c r="L296" s="3">
        <f>L298</f>
        <v>12299.37</v>
      </c>
      <c r="M296" s="3">
        <f t="shared" ref="M296:Y296" si="165">M298</f>
        <v>0</v>
      </c>
      <c r="N296" s="3">
        <f t="shared" si="165"/>
        <v>0</v>
      </c>
      <c r="O296" s="3">
        <f t="shared" si="165"/>
        <v>5371.98</v>
      </c>
      <c r="P296" s="3">
        <f>P297+P298</f>
        <v>2400.44</v>
      </c>
      <c r="Q296" s="3">
        <f t="shared" si="165"/>
        <v>0</v>
      </c>
      <c r="R296" s="3">
        <f t="shared" si="165"/>
        <v>0</v>
      </c>
      <c r="S296" s="3">
        <f t="shared" si="165"/>
        <v>0</v>
      </c>
      <c r="T296" s="3">
        <f t="shared" si="165"/>
        <v>0</v>
      </c>
      <c r="U296" s="3">
        <f t="shared" si="165"/>
        <v>0</v>
      </c>
      <c r="V296" s="3">
        <f t="shared" si="165"/>
        <v>0</v>
      </c>
      <c r="W296" s="3">
        <f t="shared" si="165"/>
        <v>0</v>
      </c>
      <c r="X296" s="3">
        <f t="shared" si="165"/>
        <v>0</v>
      </c>
      <c r="Y296" s="3">
        <f t="shared" si="165"/>
        <v>0</v>
      </c>
      <c r="Z296" s="95">
        <v>0</v>
      </c>
      <c r="AA296" s="3">
        <f t="shared" ref="AA296:AO296" si="166">AA298</f>
        <v>0</v>
      </c>
      <c r="AB296" s="3">
        <f t="shared" si="166"/>
        <v>0</v>
      </c>
      <c r="AC296" s="3">
        <f t="shared" si="166"/>
        <v>0</v>
      </c>
      <c r="AD296" s="3">
        <f t="shared" si="166"/>
        <v>0</v>
      </c>
      <c r="AE296" s="3">
        <f t="shared" si="166"/>
        <v>0</v>
      </c>
      <c r="AF296" s="3">
        <f t="shared" si="166"/>
        <v>0</v>
      </c>
      <c r="AG296" s="3">
        <f t="shared" si="166"/>
        <v>0</v>
      </c>
      <c r="AH296" s="3">
        <f t="shared" si="166"/>
        <v>0</v>
      </c>
      <c r="AI296" s="3">
        <f t="shared" si="166"/>
        <v>0</v>
      </c>
      <c r="AJ296" s="3">
        <f t="shared" si="166"/>
        <v>0</v>
      </c>
      <c r="AK296" s="3">
        <f t="shared" si="166"/>
        <v>0</v>
      </c>
      <c r="AL296" s="3">
        <f t="shared" si="166"/>
        <v>0</v>
      </c>
      <c r="AM296" s="3">
        <f t="shared" si="166"/>
        <v>0</v>
      </c>
      <c r="AN296" s="3">
        <f t="shared" si="166"/>
        <v>0</v>
      </c>
      <c r="AO296" s="3">
        <f t="shared" si="166"/>
        <v>0</v>
      </c>
      <c r="AP296" s="834"/>
      <c r="AQ296" s="95">
        <v>0</v>
      </c>
    </row>
    <row r="297" spans="1:79" ht="15.75" customHeight="1" x14ac:dyDescent="0.25">
      <c r="A297" s="1359"/>
      <c r="B297" s="1" t="s">
        <v>39</v>
      </c>
      <c r="C297" s="919"/>
      <c r="D297" s="919"/>
      <c r="E297" s="919"/>
      <c r="F297" s="919"/>
      <c r="G297" s="885"/>
      <c r="H297" s="885"/>
      <c r="I297" s="1327"/>
      <c r="J297" s="6"/>
      <c r="K297" s="6"/>
      <c r="L297" s="47"/>
      <c r="M297" s="47"/>
      <c r="N297" s="47"/>
      <c r="O297" s="47"/>
      <c r="P297" s="47">
        <v>2400.44</v>
      </c>
      <c r="Q297" s="47">
        <f>S297</f>
        <v>0</v>
      </c>
      <c r="R297" s="47">
        <f>S297</f>
        <v>0</v>
      </c>
      <c r="S297" s="47">
        <v>0</v>
      </c>
      <c r="T297" s="47"/>
      <c r="U297" s="47"/>
      <c r="V297" s="47"/>
      <c r="W297" s="47"/>
      <c r="X297" s="47"/>
      <c r="Y297" s="47"/>
      <c r="Z297" s="47"/>
      <c r="AA297" s="47">
        <v>0</v>
      </c>
      <c r="AB297" s="47">
        <v>0</v>
      </c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19"/>
      <c r="AQ297" s="47"/>
    </row>
    <row r="298" spans="1:79" ht="18.75" customHeight="1" x14ac:dyDescent="0.25">
      <c r="A298" s="1361"/>
      <c r="B298" s="1" t="s">
        <v>213</v>
      </c>
      <c r="C298" s="918"/>
      <c r="D298" s="918"/>
      <c r="E298" s="918"/>
      <c r="F298" s="918"/>
      <c r="G298" s="885">
        <v>2024</v>
      </c>
      <c r="H298" s="885">
        <v>2029</v>
      </c>
      <c r="I298" s="1328"/>
      <c r="J298" s="6">
        <f>L298</f>
        <v>12299.37</v>
      </c>
      <c r="K298" s="6"/>
      <c r="L298" s="47">
        <v>12299.37</v>
      </c>
      <c r="M298" s="47">
        <v>0</v>
      </c>
      <c r="N298" s="47">
        <v>0</v>
      </c>
      <c r="O298" s="47">
        <v>5371.98</v>
      </c>
      <c r="P298" s="47">
        <v>0</v>
      </c>
      <c r="Q298" s="47">
        <v>0</v>
      </c>
      <c r="R298" s="47">
        <v>0</v>
      </c>
      <c r="S298" s="47">
        <v>0</v>
      </c>
      <c r="T298" s="47">
        <v>0</v>
      </c>
      <c r="U298" s="47">
        <v>0</v>
      </c>
      <c r="V298" s="47">
        <v>0</v>
      </c>
      <c r="W298" s="47">
        <v>0</v>
      </c>
      <c r="X298" s="47">
        <v>0</v>
      </c>
      <c r="Y298" s="47">
        <v>0</v>
      </c>
      <c r="Z298" s="96"/>
      <c r="AA298" s="47">
        <v>0</v>
      </c>
      <c r="AB298" s="47">
        <v>0</v>
      </c>
      <c r="AC298" s="47">
        <v>0</v>
      </c>
      <c r="AD298" s="47">
        <v>0</v>
      </c>
      <c r="AE298" s="47">
        <v>0</v>
      </c>
      <c r="AF298" s="47">
        <v>0</v>
      </c>
      <c r="AG298" s="47">
        <v>0</v>
      </c>
      <c r="AH298" s="47">
        <v>0</v>
      </c>
      <c r="AI298" s="47">
        <v>0</v>
      </c>
      <c r="AJ298" s="47">
        <v>0</v>
      </c>
      <c r="AK298" s="47">
        <v>0</v>
      </c>
      <c r="AL298" s="47">
        <v>0</v>
      </c>
      <c r="AM298" s="47">
        <v>0</v>
      </c>
      <c r="AN298" s="47">
        <v>0</v>
      </c>
      <c r="AO298" s="47">
        <v>0</v>
      </c>
      <c r="AP298" s="419"/>
      <c r="AQ298" s="96"/>
    </row>
    <row r="299" spans="1:79" ht="15.75" hidden="1" x14ac:dyDescent="0.25">
      <c r="B299" s="623" t="s">
        <v>96</v>
      </c>
      <c r="C299" s="623"/>
      <c r="D299" s="623"/>
      <c r="E299" s="623"/>
      <c r="F299" s="623"/>
      <c r="G299" s="623"/>
      <c r="H299" s="623"/>
      <c r="I299" s="623"/>
      <c r="J299" s="623"/>
      <c r="K299" s="623"/>
      <c r="L299" s="623"/>
      <c r="M299" s="623"/>
      <c r="N299" s="623"/>
      <c r="O299" s="623"/>
      <c r="P299" s="624"/>
      <c r="Q299" s="623"/>
      <c r="S299" s="623"/>
      <c r="T299" s="623" t="s">
        <v>97</v>
      </c>
      <c r="U299" s="623"/>
      <c r="V299" s="623"/>
      <c r="W299" s="623"/>
      <c r="AB299" s="623" t="s">
        <v>97</v>
      </c>
      <c r="AO299" s="623"/>
      <c r="AP299" s="623"/>
    </row>
    <row r="300" spans="1:79" ht="15.75" hidden="1" x14ac:dyDescent="0.25">
      <c r="B300" s="623"/>
      <c r="C300" s="623"/>
      <c r="D300" s="623"/>
      <c r="E300" s="623"/>
      <c r="F300" s="623"/>
      <c r="G300" s="623"/>
      <c r="H300" s="623"/>
      <c r="I300" s="623"/>
      <c r="J300" s="623"/>
      <c r="K300" s="623"/>
      <c r="L300" s="623"/>
      <c r="M300" s="623"/>
      <c r="N300" s="623"/>
      <c r="O300" s="623"/>
      <c r="P300" s="624"/>
      <c r="Q300" s="623"/>
      <c r="S300" s="623"/>
      <c r="T300" s="623"/>
      <c r="U300" s="623"/>
      <c r="AB300" s="623"/>
      <c r="AC300" s="626" t="s">
        <v>98</v>
      </c>
      <c r="AD300" s="623"/>
      <c r="AE300" s="623"/>
      <c r="AF300" s="623"/>
      <c r="AG300" s="623"/>
      <c r="AH300" s="623"/>
      <c r="AI300" s="623"/>
      <c r="AJ300" s="623"/>
      <c r="AK300" s="623"/>
      <c r="AL300" s="623"/>
      <c r="AM300" s="623" t="s">
        <v>99</v>
      </c>
      <c r="AN300" s="623"/>
      <c r="AO300" s="623"/>
      <c r="AP300" s="623"/>
    </row>
    <row r="301" spans="1:79" ht="15.75" hidden="1" x14ac:dyDescent="0.25">
      <c r="B301" s="623"/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/>
      <c r="W301" s="623" t="s">
        <v>98</v>
      </c>
      <c r="AB301" s="623"/>
      <c r="AD301" s="623"/>
      <c r="AE301" s="623"/>
      <c r="AF301" s="623"/>
      <c r="AG301" s="623"/>
      <c r="AH301" s="623"/>
      <c r="AI301" s="623"/>
      <c r="AJ301" s="623"/>
      <c r="AK301" s="623"/>
      <c r="AL301" s="623"/>
      <c r="AM301" s="623"/>
      <c r="AN301" s="623"/>
      <c r="AO301" s="623"/>
      <c r="AP301" s="623"/>
    </row>
    <row r="302" spans="1:79" ht="15.75" hidden="1" x14ac:dyDescent="0.25">
      <c r="B302" s="623" t="s">
        <v>94</v>
      </c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 t="s">
        <v>95</v>
      </c>
      <c r="W302" s="623"/>
      <c r="AB302" s="623" t="s">
        <v>95</v>
      </c>
      <c r="AC302" s="626" t="s">
        <v>100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101</v>
      </c>
      <c r="AN302" s="623"/>
    </row>
    <row r="303" spans="1:79" ht="15.75" hidden="1" x14ac:dyDescent="0.25">
      <c r="W303" s="623"/>
      <c r="AJ303" s="623"/>
    </row>
    <row r="304" spans="1:79" ht="15.75" hidden="1" x14ac:dyDescent="0.25">
      <c r="W304" s="623" t="s">
        <v>100</v>
      </c>
      <c r="AJ304" s="623" t="s">
        <v>101</v>
      </c>
    </row>
    <row r="305" spans="1:43" s="624" customFormat="1" ht="4.5" hidden="1" customHeight="1" x14ac:dyDescent="0.25">
      <c r="B305" s="624" t="s">
        <v>242</v>
      </c>
      <c r="T305" s="624" t="s">
        <v>151</v>
      </c>
      <c r="X305" s="627"/>
      <c r="Y305" s="627"/>
      <c r="Z305" s="627"/>
      <c r="AB305" s="624" t="s">
        <v>151</v>
      </c>
      <c r="AP305" s="628"/>
      <c r="AQ305" s="627"/>
    </row>
    <row r="306" spans="1:43" s="327" customFormat="1" ht="29.25" customHeight="1" x14ac:dyDescent="0.25">
      <c r="A306" s="1358" t="s">
        <v>194</v>
      </c>
      <c r="B306" s="780" t="s">
        <v>394</v>
      </c>
      <c r="C306" s="874"/>
      <c r="D306" s="874"/>
      <c r="E306" s="874"/>
      <c r="F306" s="874">
        <v>82</v>
      </c>
      <c r="G306" s="807"/>
      <c r="H306" s="807"/>
      <c r="I306" s="1326" t="s">
        <v>20</v>
      </c>
      <c r="J306" s="52">
        <f>L306</f>
        <v>12299.37</v>
      </c>
      <c r="K306" s="52"/>
      <c r="L306" s="3">
        <f>L308</f>
        <v>12299.37</v>
      </c>
      <c r="M306" s="3">
        <f t="shared" ref="M306:Y306" si="167">M308</f>
        <v>0</v>
      </c>
      <c r="N306" s="3">
        <f t="shared" si="167"/>
        <v>0</v>
      </c>
      <c r="O306" s="3">
        <f t="shared" si="167"/>
        <v>5371.98</v>
      </c>
      <c r="P306" s="3">
        <f>P307+P308</f>
        <v>2804.27</v>
      </c>
      <c r="Q306" s="3">
        <f t="shared" si="167"/>
        <v>0</v>
      </c>
      <c r="R306" s="3">
        <f t="shared" si="167"/>
        <v>0</v>
      </c>
      <c r="S306" s="3">
        <f t="shared" si="167"/>
        <v>0</v>
      </c>
      <c r="T306" s="3">
        <f t="shared" si="167"/>
        <v>0</v>
      </c>
      <c r="U306" s="3">
        <f t="shared" si="167"/>
        <v>0</v>
      </c>
      <c r="V306" s="3">
        <f t="shared" si="167"/>
        <v>0</v>
      </c>
      <c r="W306" s="3">
        <f t="shared" si="167"/>
        <v>0</v>
      </c>
      <c r="X306" s="3">
        <f t="shared" si="167"/>
        <v>0</v>
      </c>
      <c r="Y306" s="3">
        <f t="shared" si="167"/>
        <v>0</v>
      </c>
      <c r="Z306" s="95">
        <v>0</v>
      </c>
      <c r="AA306" s="3">
        <f t="shared" ref="AA306:AO306" si="168">AA308</f>
        <v>0</v>
      </c>
      <c r="AB306" s="3">
        <f t="shared" si="168"/>
        <v>0</v>
      </c>
      <c r="AC306" s="3">
        <f t="shared" si="168"/>
        <v>0</v>
      </c>
      <c r="AD306" s="3">
        <f t="shared" si="168"/>
        <v>0</v>
      </c>
      <c r="AE306" s="3">
        <f t="shared" si="168"/>
        <v>0</v>
      </c>
      <c r="AF306" s="3">
        <f t="shared" si="168"/>
        <v>0</v>
      </c>
      <c r="AG306" s="3">
        <f t="shared" si="168"/>
        <v>0</v>
      </c>
      <c r="AH306" s="3">
        <f t="shared" si="168"/>
        <v>0</v>
      </c>
      <c r="AI306" s="3">
        <f t="shared" si="168"/>
        <v>0</v>
      </c>
      <c r="AJ306" s="3">
        <f t="shared" si="168"/>
        <v>0</v>
      </c>
      <c r="AK306" s="3">
        <f t="shared" si="168"/>
        <v>0</v>
      </c>
      <c r="AL306" s="3">
        <f t="shared" si="168"/>
        <v>0</v>
      </c>
      <c r="AM306" s="3">
        <f t="shared" si="168"/>
        <v>0</v>
      </c>
      <c r="AN306" s="3">
        <f t="shared" si="168"/>
        <v>0</v>
      </c>
      <c r="AO306" s="3">
        <f t="shared" si="168"/>
        <v>0</v>
      </c>
      <c r="AP306" s="834"/>
      <c r="AQ306" s="95">
        <v>0</v>
      </c>
    </row>
    <row r="307" spans="1:43" ht="15.75" customHeight="1" x14ac:dyDescent="0.25">
      <c r="A307" s="1359"/>
      <c r="B307" s="1" t="s">
        <v>39</v>
      </c>
      <c r="C307" s="919"/>
      <c r="D307" s="919"/>
      <c r="E307" s="919"/>
      <c r="F307" s="919"/>
      <c r="G307" s="885"/>
      <c r="H307" s="885"/>
      <c r="I307" s="1327"/>
      <c r="J307" s="6"/>
      <c r="K307" s="6"/>
      <c r="L307" s="47"/>
      <c r="M307" s="47"/>
      <c r="N307" s="47"/>
      <c r="O307" s="47"/>
      <c r="P307" s="47">
        <v>2804.27</v>
      </c>
      <c r="Q307" s="47">
        <f>S307</f>
        <v>0</v>
      </c>
      <c r="R307" s="47">
        <f>S307</f>
        <v>0</v>
      </c>
      <c r="S307" s="47">
        <v>0</v>
      </c>
      <c r="T307" s="47"/>
      <c r="U307" s="47"/>
      <c r="V307" s="47"/>
      <c r="W307" s="47"/>
      <c r="X307" s="47"/>
      <c r="Y307" s="47"/>
      <c r="Z307" s="47"/>
      <c r="AA307" s="47">
        <v>0</v>
      </c>
      <c r="AB307" s="47">
        <v>0</v>
      </c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19"/>
      <c r="AQ307" s="47"/>
    </row>
    <row r="308" spans="1:43" ht="19.5" customHeight="1" x14ac:dyDescent="0.25">
      <c r="A308" s="1361"/>
      <c r="B308" s="1" t="s">
        <v>213</v>
      </c>
      <c r="C308" s="918"/>
      <c r="D308" s="918"/>
      <c r="E308" s="918"/>
      <c r="F308" s="918"/>
      <c r="G308" s="885">
        <v>2024</v>
      </c>
      <c r="H308" s="885">
        <v>2029</v>
      </c>
      <c r="I308" s="1328"/>
      <c r="J308" s="6">
        <f>L308</f>
        <v>12299.37</v>
      </c>
      <c r="K308" s="6"/>
      <c r="L308" s="47">
        <v>12299.37</v>
      </c>
      <c r="M308" s="47">
        <v>0</v>
      </c>
      <c r="N308" s="47">
        <v>0</v>
      </c>
      <c r="O308" s="47">
        <v>5371.98</v>
      </c>
      <c r="P308" s="47">
        <v>0</v>
      </c>
      <c r="Q308" s="47">
        <v>0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47">
        <v>0</v>
      </c>
      <c r="X308" s="47">
        <v>0</v>
      </c>
      <c r="Y308" s="47">
        <v>0</v>
      </c>
      <c r="Z308" s="96"/>
      <c r="AA308" s="47">
        <v>0</v>
      </c>
      <c r="AB308" s="47">
        <v>0</v>
      </c>
      <c r="AC308" s="47">
        <v>0</v>
      </c>
      <c r="AD308" s="47">
        <v>0</v>
      </c>
      <c r="AE308" s="47">
        <v>0</v>
      </c>
      <c r="AF308" s="47">
        <v>0</v>
      </c>
      <c r="AG308" s="47">
        <v>0</v>
      </c>
      <c r="AH308" s="47">
        <v>0</v>
      </c>
      <c r="AI308" s="47">
        <v>0</v>
      </c>
      <c r="AJ308" s="47">
        <v>0</v>
      </c>
      <c r="AK308" s="47">
        <v>0</v>
      </c>
      <c r="AL308" s="47">
        <v>0</v>
      </c>
      <c r="AM308" s="47">
        <v>0</v>
      </c>
      <c r="AN308" s="47">
        <v>0</v>
      </c>
      <c r="AO308" s="47">
        <v>0</v>
      </c>
      <c r="AP308" s="419"/>
      <c r="AQ308" s="96"/>
    </row>
    <row r="309" spans="1:43" s="327" customFormat="1" ht="29.25" customHeight="1" x14ac:dyDescent="0.25">
      <c r="A309" s="1358" t="s">
        <v>194</v>
      </c>
      <c r="B309" s="780" t="s">
        <v>416</v>
      </c>
      <c r="C309" s="874"/>
      <c r="D309" s="874"/>
      <c r="E309" s="874"/>
      <c r="F309" s="874">
        <v>82</v>
      </c>
      <c r="G309" s="807"/>
      <c r="H309" s="807"/>
      <c r="I309" s="1326" t="s">
        <v>20</v>
      </c>
      <c r="J309" s="52">
        <f>L309</f>
        <v>12299.37</v>
      </c>
      <c r="K309" s="52"/>
      <c r="L309" s="3">
        <f>L311</f>
        <v>12299.37</v>
      </c>
      <c r="M309" s="3">
        <f t="shared" ref="M309:Y309" si="169">M311</f>
        <v>0</v>
      </c>
      <c r="N309" s="3">
        <f t="shared" si="169"/>
        <v>0</v>
      </c>
      <c r="O309" s="3">
        <f t="shared" si="169"/>
        <v>5371.98</v>
      </c>
      <c r="P309" s="3">
        <f>P310+P311</f>
        <v>377.92</v>
      </c>
      <c r="Q309" s="3">
        <f t="shared" si="169"/>
        <v>0</v>
      </c>
      <c r="R309" s="3">
        <f t="shared" si="169"/>
        <v>0</v>
      </c>
      <c r="S309" s="3">
        <f t="shared" si="169"/>
        <v>0</v>
      </c>
      <c r="T309" s="3">
        <f t="shared" si="169"/>
        <v>0</v>
      </c>
      <c r="U309" s="3">
        <f t="shared" si="169"/>
        <v>0</v>
      </c>
      <c r="V309" s="3">
        <f t="shared" si="169"/>
        <v>0</v>
      </c>
      <c r="W309" s="3">
        <f t="shared" si="169"/>
        <v>0</v>
      </c>
      <c r="X309" s="3">
        <f t="shared" si="169"/>
        <v>0</v>
      </c>
      <c r="Y309" s="3">
        <f t="shared" si="169"/>
        <v>0</v>
      </c>
      <c r="Z309" s="95">
        <v>0</v>
      </c>
      <c r="AA309" s="3">
        <f t="shared" ref="AA309:AO309" si="170">AA311</f>
        <v>0</v>
      </c>
      <c r="AB309" s="3">
        <f t="shared" si="170"/>
        <v>0</v>
      </c>
      <c r="AC309" s="3">
        <f t="shared" si="170"/>
        <v>0</v>
      </c>
      <c r="AD309" s="3">
        <f t="shared" si="170"/>
        <v>0</v>
      </c>
      <c r="AE309" s="3">
        <f t="shared" si="170"/>
        <v>0</v>
      </c>
      <c r="AF309" s="3">
        <f t="shared" si="170"/>
        <v>0</v>
      </c>
      <c r="AG309" s="3">
        <f t="shared" si="170"/>
        <v>0</v>
      </c>
      <c r="AH309" s="3">
        <f t="shared" si="170"/>
        <v>0</v>
      </c>
      <c r="AI309" s="3">
        <f t="shared" si="170"/>
        <v>0</v>
      </c>
      <c r="AJ309" s="3">
        <f t="shared" si="170"/>
        <v>0</v>
      </c>
      <c r="AK309" s="3">
        <f t="shared" si="170"/>
        <v>0</v>
      </c>
      <c r="AL309" s="3">
        <f t="shared" si="170"/>
        <v>0</v>
      </c>
      <c r="AM309" s="3">
        <f t="shared" si="170"/>
        <v>0</v>
      </c>
      <c r="AN309" s="3">
        <f t="shared" si="170"/>
        <v>0</v>
      </c>
      <c r="AO309" s="3">
        <f t="shared" si="170"/>
        <v>0</v>
      </c>
      <c r="AP309" s="834"/>
      <c r="AQ309" s="95">
        <v>0</v>
      </c>
    </row>
    <row r="310" spans="1:43" ht="15.75" customHeight="1" x14ac:dyDescent="0.25">
      <c r="A310" s="1359"/>
      <c r="B310" s="1" t="s">
        <v>39</v>
      </c>
      <c r="C310" s="919"/>
      <c r="D310" s="919"/>
      <c r="E310" s="919"/>
      <c r="F310" s="919"/>
      <c r="G310" s="885"/>
      <c r="H310" s="885"/>
      <c r="I310" s="1327"/>
      <c r="J310" s="6"/>
      <c r="K310" s="6"/>
      <c r="L310" s="47"/>
      <c r="M310" s="47"/>
      <c r="N310" s="47"/>
      <c r="O310" s="47"/>
      <c r="P310" s="47">
        <v>377.92</v>
      </c>
      <c r="Q310" s="47">
        <f>S310</f>
        <v>0</v>
      </c>
      <c r="R310" s="47">
        <f>S310</f>
        <v>0</v>
      </c>
      <c r="S310" s="47">
        <v>0</v>
      </c>
      <c r="T310" s="47"/>
      <c r="U310" s="47"/>
      <c r="V310" s="47"/>
      <c r="W310" s="47"/>
      <c r="X310" s="47"/>
      <c r="Y310" s="47"/>
      <c r="Z310" s="47"/>
      <c r="AA310" s="47">
        <v>0</v>
      </c>
      <c r="AB310" s="47">
        <v>0</v>
      </c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19"/>
      <c r="AQ310" s="47"/>
    </row>
    <row r="311" spans="1:43" ht="19.5" customHeight="1" x14ac:dyDescent="0.25">
      <c r="A311" s="1361"/>
      <c r="B311" s="1" t="s">
        <v>213</v>
      </c>
      <c r="C311" s="918"/>
      <c r="D311" s="918"/>
      <c r="E311" s="918"/>
      <c r="F311" s="918"/>
      <c r="G311" s="885">
        <v>2024</v>
      </c>
      <c r="H311" s="885">
        <v>2029</v>
      </c>
      <c r="I311" s="1328"/>
      <c r="J311" s="6">
        <f>L311</f>
        <v>12299.37</v>
      </c>
      <c r="K311" s="6"/>
      <c r="L311" s="47">
        <v>12299.37</v>
      </c>
      <c r="M311" s="47">
        <v>0</v>
      </c>
      <c r="N311" s="47">
        <v>0</v>
      </c>
      <c r="O311" s="47">
        <v>5371.98</v>
      </c>
      <c r="P311" s="47">
        <v>0</v>
      </c>
      <c r="Q311" s="47">
        <v>0</v>
      </c>
      <c r="R311" s="47">
        <v>0</v>
      </c>
      <c r="S311" s="47">
        <v>0</v>
      </c>
      <c r="T311" s="47">
        <v>0</v>
      </c>
      <c r="U311" s="47">
        <v>0</v>
      </c>
      <c r="V311" s="47">
        <v>0</v>
      </c>
      <c r="W311" s="47">
        <v>0</v>
      </c>
      <c r="X311" s="47">
        <v>0</v>
      </c>
      <c r="Y311" s="47">
        <v>0</v>
      </c>
      <c r="Z311" s="96"/>
      <c r="AA311" s="47">
        <v>0</v>
      </c>
      <c r="AB311" s="47">
        <v>0</v>
      </c>
      <c r="AC311" s="47">
        <v>0</v>
      </c>
      <c r="AD311" s="47">
        <v>0</v>
      </c>
      <c r="AE311" s="47">
        <v>0</v>
      </c>
      <c r="AF311" s="47">
        <v>0</v>
      </c>
      <c r="AG311" s="47">
        <v>0</v>
      </c>
      <c r="AH311" s="47">
        <v>0</v>
      </c>
      <c r="AI311" s="47">
        <v>0</v>
      </c>
      <c r="AJ311" s="47">
        <v>0</v>
      </c>
      <c r="AK311" s="47">
        <v>0</v>
      </c>
      <c r="AL311" s="47">
        <v>0</v>
      </c>
      <c r="AM311" s="47">
        <v>0</v>
      </c>
      <c r="AN311" s="47">
        <v>0</v>
      </c>
      <c r="AO311" s="47">
        <v>0</v>
      </c>
      <c r="AP311" s="419"/>
      <c r="AQ311" s="96"/>
    </row>
  </sheetData>
  <mergeCells count="199">
    <mergeCell ref="A1:AP1"/>
    <mergeCell ref="E3:F3"/>
    <mergeCell ref="M3:O3"/>
    <mergeCell ref="R3:S3"/>
    <mergeCell ref="T3:U3"/>
    <mergeCell ref="V3:W3"/>
    <mergeCell ref="X3:Y3"/>
    <mergeCell ref="AF3:AJ3"/>
    <mergeCell ref="AL3:AO3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I68:I71"/>
    <mergeCell ref="J68:J71"/>
    <mergeCell ref="A76:A79"/>
    <mergeCell ref="B76:H79"/>
    <mergeCell ref="A80:A81"/>
    <mergeCell ref="I80:I81"/>
    <mergeCell ref="A65:A67"/>
    <mergeCell ref="B65:H67"/>
    <mergeCell ref="A68:A71"/>
    <mergeCell ref="C68:C71"/>
    <mergeCell ref="D68:D71"/>
    <mergeCell ref="E68:E71"/>
    <mergeCell ref="F68:F71"/>
    <mergeCell ref="A94:A96"/>
    <mergeCell ref="I94:I95"/>
    <mergeCell ref="A97:A98"/>
    <mergeCell ref="I97:I98"/>
    <mergeCell ref="A100:A105"/>
    <mergeCell ref="I100:I105"/>
    <mergeCell ref="C84:C89"/>
    <mergeCell ref="D84:D89"/>
    <mergeCell ref="E84:E89"/>
    <mergeCell ref="F84:F89"/>
    <mergeCell ref="I84:I89"/>
    <mergeCell ref="A91:A93"/>
    <mergeCell ref="I91:I92"/>
    <mergeCell ref="A118:A122"/>
    <mergeCell ref="I118:I122"/>
    <mergeCell ref="A123:A124"/>
    <mergeCell ref="I123:I124"/>
    <mergeCell ref="A126:A129"/>
    <mergeCell ref="B126:H129"/>
    <mergeCell ref="A106:A110"/>
    <mergeCell ref="I106:I110"/>
    <mergeCell ref="A111:A112"/>
    <mergeCell ref="I111:I112"/>
    <mergeCell ref="A114:A117"/>
    <mergeCell ref="I114:I117"/>
    <mergeCell ref="A146:A150"/>
    <mergeCell ref="I146:I150"/>
    <mergeCell ref="J146:J150"/>
    <mergeCell ref="A153:H157"/>
    <mergeCell ref="A158:A161"/>
    <mergeCell ref="B158:H161"/>
    <mergeCell ref="A136:A140"/>
    <mergeCell ref="I136:I140"/>
    <mergeCell ref="J136:J140"/>
    <mergeCell ref="A141:A145"/>
    <mergeCell ref="I141:I145"/>
    <mergeCell ref="J141:J145"/>
    <mergeCell ref="H162:H163"/>
    <mergeCell ref="I162:I163"/>
    <mergeCell ref="J162:J163"/>
    <mergeCell ref="K162:K163"/>
    <mergeCell ref="A165:A168"/>
    <mergeCell ref="F165:F168"/>
    <mergeCell ref="I165:I168"/>
    <mergeCell ref="A162:A163"/>
    <mergeCell ref="C162:C163"/>
    <mergeCell ref="D162:D163"/>
    <mergeCell ref="E162:E163"/>
    <mergeCell ref="F162:F163"/>
    <mergeCell ref="G162:G163"/>
    <mergeCell ref="K169:K170"/>
    <mergeCell ref="A178:A179"/>
    <mergeCell ref="I178:I179"/>
    <mergeCell ref="A169:A170"/>
    <mergeCell ref="C169:C170"/>
    <mergeCell ref="D169:D170"/>
    <mergeCell ref="E169:E170"/>
    <mergeCell ref="F169:F170"/>
    <mergeCell ref="G169:G170"/>
    <mergeCell ref="A182:A183"/>
    <mergeCell ref="I182:I183"/>
    <mergeCell ref="A185:A186"/>
    <mergeCell ref="I185:I186"/>
    <mergeCell ref="A202:A205"/>
    <mergeCell ref="B202:H205"/>
    <mergeCell ref="H169:H170"/>
    <mergeCell ref="I169:I170"/>
    <mergeCell ref="J169:J170"/>
    <mergeCell ref="J206:J210"/>
    <mergeCell ref="A211:A212"/>
    <mergeCell ref="I211:I212"/>
    <mergeCell ref="I217:I218"/>
    <mergeCell ref="I223:I224"/>
    <mergeCell ref="I225:I226"/>
    <mergeCell ref="A206:A210"/>
    <mergeCell ref="C206:C210"/>
    <mergeCell ref="D206:D210"/>
    <mergeCell ref="E206:E210"/>
    <mergeCell ref="F206:F210"/>
    <mergeCell ref="I206:I210"/>
    <mergeCell ref="H236:H239"/>
    <mergeCell ref="I236:I239"/>
    <mergeCell ref="J236:J239"/>
    <mergeCell ref="A243:A246"/>
    <mergeCell ref="B243:H246"/>
    <mergeCell ref="A247:A249"/>
    <mergeCell ref="I247:I248"/>
    <mergeCell ref="I227:I228"/>
    <mergeCell ref="A229:A232"/>
    <mergeCell ref="B229:H232"/>
    <mergeCell ref="I233:I234"/>
    <mergeCell ref="A236:A239"/>
    <mergeCell ref="C236:C239"/>
    <mergeCell ref="D236:D239"/>
    <mergeCell ref="E236:E239"/>
    <mergeCell ref="F236:F239"/>
    <mergeCell ref="G236:G239"/>
    <mergeCell ref="I265:I266"/>
    <mergeCell ref="J265:J266"/>
    <mergeCell ref="A267:A270"/>
    <mergeCell ref="C267:C268"/>
    <mergeCell ref="D267:D268"/>
    <mergeCell ref="E267:E268"/>
    <mergeCell ref="F267:F268"/>
    <mergeCell ref="I267:I270"/>
    <mergeCell ref="A250:A254"/>
    <mergeCell ref="I250:I254"/>
    <mergeCell ref="A255:A256"/>
    <mergeCell ref="I255:I256"/>
    <mergeCell ref="I262:I263"/>
    <mergeCell ref="A265:A266"/>
    <mergeCell ref="C265:C266"/>
    <mergeCell ref="D265:D266"/>
    <mergeCell ref="E265:E266"/>
    <mergeCell ref="F265:F266"/>
    <mergeCell ref="A276:A282"/>
    <mergeCell ref="C276:C277"/>
    <mergeCell ref="D276:D277"/>
    <mergeCell ref="E276:E277"/>
    <mergeCell ref="F276:F277"/>
    <mergeCell ref="I276:I282"/>
    <mergeCell ref="A271:A275"/>
    <mergeCell ref="C271:C272"/>
    <mergeCell ref="D271:D272"/>
    <mergeCell ref="E271:E272"/>
    <mergeCell ref="F271:F272"/>
    <mergeCell ref="I271:I275"/>
    <mergeCell ref="A309:A311"/>
    <mergeCell ref="I309:I311"/>
    <mergeCell ref="A283:A285"/>
    <mergeCell ref="I283:I285"/>
    <mergeCell ref="A286:A295"/>
    <mergeCell ref="A296:A298"/>
    <mergeCell ref="I296:I298"/>
    <mergeCell ref="A306:A308"/>
    <mergeCell ref="I306:I308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1" max="16383" man="1"/>
    <brk id="249" max="16383" man="1"/>
  </rowBreaks>
  <colBreaks count="1" manualBreakCount="1">
    <brk id="4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13"/>
  <sheetViews>
    <sheetView topLeftCell="B1" zoomScaleNormal="100" zoomScaleSheetLayoutView="140" workbookViewId="0">
      <pane xSplit="14" ySplit="9" topLeftCell="P289" activePane="bottomRight" state="frozen"/>
      <selection activeCell="B1" sqref="B1"/>
      <selection pane="topRight" activeCell="P1" sqref="P1"/>
      <selection pane="bottomLeft" activeCell="B10" sqref="B10"/>
      <selection pane="bottomRight" activeCell="AS300" sqref="AS300"/>
    </sheetView>
  </sheetViews>
  <sheetFormatPr defaultRowHeight="15" x14ac:dyDescent="0.25"/>
  <cols>
    <col min="1" max="1" width="7.140625" style="285" customWidth="1"/>
    <col min="2" max="2" width="63.85546875" style="285" customWidth="1"/>
    <col min="3" max="3" width="10" style="285" hidden="1" customWidth="1"/>
    <col min="4" max="4" width="12" style="285" hidden="1" customWidth="1"/>
    <col min="5" max="5" width="9.42578125" style="285" hidden="1" customWidth="1"/>
    <col min="6" max="6" width="11" style="285" hidden="1" customWidth="1"/>
    <col min="7" max="7" width="10.28515625" style="285" hidden="1" customWidth="1"/>
    <col min="8" max="8" width="10.5703125" style="285" hidden="1" customWidth="1"/>
    <col min="9" max="9" width="13.140625" style="285" hidden="1" customWidth="1"/>
    <col min="10" max="10" width="16.140625" style="285" hidden="1" customWidth="1"/>
    <col min="11" max="11" width="13.140625" style="285" hidden="1" customWidth="1"/>
    <col min="12" max="12" width="13.28515625" style="285" hidden="1" customWidth="1"/>
    <col min="13" max="13" width="12.140625" style="285" hidden="1" customWidth="1"/>
    <col min="14" max="14" width="11.7109375" style="285" hidden="1" customWidth="1"/>
    <col min="15" max="15" width="14.42578125" style="285" hidden="1" customWidth="1"/>
    <col min="16" max="16" width="23" style="285" customWidth="1"/>
    <col min="17" max="17" width="23.140625" style="285" customWidth="1"/>
    <col min="18" max="18" width="12.140625" style="285" hidden="1" customWidth="1"/>
    <col min="19" max="19" width="13.140625" style="285" hidden="1" customWidth="1"/>
    <col min="20" max="20" width="10.5703125" style="285" hidden="1" customWidth="1"/>
    <col min="21" max="21" width="12.42578125" style="285" hidden="1" customWidth="1"/>
    <col min="22" max="22" width="11.42578125" style="285" hidden="1" customWidth="1"/>
    <col min="23" max="23" width="10.42578125" style="285" hidden="1" customWidth="1"/>
    <col min="24" max="24" width="12.140625" style="266" hidden="1" customWidth="1"/>
    <col min="25" max="25" width="11.140625" style="266" hidden="1" customWidth="1"/>
    <col min="26" max="26" width="11.140625" style="629" hidden="1" customWidth="1"/>
    <col min="27" max="27" width="22.28515625" style="626" customWidth="1"/>
    <col min="28" max="29" width="11" style="626" hidden="1" customWidth="1"/>
    <col min="30" max="30" width="9.42578125" style="626" hidden="1" customWidth="1"/>
    <col min="31" max="32" width="11" style="626" hidden="1" customWidth="1"/>
    <col min="33" max="33" width="8" style="626" hidden="1" customWidth="1"/>
    <col min="34" max="34" width="10" style="626" hidden="1" customWidth="1"/>
    <col min="35" max="35" width="11.28515625" style="626" hidden="1" customWidth="1"/>
    <col min="36" max="36" width="10" style="626" hidden="1" customWidth="1"/>
    <col min="37" max="37" width="11.5703125" style="626" hidden="1" customWidth="1"/>
    <col min="38" max="38" width="11.140625" style="626" hidden="1" customWidth="1"/>
    <col min="39" max="39" width="8.5703125" style="626" hidden="1" customWidth="1"/>
    <col min="40" max="40" width="7.28515625" style="626" hidden="1" customWidth="1"/>
    <col min="41" max="41" width="6.28515625" style="626" hidden="1" customWidth="1"/>
    <col min="42" max="42" width="11.5703125" style="630" hidden="1" customWidth="1"/>
    <col min="43" max="43" width="11.140625" style="629" hidden="1" customWidth="1"/>
    <col min="44" max="44" width="10.28515625" style="285" bestFit="1" customWidth="1"/>
    <col min="45" max="16384" width="9.140625" style="285"/>
  </cols>
  <sheetData>
    <row r="1" spans="1:43" s="631" customFormat="1" ht="64.5" customHeight="1" x14ac:dyDescent="0.25">
      <c r="A1" s="1591" t="s">
        <v>449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2"/>
      <c r="R1" s="1592"/>
      <c r="S1" s="1592"/>
      <c r="T1" s="1592"/>
      <c r="U1" s="1592"/>
      <c r="V1" s="1592"/>
      <c r="W1" s="1592"/>
      <c r="X1" s="1592"/>
      <c r="Y1" s="1592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  <c r="AO1" s="1592"/>
      <c r="AP1" s="1592"/>
      <c r="AQ1" s="675"/>
    </row>
    <row r="2" spans="1:43" s="600" customFormat="1" ht="20.25" x14ac:dyDescent="0.25">
      <c r="A2" s="601"/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X2" s="602"/>
      <c r="Y2" s="602"/>
      <c r="Z2" s="676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03"/>
      <c r="AQ2" s="676"/>
    </row>
    <row r="3" spans="1:43" ht="50.25" customHeight="1" x14ac:dyDescent="0.25">
      <c r="A3" s="970" t="s">
        <v>3</v>
      </c>
      <c r="B3" s="970" t="s">
        <v>4</v>
      </c>
      <c r="C3" s="952" t="s">
        <v>6</v>
      </c>
      <c r="D3" s="952" t="s">
        <v>14</v>
      </c>
      <c r="E3" s="1530" t="s">
        <v>5</v>
      </c>
      <c r="F3" s="1532"/>
      <c r="G3" s="952" t="s">
        <v>1</v>
      </c>
      <c r="H3" s="952" t="s">
        <v>2</v>
      </c>
      <c r="I3" s="952" t="s">
        <v>0</v>
      </c>
      <c r="J3" s="952" t="s">
        <v>51</v>
      </c>
      <c r="K3" s="952" t="s">
        <v>52</v>
      </c>
      <c r="L3" s="952" t="s">
        <v>275</v>
      </c>
      <c r="M3" s="1530" t="s">
        <v>8</v>
      </c>
      <c r="N3" s="1531"/>
      <c r="O3" s="1532"/>
      <c r="P3" s="950" t="s">
        <v>437</v>
      </c>
      <c r="Q3" s="950" t="s">
        <v>452</v>
      </c>
      <c r="R3" s="1504" t="s">
        <v>306</v>
      </c>
      <c r="S3" s="1505"/>
      <c r="T3" s="1508" t="s">
        <v>68</v>
      </c>
      <c r="U3" s="1590"/>
      <c r="V3" s="1508" t="s">
        <v>320</v>
      </c>
      <c r="W3" s="1590"/>
      <c r="X3" s="1504" t="s">
        <v>70</v>
      </c>
      <c r="Y3" s="1505"/>
      <c r="Z3" s="678" t="s">
        <v>345</v>
      </c>
      <c r="AA3" s="62" t="s">
        <v>453</v>
      </c>
      <c r="AB3" s="950"/>
      <c r="AC3" s="950"/>
      <c r="AD3" s="950"/>
      <c r="AE3" s="950"/>
      <c r="AF3" s="1508" t="s">
        <v>307</v>
      </c>
      <c r="AG3" s="1515"/>
      <c r="AH3" s="1515"/>
      <c r="AI3" s="1515"/>
      <c r="AJ3" s="1516"/>
      <c r="AK3" s="951" t="s">
        <v>73</v>
      </c>
      <c r="AL3" s="1587" t="s">
        <v>74</v>
      </c>
      <c r="AM3" s="1588"/>
      <c r="AN3" s="1588"/>
      <c r="AO3" s="1589"/>
      <c r="AP3" s="604" t="s">
        <v>75</v>
      </c>
      <c r="AQ3" s="678" t="s">
        <v>345</v>
      </c>
    </row>
    <row r="4" spans="1:43" ht="15.75" x14ac:dyDescent="0.25">
      <c r="A4" s="605">
        <v>1</v>
      </c>
      <c r="B4" s="605">
        <v>2</v>
      </c>
      <c r="C4" s="605">
        <v>3</v>
      </c>
      <c r="D4" s="605">
        <v>4</v>
      </c>
      <c r="E4" s="605">
        <v>5</v>
      </c>
      <c r="F4" s="605">
        <v>6</v>
      </c>
      <c r="G4" s="605">
        <v>7</v>
      </c>
      <c r="H4" s="605">
        <v>8</v>
      </c>
      <c r="I4" s="605">
        <v>3</v>
      </c>
      <c r="J4" s="605"/>
      <c r="K4" s="605"/>
      <c r="L4" s="605">
        <v>4</v>
      </c>
      <c r="M4" s="605">
        <v>17</v>
      </c>
      <c r="N4" s="605">
        <v>18</v>
      </c>
      <c r="O4" s="605">
        <v>19</v>
      </c>
      <c r="P4" s="953">
        <v>3</v>
      </c>
      <c r="Q4" s="606">
        <v>4</v>
      </c>
      <c r="R4" s="953">
        <v>7</v>
      </c>
      <c r="S4" s="953">
        <v>8</v>
      </c>
      <c r="T4" s="606">
        <v>9</v>
      </c>
      <c r="U4" s="606">
        <v>10</v>
      </c>
      <c r="V4" s="606">
        <v>11</v>
      </c>
      <c r="W4" s="606">
        <v>12</v>
      </c>
      <c r="X4" s="953">
        <v>13</v>
      </c>
      <c r="Y4" s="953">
        <v>14</v>
      </c>
      <c r="Z4" s="167"/>
      <c r="AA4" s="606">
        <v>5</v>
      </c>
      <c r="AB4" s="606">
        <v>10</v>
      </c>
      <c r="AC4" s="606">
        <v>17</v>
      </c>
      <c r="AD4" s="606">
        <v>18</v>
      </c>
      <c r="AE4" s="606">
        <v>16</v>
      </c>
      <c r="AF4" s="606">
        <v>11</v>
      </c>
      <c r="AG4" s="606">
        <v>12</v>
      </c>
      <c r="AH4" s="606">
        <v>19</v>
      </c>
      <c r="AI4" s="606">
        <v>20</v>
      </c>
      <c r="AJ4" s="606">
        <v>18</v>
      </c>
      <c r="AK4" s="606">
        <v>13</v>
      </c>
      <c r="AL4" s="606">
        <v>14</v>
      </c>
      <c r="AM4" s="606">
        <v>15</v>
      </c>
      <c r="AN4" s="606">
        <v>16</v>
      </c>
      <c r="AO4" s="606">
        <v>17</v>
      </c>
      <c r="AP4" s="606">
        <v>18</v>
      </c>
      <c r="AQ4" s="167"/>
    </row>
    <row r="5" spans="1:43" s="827" customFormat="1" ht="15.75" x14ac:dyDescent="0.25">
      <c r="A5" s="935"/>
      <c r="B5" s="1593" t="s">
        <v>327</v>
      </c>
      <c r="C5" s="1594"/>
      <c r="D5" s="1594"/>
      <c r="E5" s="1594"/>
      <c r="F5" s="1595"/>
      <c r="G5" s="936"/>
      <c r="H5" s="936"/>
      <c r="I5" s="937"/>
      <c r="J5" s="679">
        <f t="shared" ref="J5:O5" si="0">J6+J7+J8+J9</f>
        <v>2106395.81</v>
      </c>
      <c r="K5" s="679">
        <f t="shared" si="0"/>
        <v>979387.0199999999</v>
      </c>
      <c r="L5" s="679">
        <f t="shared" si="0"/>
        <v>2984552.38</v>
      </c>
      <c r="M5" s="679">
        <f t="shared" si="0"/>
        <v>1176698.6399999999</v>
      </c>
      <c r="N5" s="679">
        <f t="shared" si="0"/>
        <v>980121.65</v>
      </c>
      <c r="O5" s="679">
        <f t="shared" si="0"/>
        <v>497854.22000000003</v>
      </c>
      <c r="P5" s="679">
        <f t="shared" ref="P5:AA5" si="1">P10+P155</f>
        <v>519486.85400000005</v>
      </c>
      <c r="Q5" s="679">
        <f t="shared" si="1"/>
        <v>31434.44759</v>
      </c>
      <c r="R5" s="679">
        <f t="shared" si="1"/>
        <v>72805.164000000004</v>
      </c>
      <c r="S5" s="679">
        <f t="shared" si="1"/>
        <v>76221.829999999987</v>
      </c>
      <c r="T5" s="679">
        <f t="shared" si="1"/>
        <v>91691.164609999993</v>
      </c>
      <c r="U5" s="679">
        <f t="shared" si="1"/>
        <v>93654.682609999989</v>
      </c>
      <c r="V5" s="679">
        <f t="shared" si="1"/>
        <v>56721.851999999992</v>
      </c>
      <c r="W5" s="679">
        <f t="shared" si="1"/>
        <v>57700.621999999996</v>
      </c>
      <c r="X5" s="679">
        <f t="shared" si="1"/>
        <v>21705.95</v>
      </c>
      <c r="Y5" s="679">
        <f t="shared" si="1"/>
        <v>21705.95</v>
      </c>
      <c r="Z5" s="679">
        <f t="shared" si="1"/>
        <v>21705.95</v>
      </c>
      <c r="AA5" s="679">
        <f t="shared" si="1"/>
        <v>46861.730060000002</v>
      </c>
      <c r="AB5" s="679">
        <f t="shared" ref="AB5:AO5" si="2">AB6+AB7+AB8+AB9</f>
        <v>20577.904999999999</v>
      </c>
      <c r="AC5" s="679">
        <f t="shared" si="2"/>
        <v>36255.689000000006</v>
      </c>
      <c r="AD5" s="679">
        <f t="shared" si="2"/>
        <v>72795.814890000009</v>
      </c>
      <c r="AE5" s="679">
        <f t="shared" si="2"/>
        <v>0</v>
      </c>
      <c r="AF5" s="679">
        <f t="shared" si="2"/>
        <v>0</v>
      </c>
      <c r="AG5" s="679">
        <f t="shared" si="2"/>
        <v>0</v>
      </c>
      <c r="AH5" s="679">
        <f t="shared" si="2"/>
        <v>0</v>
      </c>
      <c r="AI5" s="679">
        <f t="shared" si="2"/>
        <v>0</v>
      </c>
      <c r="AJ5" s="679">
        <f t="shared" si="2"/>
        <v>0</v>
      </c>
      <c r="AK5" s="679">
        <f t="shared" si="2"/>
        <v>317720.54000000004</v>
      </c>
      <c r="AL5" s="679">
        <f t="shared" si="2"/>
        <v>317720.54000000004</v>
      </c>
      <c r="AM5" s="679">
        <f>ROUND((Q5*100%/P5*100),2)</f>
        <v>6.05</v>
      </c>
      <c r="AN5" s="679">
        <f t="shared" si="2"/>
        <v>0</v>
      </c>
      <c r="AO5" s="679">
        <f t="shared" si="2"/>
        <v>0</v>
      </c>
      <c r="AP5" s="938"/>
      <c r="AQ5" s="679">
        <f>AQ10+AQ155</f>
        <v>4934.7240000000002</v>
      </c>
    </row>
    <row r="6" spans="1:43" s="327" customFormat="1" ht="27.75" hidden="1" customHeight="1" x14ac:dyDescent="0.25">
      <c r="A6" s="1419"/>
      <c r="B6" s="1596"/>
      <c r="C6" s="1596"/>
      <c r="D6" s="1596"/>
      <c r="E6" s="1596"/>
      <c r="F6" s="1596"/>
      <c r="G6" s="1596"/>
      <c r="H6" s="1597"/>
      <c r="I6" s="609" t="s">
        <v>19</v>
      </c>
      <c r="J6" s="3">
        <f t="shared" ref="J6:O9" si="3">J11+J156</f>
        <v>1130844</v>
      </c>
      <c r="K6" s="3">
        <f t="shared" si="3"/>
        <v>277183.29999999993</v>
      </c>
      <c r="L6" s="3">
        <f t="shared" si="3"/>
        <v>943503.33999999985</v>
      </c>
      <c r="M6" s="3">
        <f t="shared" si="3"/>
        <v>139101.35</v>
      </c>
      <c r="N6" s="3">
        <f t="shared" si="3"/>
        <v>119048.09999999999</v>
      </c>
      <c r="O6" s="3">
        <f t="shared" si="3"/>
        <v>108418.62000000001</v>
      </c>
      <c r="P6" s="3">
        <f t="shared" ref="P6:AA6" si="4">P11+P156</f>
        <v>264162.01</v>
      </c>
      <c r="Q6" s="3">
        <f t="shared" si="4"/>
        <v>0</v>
      </c>
      <c r="R6" s="3">
        <f t="shared" si="4"/>
        <v>1128.182</v>
      </c>
      <c r="S6" s="3">
        <f t="shared" si="4"/>
        <v>4128.1819999999998</v>
      </c>
      <c r="T6" s="3">
        <f t="shared" si="4"/>
        <v>31.5</v>
      </c>
      <c r="U6" s="3">
        <f t="shared" si="4"/>
        <v>2236.8380000000002</v>
      </c>
      <c r="V6" s="3">
        <f t="shared" si="4"/>
        <v>0</v>
      </c>
      <c r="W6" s="3">
        <f t="shared" si="4"/>
        <v>0</v>
      </c>
      <c r="X6" s="3">
        <f t="shared" si="4"/>
        <v>0</v>
      </c>
      <c r="Y6" s="3">
        <f t="shared" si="4"/>
        <v>0</v>
      </c>
      <c r="Z6" s="95">
        <f t="shared" si="4"/>
        <v>0</v>
      </c>
      <c r="AA6" s="3">
        <f t="shared" si="4"/>
        <v>0</v>
      </c>
      <c r="AB6" s="3">
        <f t="shared" ref="AB6:AL6" si="5">AB11+AB156</f>
        <v>3015.1369999999997</v>
      </c>
      <c r="AC6" s="3">
        <f t="shared" si="5"/>
        <v>0</v>
      </c>
      <c r="AD6" s="3">
        <f t="shared" si="5"/>
        <v>31.5</v>
      </c>
      <c r="AE6" s="3">
        <f t="shared" si="5"/>
        <v>0</v>
      </c>
      <c r="AF6" s="3">
        <f t="shared" si="5"/>
        <v>0</v>
      </c>
      <c r="AG6" s="3">
        <f t="shared" si="5"/>
        <v>0</v>
      </c>
      <c r="AH6" s="3">
        <f t="shared" si="5"/>
        <v>0</v>
      </c>
      <c r="AI6" s="3">
        <f t="shared" si="5"/>
        <v>0</v>
      </c>
      <c r="AJ6" s="3">
        <f t="shared" si="5"/>
        <v>0</v>
      </c>
      <c r="AK6" s="3">
        <f t="shared" si="5"/>
        <v>192946.75</v>
      </c>
      <c r="AL6" s="3">
        <f t="shared" si="5"/>
        <v>192946.75</v>
      </c>
      <c r="AM6" s="385">
        <f>ROUND((Q6*100%/P6*100),2)</f>
        <v>0</v>
      </c>
      <c r="AN6" s="3">
        <f t="shared" ref="AN6:AO9" si="6">AN11+AN156</f>
        <v>0</v>
      </c>
      <c r="AO6" s="3">
        <f t="shared" si="6"/>
        <v>0</v>
      </c>
      <c r="AP6" s="632"/>
      <c r="AQ6" s="95">
        <f>AQ11+AQ156</f>
        <v>0</v>
      </c>
    </row>
    <row r="7" spans="1:43" s="327" customFormat="1" ht="39" hidden="1" customHeight="1" x14ac:dyDescent="0.25">
      <c r="A7" s="1598"/>
      <c r="B7" s="1599"/>
      <c r="C7" s="1599"/>
      <c r="D7" s="1599"/>
      <c r="E7" s="1599"/>
      <c r="F7" s="1599"/>
      <c r="G7" s="1599"/>
      <c r="H7" s="1600"/>
      <c r="I7" s="609" t="s">
        <v>20</v>
      </c>
      <c r="J7" s="3">
        <f t="shared" si="3"/>
        <v>249930.72999999998</v>
      </c>
      <c r="K7" s="3">
        <f t="shared" si="3"/>
        <v>0</v>
      </c>
      <c r="L7" s="3">
        <f t="shared" si="3"/>
        <v>583894.28999999992</v>
      </c>
      <c r="M7" s="3">
        <f t="shared" si="3"/>
        <v>60774.350000000006</v>
      </c>
      <c r="N7" s="3">
        <f t="shared" si="3"/>
        <v>134872.99000000002</v>
      </c>
      <c r="O7" s="3">
        <f t="shared" si="3"/>
        <v>91691.959999999992</v>
      </c>
      <c r="P7" s="3">
        <f t="shared" ref="P7:AA7" si="7">P12+P157</f>
        <v>175498.53000000003</v>
      </c>
      <c r="Q7" s="3">
        <f t="shared" si="7"/>
        <v>1365.4</v>
      </c>
      <c r="R7" s="3">
        <f t="shared" si="7"/>
        <v>12156.708000000001</v>
      </c>
      <c r="S7" s="3">
        <f t="shared" si="7"/>
        <v>12573.374</v>
      </c>
      <c r="T7" s="3">
        <f t="shared" si="7"/>
        <v>22089.049000000003</v>
      </c>
      <c r="U7" s="3">
        <f t="shared" si="7"/>
        <v>21847.228999999999</v>
      </c>
      <c r="V7" s="3">
        <f t="shared" si="7"/>
        <v>6338.5969999999998</v>
      </c>
      <c r="W7" s="3">
        <f t="shared" si="7"/>
        <v>7317.3669999999993</v>
      </c>
      <c r="X7" s="3">
        <f t="shared" si="7"/>
        <v>0</v>
      </c>
      <c r="Y7" s="3">
        <f t="shared" si="7"/>
        <v>0</v>
      </c>
      <c r="Z7" s="95">
        <f t="shared" si="7"/>
        <v>0</v>
      </c>
      <c r="AA7" s="3">
        <f t="shared" si="7"/>
        <v>2020</v>
      </c>
      <c r="AB7" s="3">
        <f t="shared" ref="AB7:AL7" si="8">AB12+AB157</f>
        <v>40.5</v>
      </c>
      <c r="AC7" s="3">
        <f t="shared" si="8"/>
        <v>4148.6930000000002</v>
      </c>
      <c r="AD7" s="3">
        <f t="shared" si="8"/>
        <v>72764.314890000009</v>
      </c>
      <c r="AE7" s="3">
        <f t="shared" si="8"/>
        <v>0</v>
      </c>
      <c r="AF7" s="3">
        <f t="shared" si="8"/>
        <v>0</v>
      </c>
      <c r="AG7" s="3">
        <f t="shared" si="8"/>
        <v>0</v>
      </c>
      <c r="AH7" s="3">
        <f t="shared" si="8"/>
        <v>0</v>
      </c>
      <c r="AI7" s="3">
        <f t="shared" si="8"/>
        <v>0</v>
      </c>
      <c r="AJ7" s="3">
        <f t="shared" si="8"/>
        <v>0</v>
      </c>
      <c r="AK7" s="3">
        <f t="shared" si="8"/>
        <v>124773.79000000001</v>
      </c>
      <c r="AL7" s="3">
        <f t="shared" si="8"/>
        <v>124773.79000000001</v>
      </c>
      <c r="AM7" s="385">
        <f>ROUND((Q7*100%/P7*100),2)</f>
        <v>0.78</v>
      </c>
      <c r="AN7" s="3">
        <f t="shared" si="6"/>
        <v>0</v>
      </c>
      <c r="AO7" s="3">
        <f t="shared" si="6"/>
        <v>0</v>
      </c>
      <c r="AP7" s="632"/>
      <c r="AQ7" s="95">
        <f>AQ12+AQ157</f>
        <v>0</v>
      </c>
    </row>
    <row r="8" spans="1:43" s="327" customFormat="1" ht="25.5" hidden="1" customHeight="1" x14ac:dyDescent="0.25">
      <c r="A8" s="1598"/>
      <c r="B8" s="1599"/>
      <c r="C8" s="1599"/>
      <c r="D8" s="1599"/>
      <c r="E8" s="1599"/>
      <c r="F8" s="1599"/>
      <c r="G8" s="1599"/>
      <c r="H8" s="1600"/>
      <c r="I8" s="609" t="s">
        <v>10</v>
      </c>
      <c r="J8" s="3">
        <f t="shared" si="3"/>
        <v>23417.360000000001</v>
      </c>
      <c r="K8" s="3">
        <f t="shared" si="3"/>
        <v>0</v>
      </c>
      <c r="L8" s="3">
        <f t="shared" si="3"/>
        <v>667536.91</v>
      </c>
      <c r="M8" s="3">
        <f t="shared" si="3"/>
        <v>627881.75</v>
      </c>
      <c r="N8" s="3">
        <f t="shared" si="3"/>
        <v>529727.44999999995</v>
      </c>
      <c r="O8" s="3">
        <f t="shared" si="3"/>
        <v>297742.64</v>
      </c>
      <c r="P8" s="3">
        <f t="shared" ref="P8:AA8" si="9">P13+P158</f>
        <v>0</v>
      </c>
      <c r="Q8" s="3">
        <f t="shared" si="9"/>
        <v>30033.375440000003</v>
      </c>
      <c r="R8" s="3">
        <f t="shared" si="9"/>
        <v>21705.95</v>
      </c>
      <c r="S8" s="3">
        <f t="shared" si="9"/>
        <v>21705.95</v>
      </c>
      <c r="T8" s="3">
        <f t="shared" si="9"/>
        <v>67610.615609999993</v>
      </c>
      <c r="U8" s="3">
        <f t="shared" si="9"/>
        <v>67610.615609999993</v>
      </c>
      <c r="V8" s="3">
        <f t="shared" si="9"/>
        <v>50383.255000000005</v>
      </c>
      <c r="W8" s="3">
        <f t="shared" si="9"/>
        <v>50383.255000000005</v>
      </c>
      <c r="X8" s="3">
        <f t="shared" si="9"/>
        <v>21705.95</v>
      </c>
      <c r="Y8" s="3">
        <f t="shared" si="9"/>
        <v>21705.95</v>
      </c>
      <c r="Z8" s="95">
        <f t="shared" si="9"/>
        <v>0</v>
      </c>
      <c r="AA8" s="3">
        <f t="shared" si="9"/>
        <v>44806.057910000003</v>
      </c>
      <c r="AB8" s="3">
        <f t="shared" ref="AB8:AL8" si="10">AB13+AB158</f>
        <v>17522.268</v>
      </c>
      <c r="AC8" s="3">
        <f t="shared" si="10"/>
        <v>32106.996000000003</v>
      </c>
      <c r="AD8" s="3">
        <f t="shared" si="10"/>
        <v>0</v>
      </c>
      <c r="AE8" s="3">
        <f t="shared" si="10"/>
        <v>0</v>
      </c>
      <c r="AF8" s="3">
        <f t="shared" si="10"/>
        <v>0</v>
      </c>
      <c r="AG8" s="3">
        <f t="shared" si="10"/>
        <v>0</v>
      </c>
      <c r="AH8" s="3">
        <f t="shared" si="10"/>
        <v>0</v>
      </c>
      <c r="AI8" s="3">
        <f t="shared" si="10"/>
        <v>0</v>
      </c>
      <c r="AJ8" s="3">
        <f t="shared" si="10"/>
        <v>0</v>
      </c>
      <c r="AK8" s="3">
        <f t="shared" si="10"/>
        <v>0</v>
      </c>
      <c r="AL8" s="3">
        <f t="shared" si="10"/>
        <v>0</v>
      </c>
      <c r="AM8" s="385">
        <v>0</v>
      </c>
      <c r="AN8" s="3">
        <f t="shared" si="6"/>
        <v>0</v>
      </c>
      <c r="AO8" s="3">
        <f t="shared" si="6"/>
        <v>0</v>
      </c>
      <c r="AP8" s="632"/>
      <c r="AQ8" s="95">
        <f>AQ13+AQ158</f>
        <v>0</v>
      </c>
    </row>
    <row r="9" spans="1:43" s="327" customFormat="1" ht="25.5" hidden="1" x14ac:dyDescent="0.25">
      <c r="A9" s="1601"/>
      <c r="B9" s="1602"/>
      <c r="C9" s="1602"/>
      <c r="D9" s="1602"/>
      <c r="E9" s="1602"/>
      <c r="F9" s="1602"/>
      <c r="G9" s="1602"/>
      <c r="H9" s="1603"/>
      <c r="I9" s="609" t="s">
        <v>9</v>
      </c>
      <c r="J9" s="3">
        <f t="shared" si="3"/>
        <v>702203.72</v>
      </c>
      <c r="K9" s="3">
        <f t="shared" si="3"/>
        <v>702203.72</v>
      </c>
      <c r="L9" s="3">
        <f t="shared" si="3"/>
        <v>789617.84</v>
      </c>
      <c r="M9" s="3">
        <f t="shared" si="3"/>
        <v>348941.19</v>
      </c>
      <c r="N9" s="3">
        <f t="shared" si="3"/>
        <v>196473.11</v>
      </c>
      <c r="O9" s="3">
        <f t="shared" si="3"/>
        <v>1</v>
      </c>
      <c r="P9" s="3">
        <f t="shared" ref="P9:AA9" si="11">P14+P159</f>
        <v>0</v>
      </c>
      <c r="Q9" s="3">
        <f t="shared" si="11"/>
        <v>0</v>
      </c>
      <c r="R9" s="3">
        <f t="shared" si="11"/>
        <v>37814.324000000001</v>
      </c>
      <c r="S9" s="3">
        <f t="shared" si="11"/>
        <v>37814.324000000001</v>
      </c>
      <c r="T9" s="3">
        <f t="shared" si="11"/>
        <v>0</v>
      </c>
      <c r="U9" s="3">
        <f t="shared" si="11"/>
        <v>0</v>
      </c>
      <c r="V9" s="3">
        <f t="shared" si="11"/>
        <v>0</v>
      </c>
      <c r="W9" s="3">
        <f t="shared" si="11"/>
        <v>0</v>
      </c>
      <c r="X9" s="3">
        <f t="shared" si="11"/>
        <v>0</v>
      </c>
      <c r="Y9" s="3">
        <f t="shared" si="11"/>
        <v>0</v>
      </c>
      <c r="Z9" s="95">
        <f t="shared" si="11"/>
        <v>0</v>
      </c>
      <c r="AA9" s="3">
        <f t="shared" si="11"/>
        <v>0</v>
      </c>
      <c r="AB9" s="3">
        <f t="shared" ref="AB9:AL9" si="12">AB14+AB159</f>
        <v>0</v>
      </c>
      <c r="AC9" s="3">
        <f t="shared" si="12"/>
        <v>0</v>
      </c>
      <c r="AD9" s="3">
        <f t="shared" si="12"/>
        <v>0</v>
      </c>
      <c r="AE9" s="3">
        <f t="shared" si="12"/>
        <v>0</v>
      </c>
      <c r="AF9" s="3">
        <f t="shared" si="12"/>
        <v>0</v>
      </c>
      <c r="AG9" s="3">
        <f t="shared" si="12"/>
        <v>0</v>
      </c>
      <c r="AH9" s="3">
        <f t="shared" si="12"/>
        <v>0</v>
      </c>
      <c r="AI9" s="3">
        <f t="shared" si="12"/>
        <v>0</v>
      </c>
      <c r="AJ9" s="3">
        <f t="shared" si="12"/>
        <v>0</v>
      </c>
      <c r="AK9" s="3">
        <f t="shared" si="12"/>
        <v>0</v>
      </c>
      <c r="AL9" s="3">
        <f t="shared" si="12"/>
        <v>0</v>
      </c>
      <c r="AM9" s="385">
        <v>0</v>
      </c>
      <c r="AN9" s="3">
        <f t="shared" si="6"/>
        <v>0</v>
      </c>
      <c r="AO9" s="3">
        <f t="shared" si="6"/>
        <v>0</v>
      </c>
      <c r="AP9" s="632"/>
      <c r="AQ9" s="95">
        <f>AQ14+AQ159</f>
        <v>0</v>
      </c>
    </row>
    <row r="10" spans="1:43" s="925" customFormat="1" ht="15.75" x14ac:dyDescent="0.25">
      <c r="A10" s="1604" t="s">
        <v>442</v>
      </c>
      <c r="B10" s="1605"/>
      <c r="C10" s="1605"/>
      <c r="D10" s="1605"/>
      <c r="E10" s="1605"/>
      <c r="F10" s="1605"/>
      <c r="G10" s="1605"/>
      <c r="H10" s="1606"/>
      <c r="I10" s="921" t="s">
        <v>21</v>
      </c>
      <c r="J10" s="922">
        <f t="shared" ref="J10:O10" si="13">J11+J12+J13+J14</f>
        <v>1940430.69</v>
      </c>
      <c r="K10" s="922">
        <f t="shared" si="13"/>
        <v>954032.91999999993</v>
      </c>
      <c r="L10" s="922">
        <f>L11+L12+L13+L14</f>
        <v>1942433.19</v>
      </c>
      <c r="M10" s="922">
        <f>M11+M12+M13+M14</f>
        <v>605672.16</v>
      </c>
      <c r="N10" s="922">
        <f t="shared" si="13"/>
        <v>363282.47</v>
      </c>
      <c r="O10" s="922">
        <f t="shared" si="13"/>
        <v>116582.55</v>
      </c>
      <c r="P10" s="923">
        <f>P19+P33+P36+P47+P58+P68+P82+P86+P93+P96+P99+P102+P108+P113+P116+P120+P125+P138+P40+P62+P132+P135+P72+P76+P143+P148</f>
        <v>226744.65400000001</v>
      </c>
      <c r="Q10" s="923">
        <f t="shared" ref="Q10:Z10" si="14">Q19+Q33+Q36+Q47+Q58+Q68+Q82+Q86+Q93+Q96+Q99+Q102+Q108+Q113+Q116+Q120+Q125+Q138+Q40+Q62+Q132+Q135+Q72+Q76+Q143+Q148</f>
        <v>110.67214999999999</v>
      </c>
      <c r="R10" s="923">
        <f t="shared" si="14"/>
        <v>49571.563999999998</v>
      </c>
      <c r="S10" s="923">
        <f t="shared" si="14"/>
        <v>49988.229999999996</v>
      </c>
      <c r="T10" s="923">
        <f t="shared" si="14"/>
        <v>65950.61860999999</v>
      </c>
      <c r="U10" s="923">
        <f t="shared" si="14"/>
        <v>65705.398609999989</v>
      </c>
      <c r="V10" s="923">
        <f t="shared" si="14"/>
        <v>2007.1869999999999</v>
      </c>
      <c r="W10" s="923">
        <f t="shared" si="14"/>
        <v>2047.0429999999999</v>
      </c>
      <c r="X10" s="923">
        <f t="shared" si="14"/>
        <v>0</v>
      </c>
      <c r="Y10" s="923">
        <f t="shared" si="14"/>
        <v>0</v>
      </c>
      <c r="Z10" s="923">
        <f t="shared" si="14"/>
        <v>0</v>
      </c>
      <c r="AA10" s="923">
        <f>AA19+AA33+AA36+AA47+AA58+AA68+AA82+AA86+AA93+AA96+AA99+AA102+AA108+AA113+AA116+AA120+AA125+AA138+AA40+AA62+AA132+AA135+AA72+AA76+AA143+AA148</f>
        <v>110.67214999999999</v>
      </c>
      <c r="AB10" s="923">
        <f t="shared" ref="AB10:AO10" si="15">AB11+AB12+AB13+AB14</f>
        <v>106.83</v>
      </c>
      <c r="AC10" s="923">
        <f t="shared" si="15"/>
        <v>914.28300000000002</v>
      </c>
      <c r="AD10" s="923">
        <f t="shared" si="15"/>
        <v>3005.3339999999998</v>
      </c>
      <c r="AE10" s="923">
        <f t="shared" si="15"/>
        <v>0</v>
      </c>
      <c r="AF10" s="923">
        <f t="shared" si="15"/>
        <v>0</v>
      </c>
      <c r="AG10" s="923">
        <f t="shared" si="15"/>
        <v>0</v>
      </c>
      <c r="AH10" s="923">
        <f t="shared" si="15"/>
        <v>0</v>
      </c>
      <c r="AI10" s="923">
        <f t="shared" si="15"/>
        <v>0</v>
      </c>
      <c r="AJ10" s="923">
        <f t="shared" si="15"/>
        <v>0</v>
      </c>
      <c r="AK10" s="923">
        <f t="shared" si="15"/>
        <v>170072.3</v>
      </c>
      <c r="AL10" s="923">
        <f t="shared" si="15"/>
        <v>170072.3</v>
      </c>
      <c r="AM10" s="923" t="e">
        <f t="shared" si="15"/>
        <v>#DIV/0!</v>
      </c>
      <c r="AN10" s="923">
        <f t="shared" si="15"/>
        <v>0</v>
      </c>
      <c r="AO10" s="923">
        <f t="shared" si="15"/>
        <v>0</v>
      </c>
      <c r="AP10" s="924"/>
      <c r="AQ10" s="923">
        <f>AQ19+AQ33+AQ36+AQ47+AQ58+AQ68+AQ82+AQ86+AQ93+AQ96+AQ99+AQ102+AQ108+AQ113+AQ116+AQ120+AQ125+AQ138</f>
        <v>40</v>
      </c>
    </row>
    <row r="11" spans="1:43" ht="28.5" hidden="1" customHeight="1" x14ac:dyDescent="0.25">
      <c r="A11" s="1607"/>
      <c r="B11" s="1608"/>
      <c r="C11" s="1608"/>
      <c r="D11" s="1608"/>
      <c r="E11" s="1608"/>
      <c r="F11" s="1608"/>
      <c r="G11" s="1608"/>
      <c r="H11" s="1609"/>
      <c r="I11" s="23" t="s">
        <v>19</v>
      </c>
      <c r="J11" s="47">
        <f t="shared" ref="J11:Y11" si="16">J15+J128</f>
        <v>977955.46</v>
      </c>
      <c r="K11" s="47">
        <f t="shared" si="16"/>
        <v>251829.19999999995</v>
      </c>
      <c r="L11" s="47">
        <f t="shared" si="16"/>
        <v>750480.15999999992</v>
      </c>
      <c r="M11" s="47">
        <f t="shared" si="16"/>
        <v>96658.23</v>
      </c>
      <c r="N11" s="47">
        <f t="shared" si="16"/>
        <v>83716.939999999988</v>
      </c>
      <c r="O11" s="47">
        <f t="shared" si="16"/>
        <v>78886.680000000008</v>
      </c>
      <c r="P11" s="47">
        <f t="shared" si="16"/>
        <v>164000</v>
      </c>
      <c r="Q11" s="47">
        <f t="shared" si="16"/>
        <v>0</v>
      </c>
      <c r="R11" s="47">
        <f t="shared" si="16"/>
        <v>384.71</v>
      </c>
      <c r="S11" s="47">
        <f t="shared" si="16"/>
        <v>384.71</v>
      </c>
      <c r="T11" s="47">
        <f t="shared" si="16"/>
        <v>0</v>
      </c>
      <c r="U11" s="47">
        <f t="shared" si="16"/>
        <v>0</v>
      </c>
      <c r="V11" s="47">
        <f t="shared" si="16"/>
        <v>0</v>
      </c>
      <c r="W11" s="47">
        <f t="shared" si="16"/>
        <v>0</v>
      </c>
      <c r="X11" s="47">
        <f t="shared" si="16"/>
        <v>0</v>
      </c>
      <c r="Y11" s="47">
        <f t="shared" si="16"/>
        <v>0</v>
      </c>
      <c r="Z11" s="96"/>
      <c r="AA11" s="47">
        <f t="shared" ref="AA11:AO11" si="17">AA15+AA128</f>
        <v>0</v>
      </c>
      <c r="AB11" s="47">
        <f t="shared" si="17"/>
        <v>66.33</v>
      </c>
      <c r="AC11" s="47">
        <f t="shared" si="17"/>
        <v>0</v>
      </c>
      <c r="AD11" s="47">
        <f t="shared" si="17"/>
        <v>0</v>
      </c>
      <c r="AE11" s="47">
        <f t="shared" si="17"/>
        <v>0</v>
      </c>
      <c r="AF11" s="47">
        <f t="shared" si="17"/>
        <v>0</v>
      </c>
      <c r="AG11" s="47">
        <f t="shared" si="17"/>
        <v>0</v>
      </c>
      <c r="AH11" s="47">
        <f t="shared" si="17"/>
        <v>0</v>
      </c>
      <c r="AI11" s="47">
        <f t="shared" si="17"/>
        <v>0</v>
      </c>
      <c r="AJ11" s="47">
        <f t="shared" si="17"/>
        <v>0</v>
      </c>
      <c r="AK11" s="47">
        <f t="shared" si="17"/>
        <v>164000</v>
      </c>
      <c r="AL11" s="47">
        <f t="shared" si="17"/>
        <v>164000</v>
      </c>
      <c r="AM11" s="47">
        <f t="shared" si="17"/>
        <v>0</v>
      </c>
      <c r="AN11" s="47">
        <f t="shared" si="17"/>
        <v>0</v>
      </c>
      <c r="AO11" s="47">
        <f t="shared" si="17"/>
        <v>0</v>
      </c>
      <c r="AP11" s="397"/>
      <c r="AQ11" s="96"/>
    </row>
    <row r="12" spans="1:43" ht="38.25" hidden="1" customHeight="1" x14ac:dyDescent="0.25">
      <c r="A12" s="1607"/>
      <c r="B12" s="1608"/>
      <c r="C12" s="1608"/>
      <c r="D12" s="1608"/>
      <c r="E12" s="1608"/>
      <c r="F12" s="1608"/>
      <c r="G12" s="1608"/>
      <c r="H12" s="1609"/>
      <c r="I12" s="23" t="s">
        <v>20</v>
      </c>
      <c r="J12" s="47">
        <f>J16+J44+J52+J65+J79+J129</f>
        <v>236854.15</v>
      </c>
      <c r="K12" s="47">
        <f>K16+K65+K129</f>
        <v>0</v>
      </c>
      <c r="L12" s="47">
        <f t="shared" ref="L12:Y12" si="18">L16+L44+L52+L65+L79+L129</f>
        <v>230331.37</v>
      </c>
      <c r="M12" s="47">
        <f t="shared" si="18"/>
        <v>24568.73</v>
      </c>
      <c r="N12" s="47">
        <f t="shared" si="18"/>
        <v>46592.61</v>
      </c>
      <c r="O12" s="47">
        <f t="shared" si="18"/>
        <v>37695.869999999995</v>
      </c>
      <c r="P12" s="47">
        <f t="shared" si="18"/>
        <v>43488.07</v>
      </c>
      <c r="Q12" s="47">
        <f t="shared" si="18"/>
        <v>75</v>
      </c>
      <c r="R12" s="47">
        <f t="shared" si="18"/>
        <v>11372.53</v>
      </c>
      <c r="S12" s="47">
        <f t="shared" si="18"/>
        <v>11789.196</v>
      </c>
      <c r="T12" s="47">
        <f t="shared" si="18"/>
        <v>18085.953000000001</v>
      </c>
      <c r="U12" s="47">
        <f t="shared" si="18"/>
        <v>17840.733</v>
      </c>
      <c r="V12" s="47">
        <f t="shared" si="18"/>
        <v>2007.1869999999999</v>
      </c>
      <c r="W12" s="47">
        <f t="shared" si="18"/>
        <v>2047.0429999999999</v>
      </c>
      <c r="X12" s="47">
        <f t="shared" si="18"/>
        <v>0</v>
      </c>
      <c r="Y12" s="47">
        <f t="shared" si="18"/>
        <v>0</v>
      </c>
      <c r="Z12" s="96"/>
      <c r="AA12" s="47">
        <f t="shared" ref="AA12:AO12" si="19">AA16+AA44+AA52+AA65+AA79+AA129</f>
        <v>75</v>
      </c>
      <c r="AB12" s="47">
        <f t="shared" si="19"/>
        <v>40.5</v>
      </c>
      <c r="AC12" s="47">
        <f t="shared" si="19"/>
        <v>907.08299999999997</v>
      </c>
      <c r="AD12" s="47">
        <f t="shared" si="19"/>
        <v>3005.3339999999998</v>
      </c>
      <c r="AE12" s="47">
        <f t="shared" si="19"/>
        <v>0</v>
      </c>
      <c r="AF12" s="47">
        <f t="shared" si="19"/>
        <v>0</v>
      </c>
      <c r="AG12" s="47">
        <f t="shared" si="19"/>
        <v>0</v>
      </c>
      <c r="AH12" s="47">
        <f t="shared" si="19"/>
        <v>0</v>
      </c>
      <c r="AI12" s="47">
        <f t="shared" si="19"/>
        <v>0</v>
      </c>
      <c r="AJ12" s="47">
        <f t="shared" si="19"/>
        <v>0</v>
      </c>
      <c r="AK12" s="47">
        <f t="shared" si="19"/>
        <v>6072.3000000000011</v>
      </c>
      <c r="AL12" s="47">
        <f t="shared" si="19"/>
        <v>6072.3000000000011</v>
      </c>
      <c r="AM12" s="47" t="e">
        <f t="shared" si="19"/>
        <v>#DIV/0!</v>
      </c>
      <c r="AN12" s="47">
        <f t="shared" si="19"/>
        <v>0</v>
      </c>
      <c r="AO12" s="47">
        <f t="shared" si="19"/>
        <v>0</v>
      </c>
      <c r="AP12" s="397"/>
      <c r="AQ12" s="96"/>
    </row>
    <row r="13" spans="1:43" ht="25.5" hidden="1" customHeight="1" x14ac:dyDescent="0.25">
      <c r="A13" s="1607"/>
      <c r="B13" s="1608"/>
      <c r="C13" s="1608"/>
      <c r="D13" s="1608"/>
      <c r="E13" s="1608"/>
      <c r="F13" s="1608"/>
      <c r="G13" s="1608"/>
      <c r="H13" s="1609"/>
      <c r="I13" s="23" t="s">
        <v>10</v>
      </c>
      <c r="J13" s="47">
        <f t="shared" ref="J13:Y13" si="20">J17+J66+J130+J45</f>
        <v>23417.360000000001</v>
      </c>
      <c r="K13" s="47">
        <f t="shared" si="20"/>
        <v>0</v>
      </c>
      <c r="L13" s="47">
        <f t="shared" si="20"/>
        <v>172003.82</v>
      </c>
      <c r="M13" s="47">
        <f t="shared" si="20"/>
        <v>135504.01</v>
      </c>
      <c r="N13" s="47">
        <f t="shared" si="20"/>
        <v>36499.81</v>
      </c>
      <c r="O13" s="47">
        <f t="shared" si="20"/>
        <v>0</v>
      </c>
      <c r="P13" s="47">
        <f t="shared" si="20"/>
        <v>0</v>
      </c>
      <c r="Q13" s="47">
        <f t="shared" si="20"/>
        <v>0</v>
      </c>
      <c r="R13" s="47">
        <f t="shared" si="20"/>
        <v>0</v>
      </c>
      <c r="S13" s="47">
        <f t="shared" si="20"/>
        <v>0</v>
      </c>
      <c r="T13" s="47">
        <f t="shared" si="20"/>
        <v>45904.665609999996</v>
      </c>
      <c r="U13" s="47">
        <f t="shared" si="20"/>
        <v>45904.665609999996</v>
      </c>
      <c r="V13" s="47">
        <f t="shared" si="20"/>
        <v>0</v>
      </c>
      <c r="W13" s="47">
        <f t="shared" si="20"/>
        <v>0</v>
      </c>
      <c r="X13" s="47">
        <f t="shared" si="20"/>
        <v>0</v>
      </c>
      <c r="Y13" s="47">
        <f t="shared" si="20"/>
        <v>0</v>
      </c>
      <c r="Z13" s="96"/>
      <c r="AA13" s="47">
        <f t="shared" ref="AA13:AO13" si="21">AA17+AA66+AA130+AA45</f>
        <v>0</v>
      </c>
      <c r="AB13" s="47">
        <f t="shared" si="21"/>
        <v>0</v>
      </c>
      <c r="AC13" s="47">
        <f t="shared" si="21"/>
        <v>7.2</v>
      </c>
      <c r="AD13" s="47">
        <f t="shared" si="21"/>
        <v>0</v>
      </c>
      <c r="AE13" s="47">
        <f t="shared" si="21"/>
        <v>0</v>
      </c>
      <c r="AF13" s="47">
        <f t="shared" si="21"/>
        <v>0</v>
      </c>
      <c r="AG13" s="47">
        <f t="shared" si="21"/>
        <v>0</v>
      </c>
      <c r="AH13" s="47">
        <f t="shared" si="21"/>
        <v>0</v>
      </c>
      <c r="AI13" s="47">
        <f t="shared" si="21"/>
        <v>0</v>
      </c>
      <c r="AJ13" s="47">
        <f t="shared" si="21"/>
        <v>0</v>
      </c>
      <c r="AK13" s="47">
        <f t="shared" si="21"/>
        <v>0</v>
      </c>
      <c r="AL13" s="47">
        <f t="shared" si="21"/>
        <v>0</v>
      </c>
      <c r="AM13" s="47">
        <f t="shared" si="21"/>
        <v>0</v>
      </c>
      <c r="AN13" s="47">
        <f t="shared" si="21"/>
        <v>0</v>
      </c>
      <c r="AO13" s="47">
        <f t="shared" si="21"/>
        <v>0</v>
      </c>
      <c r="AP13" s="397"/>
      <c r="AQ13" s="96"/>
    </row>
    <row r="14" spans="1:43" ht="25.5" hidden="1" customHeight="1" x14ac:dyDescent="0.25">
      <c r="A14" s="1610"/>
      <c r="B14" s="1611"/>
      <c r="C14" s="1611"/>
      <c r="D14" s="1611"/>
      <c r="E14" s="1611"/>
      <c r="F14" s="1611"/>
      <c r="G14" s="1611"/>
      <c r="H14" s="1612"/>
      <c r="I14" s="23" t="s">
        <v>9</v>
      </c>
      <c r="J14" s="607">
        <f t="shared" ref="J14:Y14" si="22">J18+J67+J131</f>
        <v>702203.72</v>
      </c>
      <c r="K14" s="607">
        <f t="shared" si="22"/>
        <v>702203.72</v>
      </c>
      <c r="L14" s="607">
        <f t="shared" si="22"/>
        <v>789617.84</v>
      </c>
      <c r="M14" s="607">
        <f t="shared" si="22"/>
        <v>348941.19</v>
      </c>
      <c r="N14" s="607">
        <f t="shared" si="22"/>
        <v>196473.11</v>
      </c>
      <c r="O14" s="607">
        <f t="shared" si="22"/>
        <v>0</v>
      </c>
      <c r="P14" s="607">
        <f t="shared" si="22"/>
        <v>0</v>
      </c>
      <c r="Q14" s="607">
        <f t="shared" si="22"/>
        <v>0</v>
      </c>
      <c r="R14" s="607">
        <f t="shared" si="22"/>
        <v>37814.324000000001</v>
      </c>
      <c r="S14" s="607">
        <f t="shared" si="22"/>
        <v>37814.324000000001</v>
      </c>
      <c r="T14" s="607">
        <f t="shared" si="22"/>
        <v>0</v>
      </c>
      <c r="U14" s="607">
        <f t="shared" si="22"/>
        <v>0</v>
      </c>
      <c r="V14" s="607">
        <f t="shared" si="22"/>
        <v>0</v>
      </c>
      <c r="W14" s="607">
        <f t="shared" si="22"/>
        <v>0</v>
      </c>
      <c r="X14" s="607">
        <f t="shared" si="22"/>
        <v>0</v>
      </c>
      <c r="Y14" s="607">
        <f t="shared" si="22"/>
        <v>0</v>
      </c>
      <c r="Z14" s="674"/>
      <c r="AA14" s="607">
        <f t="shared" ref="AA14:AO14" si="23">AA18+AA67+AA131</f>
        <v>0</v>
      </c>
      <c r="AB14" s="607">
        <f t="shared" si="23"/>
        <v>0</v>
      </c>
      <c r="AC14" s="607">
        <f t="shared" si="23"/>
        <v>0</v>
      </c>
      <c r="AD14" s="607">
        <f t="shared" si="23"/>
        <v>0</v>
      </c>
      <c r="AE14" s="607">
        <f t="shared" si="23"/>
        <v>0</v>
      </c>
      <c r="AF14" s="607">
        <f t="shared" si="23"/>
        <v>0</v>
      </c>
      <c r="AG14" s="607">
        <f t="shared" si="23"/>
        <v>0</v>
      </c>
      <c r="AH14" s="607">
        <f t="shared" si="23"/>
        <v>0</v>
      </c>
      <c r="AI14" s="607">
        <f t="shared" si="23"/>
        <v>0</v>
      </c>
      <c r="AJ14" s="607">
        <f t="shared" si="23"/>
        <v>0</v>
      </c>
      <c r="AK14" s="607">
        <f t="shared" si="23"/>
        <v>0</v>
      </c>
      <c r="AL14" s="607">
        <f t="shared" si="23"/>
        <v>0</v>
      </c>
      <c r="AM14" s="607">
        <f t="shared" si="23"/>
        <v>0</v>
      </c>
      <c r="AN14" s="607">
        <f t="shared" si="23"/>
        <v>0</v>
      </c>
      <c r="AO14" s="607">
        <f t="shared" si="23"/>
        <v>0</v>
      </c>
      <c r="AP14" s="608"/>
      <c r="AQ14" s="674"/>
    </row>
    <row r="15" spans="1:43" ht="28.5" hidden="1" customHeight="1" x14ac:dyDescent="0.25">
      <c r="A15" s="1332" t="s">
        <v>25</v>
      </c>
      <c r="B15" s="1613" t="s">
        <v>40</v>
      </c>
      <c r="C15" s="1614"/>
      <c r="D15" s="1614"/>
      <c r="E15" s="1614"/>
      <c r="F15" s="1614"/>
      <c r="G15" s="1614"/>
      <c r="H15" s="1615"/>
      <c r="I15" s="23" t="s">
        <v>19</v>
      </c>
      <c r="J15" s="47">
        <f t="shared" ref="J15:Y15" si="24">J20+J33+J36</f>
        <v>977955.46</v>
      </c>
      <c r="K15" s="47">
        <f t="shared" si="24"/>
        <v>251829.19999999995</v>
      </c>
      <c r="L15" s="47">
        <f t="shared" si="24"/>
        <v>750480.15999999992</v>
      </c>
      <c r="M15" s="47">
        <f t="shared" si="24"/>
        <v>96658.23</v>
      </c>
      <c r="N15" s="47">
        <f t="shared" si="24"/>
        <v>83716.939999999988</v>
      </c>
      <c r="O15" s="47">
        <f t="shared" si="24"/>
        <v>78886.680000000008</v>
      </c>
      <c r="P15" s="47">
        <f t="shared" si="24"/>
        <v>164000</v>
      </c>
      <c r="Q15" s="47">
        <f t="shared" si="24"/>
        <v>0</v>
      </c>
      <c r="R15" s="47">
        <f t="shared" si="24"/>
        <v>384.71</v>
      </c>
      <c r="S15" s="47">
        <f t="shared" si="24"/>
        <v>384.71</v>
      </c>
      <c r="T15" s="47">
        <f t="shared" si="24"/>
        <v>0</v>
      </c>
      <c r="U15" s="47">
        <f t="shared" si="24"/>
        <v>0</v>
      </c>
      <c r="V15" s="47">
        <f t="shared" si="24"/>
        <v>0</v>
      </c>
      <c r="W15" s="47">
        <f t="shared" si="24"/>
        <v>0</v>
      </c>
      <c r="X15" s="47">
        <f t="shared" si="24"/>
        <v>0</v>
      </c>
      <c r="Y15" s="47">
        <f t="shared" si="24"/>
        <v>0</v>
      </c>
      <c r="Z15" s="96"/>
      <c r="AA15" s="47">
        <f t="shared" ref="AA15:AO15" si="25">AA20+AA33+AA36</f>
        <v>0</v>
      </c>
      <c r="AB15" s="47">
        <f t="shared" si="25"/>
        <v>66.33</v>
      </c>
      <c r="AC15" s="47">
        <f t="shared" si="25"/>
        <v>0</v>
      </c>
      <c r="AD15" s="47">
        <f t="shared" si="25"/>
        <v>0</v>
      </c>
      <c r="AE15" s="47">
        <f t="shared" si="25"/>
        <v>0</v>
      </c>
      <c r="AF15" s="47">
        <f t="shared" si="25"/>
        <v>0</v>
      </c>
      <c r="AG15" s="47">
        <f t="shared" si="25"/>
        <v>0</v>
      </c>
      <c r="AH15" s="47">
        <f t="shared" si="25"/>
        <v>0</v>
      </c>
      <c r="AI15" s="47">
        <f t="shared" si="25"/>
        <v>0</v>
      </c>
      <c r="AJ15" s="47">
        <f t="shared" si="25"/>
        <v>0</v>
      </c>
      <c r="AK15" s="47">
        <f t="shared" si="25"/>
        <v>164000</v>
      </c>
      <c r="AL15" s="47">
        <f t="shared" si="25"/>
        <v>164000</v>
      </c>
      <c r="AM15" s="47">
        <f t="shared" si="25"/>
        <v>0</v>
      </c>
      <c r="AN15" s="47">
        <f t="shared" si="25"/>
        <v>0</v>
      </c>
      <c r="AO15" s="47">
        <f t="shared" si="25"/>
        <v>0</v>
      </c>
      <c r="AP15" s="397"/>
      <c r="AQ15" s="96"/>
    </row>
    <row r="16" spans="1:43" ht="26.25" hidden="1" customHeight="1" x14ac:dyDescent="0.25">
      <c r="A16" s="1333"/>
      <c r="B16" s="1616"/>
      <c r="C16" s="1617"/>
      <c r="D16" s="1617"/>
      <c r="E16" s="1617"/>
      <c r="F16" s="1617"/>
      <c r="G16" s="1617"/>
      <c r="H16" s="1618"/>
      <c r="I16" s="23" t="s">
        <v>20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2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96"/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397"/>
      <c r="AQ16" s="96"/>
    </row>
    <row r="17" spans="1:43" ht="25.5" hidden="1" x14ac:dyDescent="0.25">
      <c r="A17" s="1333"/>
      <c r="B17" s="1616"/>
      <c r="C17" s="1617"/>
      <c r="D17" s="1617"/>
      <c r="E17" s="1617"/>
      <c r="F17" s="1617"/>
      <c r="G17" s="1617"/>
      <c r="H17" s="1618"/>
      <c r="I17" s="23" t="s">
        <v>10</v>
      </c>
      <c r="J17" s="47">
        <v>0</v>
      </c>
      <c r="K17" s="47">
        <v>0</v>
      </c>
      <c r="L17" s="47">
        <f>M17+N17+O17</f>
        <v>172003.82</v>
      </c>
      <c r="M17" s="47">
        <f>M30</f>
        <v>135504.01</v>
      </c>
      <c r="N17" s="47">
        <f>N30</f>
        <v>36499.81</v>
      </c>
      <c r="O17" s="47">
        <f>O30</f>
        <v>0</v>
      </c>
      <c r="P17" s="47">
        <f>P30</f>
        <v>0</v>
      </c>
      <c r="Q17" s="47">
        <f>Q30</f>
        <v>0</v>
      </c>
      <c r="R17" s="47">
        <f t="shared" ref="R17:AJ17" si="26">R30</f>
        <v>0</v>
      </c>
      <c r="S17" s="47">
        <f t="shared" si="26"/>
        <v>0</v>
      </c>
      <c r="T17" s="47">
        <f t="shared" si="26"/>
        <v>45904.665609999996</v>
      </c>
      <c r="U17" s="47">
        <f>U30</f>
        <v>45904.665609999996</v>
      </c>
      <c r="V17" s="47">
        <f t="shared" si="26"/>
        <v>0</v>
      </c>
      <c r="W17" s="47">
        <f t="shared" si="26"/>
        <v>0</v>
      </c>
      <c r="X17" s="47">
        <f t="shared" si="26"/>
        <v>0</v>
      </c>
      <c r="Y17" s="47">
        <f t="shared" si="26"/>
        <v>0</v>
      </c>
      <c r="Z17" s="96"/>
      <c r="AA17" s="47">
        <f t="shared" si="26"/>
        <v>0</v>
      </c>
      <c r="AB17" s="47">
        <f t="shared" si="26"/>
        <v>0</v>
      </c>
      <c r="AC17" s="47">
        <f t="shared" si="26"/>
        <v>0</v>
      </c>
      <c r="AD17" s="47">
        <f t="shared" si="26"/>
        <v>0</v>
      </c>
      <c r="AE17" s="47">
        <f t="shared" si="26"/>
        <v>0</v>
      </c>
      <c r="AF17" s="47">
        <f t="shared" si="26"/>
        <v>0</v>
      </c>
      <c r="AG17" s="47">
        <f t="shared" si="26"/>
        <v>0</v>
      </c>
      <c r="AH17" s="47">
        <f t="shared" si="26"/>
        <v>0</v>
      </c>
      <c r="AI17" s="47">
        <f t="shared" si="26"/>
        <v>0</v>
      </c>
      <c r="AJ17" s="47">
        <f t="shared" si="26"/>
        <v>0</v>
      </c>
      <c r="AK17" s="47">
        <v>0</v>
      </c>
      <c r="AL17" s="47">
        <v>0</v>
      </c>
      <c r="AM17" s="47">
        <v>0</v>
      </c>
      <c r="AN17" s="47">
        <v>0</v>
      </c>
      <c r="AO17" s="47">
        <v>0</v>
      </c>
      <c r="AP17" s="397"/>
      <c r="AQ17" s="96"/>
    </row>
    <row r="18" spans="1:43" ht="25.5" hidden="1" x14ac:dyDescent="0.25">
      <c r="A18" s="1334"/>
      <c r="B18" s="1619"/>
      <c r="C18" s="1620"/>
      <c r="D18" s="1620"/>
      <c r="E18" s="1620"/>
      <c r="F18" s="1620"/>
      <c r="G18" s="1620"/>
      <c r="H18" s="1621"/>
      <c r="I18" s="23" t="s">
        <v>9</v>
      </c>
      <c r="J18" s="47">
        <f t="shared" ref="J18:AO18" si="27">J28</f>
        <v>702203.72</v>
      </c>
      <c r="K18" s="47">
        <f t="shared" si="27"/>
        <v>702203.72</v>
      </c>
      <c r="L18" s="47">
        <f t="shared" si="27"/>
        <v>789617.84</v>
      </c>
      <c r="M18" s="47">
        <f t="shared" si="27"/>
        <v>348941.19</v>
      </c>
      <c r="N18" s="47">
        <f t="shared" si="27"/>
        <v>196473.11</v>
      </c>
      <c r="O18" s="47">
        <f t="shared" si="27"/>
        <v>0</v>
      </c>
      <c r="P18" s="47">
        <f t="shared" si="27"/>
        <v>0</v>
      </c>
      <c r="Q18" s="47">
        <f t="shared" si="27"/>
        <v>0</v>
      </c>
      <c r="R18" s="47">
        <f t="shared" si="27"/>
        <v>37814.324000000001</v>
      </c>
      <c r="S18" s="47">
        <f t="shared" si="27"/>
        <v>37814.324000000001</v>
      </c>
      <c r="T18" s="47">
        <f t="shared" si="27"/>
        <v>0</v>
      </c>
      <c r="U18" s="47">
        <f t="shared" si="27"/>
        <v>0</v>
      </c>
      <c r="V18" s="47">
        <f t="shared" si="27"/>
        <v>0</v>
      </c>
      <c r="W18" s="47">
        <f t="shared" si="27"/>
        <v>0</v>
      </c>
      <c r="X18" s="47">
        <f t="shared" si="27"/>
        <v>0</v>
      </c>
      <c r="Y18" s="47">
        <f t="shared" si="27"/>
        <v>0</v>
      </c>
      <c r="Z18" s="96"/>
      <c r="AA18" s="47">
        <f t="shared" si="27"/>
        <v>0</v>
      </c>
      <c r="AB18" s="47">
        <f t="shared" si="27"/>
        <v>0</v>
      </c>
      <c r="AC18" s="47">
        <f t="shared" si="27"/>
        <v>0</v>
      </c>
      <c r="AD18" s="47">
        <f t="shared" si="27"/>
        <v>0</v>
      </c>
      <c r="AE18" s="47">
        <f t="shared" si="27"/>
        <v>0</v>
      </c>
      <c r="AF18" s="47">
        <f t="shared" si="27"/>
        <v>0</v>
      </c>
      <c r="AG18" s="47">
        <f t="shared" si="27"/>
        <v>0</v>
      </c>
      <c r="AH18" s="47">
        <f t="shared" si="27"/>
        <v>0</v>
      </c>
      <c r="AI18" s="47">
        <f t="shared" si="27"/>
        <v>0</v>
      </c>
      <c r="AJ18" s="47">
        <f t="shared" si="27"/>
        <v>0</v>
      </c>
      <c r="AK18" s="47">
        <f t="shared" si="27"/>
        <v>0</v>
      </c>
      <c r="AL18" s="47">
        <f t="shared" si="27"/>
        <v>0</v>
      </c>
      <c r="AM18" s="47">
        <f t="shared" si="27"/>
        <v>0</v>
      </c>
      <c r="AN18" s="47">
        <f t="shared" si="27"/>
        <v>0</v>
      </c>
      <c r="AO18" s="47">
        <f t="shared" si="27"/>
        <v>0</v>
      </c>
      <c r="AP18" s="397"/>
      <c r="AQ18" s="96"/>
    </row>
    <row r="19" spans="1:43" s="327" customFormat="1" ht="14.25" customHeight="1" x14ac:dyDescent="0.25">
      <c r="A19" s="1625" t="s">
        <v>26</v>
      </c>
      <c r="B19" s="609" t="s">
        <v>18</v>
      </c>
      <c r="C19" s="1326"/>
      <c r="D19" s="1326"/>
      <c r="E19" s="1326"/>
      <c r="F19" s="1633" t="s">
        <v>44</v>
      </c>
      <c r="G19" s="1326">
        <v>2018</v>
      </c>
      <c r="H19" s="1326">
        <v>2020</v>
      </c>
      <c r="I19" s="778"/>
      <c r="J19" s="25">
        <v>1075576.6499999999</v>
      </c>
      <c r="K19" s="25">
        <f>K20+K28</f>
        <v>954032.91999999993</v>
      </c>
      <c r="L19" s="318">
        <f t="shared" ref="L19:P19" si="28">L20+L28+L30</f>
        <v>1083165.3899999999</v>
      </c>
      <c r="M19" s="318">
        <f t="shared" si="28"/>
        <v>560860.31000000006</v>
      </c>
      <c r="N19" s="318">
        <f t="shared" si="28"/>
        <v>232972.91999999998</v>
      </c>
      <c r="O19" s="318">
        <f t="shared" si="28"/>
        <v>0</v>
      </c>
      <c r="P19" s="318">
        <f t="shared" si="28"/>
        <v>0</v>
      </c>
      <c r="Q19" s="318">
        <f>Q20+Q28+Q30</f>
        <v>0</v>
      </c>
      <c r="R19" s="318">
        <f t="shared" ref="R19:X19" si="29">R20+R28</f>
        <v>38199.034</v>
      </c>
      <c r="S19" s="318">
        <f>S20+S28</f>
        <v>38199.034</v>
      </c>
      <c r="T19" s="318">
        <f>T20+T28+T30</f>
        <v>45904.665609999996</v>
      </c>
      <c r="U19" s="318">
        <f>U20+U28+U30</f>
        <v>45904.665609999996</v>
      </c>
      <c r="V19" s="318">
        <f t="shared" si="29"/>
        <v>0</v>
      </c>
      <c r="W19" s="318">
        <f t="shared" si="29"/>
        <v>0</v>
      </c>
      <c r="X19" s="318">
        <f t="shared" si="29"/>
        <v>0</v>
      </c>
      <c r="Y19" s="318">
        <f>Y20+Y28+Y30</f>
        <v>0</v>
      </c>
      <c r="Z19" s="372">
        <v>0</v>
      </c>
      <c r="AA19" s="318">
        <f>AA20+AA28+AA30</f>
        <v>0</v>
      </c>
      <c r="AB19" s="318">
        <f t="shared" ref="AB19:AJ19" si="30">AB20+AB28</f>
        <v>66.33</v>
      </c>
      <c r="AC19" s="318">
        <f t="shared" si="30"/>
        <v>0</v>
      </c>
      <c r="AD19" s="318">
        <f t="shared" si="30"/>
        <v>0</v>
      </c>
      <c r="AE19" s="318">
        <f t="shared" si="30"/>
        <v>0</v>
      </c>
      <c r="AF19" s="318">
        <f t="shared" si="30"/>
        <v>0</v>
      </c>
      <c r="AG19" s="318">
        <f t="shared" si="30"/>
        <v>0</v>
      </c>
      <c r="AH19" s="318">
        <f t="shared" si="30"/>
        <v>0</v>
      </c>
      <c r="AI19" s="318">
        <f t="shared" si="30"/>
        <v>0</v>
      </c>
      <c r="AJ19" s="318">
        <f t="shared" si="30"/>
        <v>0</v>
      </c>
      <c r="AK19" s="318">
        <f>P19-Q19</f>
        <v>0</v>
      </c>
      <c r="AL19" s="318">
        <f>AK19</f>
        <v>0</v>
      </c>
      <c r="AM19" s="318">
        <v>0</v>
      </c>
      <c r="AN19" s="318">
        <f>AN20+AN28</f>
        <v>0</v>
      </c>
      <c r="AO19" s="318">
        <f>AO20+AO28</f>
        <v>0</v>
      </c>
      <c r="AP19" s="779"/>
      <c r="AQ19" s="372">
        <v>0</v>
      </c>
    </row>
    <row r="20" spans="1:43" ht="13.5" customHeight="1" x14ac:dyDescent="0.25">
      <c r="A20" s="1626"/>
      <c r="B20" s="799" t="s">
        <v>16</v>
      </c>
      <c r="C20" s="1327"/>
      <c r="D20" s="1327"/>
      <c r="E20" s="1327"/>
      <c r="F20" s="1634"/>
      <c r="G20" s="1327"/>
      <c r="H20" s="1327"/>
      <c r="I20" s="939" t="s">
        <v>19</v>
      </c>
      <c r="J20" s="634">
        <v>373372.92999999993</v>
      </c>
      <c r="K20" s="634">
        <f>J20-L20</f>
        <v>251829.19999999995</v>
      </c>
      <c r="L20" s="47">
        <v>121543.73</v>
      </c>
      <c r="M20" s="47">
        <v>76415.11</v>
      </c>
      <c r="N20" s="47">
        <v>0</v>
      </c>
      <c r="O20" s="47">
        <v>0</v>
      </c>
      <c r="P20" s="47">
        <v>0</v>
      </c>
      <c r="Q20" s="47">
        <f>SUM(Q21:Q27)</f>
        <v>0</v>
      </c>
      <c r="R20" s="47">
        <f t="shared" ref="R20:Y20" si="31">SUM(R21:R27)</f>
        <v>384.71</v>
      </c>
      <c r="S20" s="47">
        <f t="shared" si="31"/>
        <v>384.71</v>
      </c>
      <c r="T20" s="47">
        <f t="shared" si="31"/>
        <v>0</v>
      </c>
      <c r="U20" s="47">
        <f t="shared" si="31"/>
        <v>0</v>
      </c>
      <c r="V20" s="47">
        <f t="shared" si="31"/>
        <v>0</v>
      </c>
      <c r="W20" s="47">
        <f>SUM(W21:W27)</f>
        <v>0</v>
      </c>
      <c r="X20" s="47">
        <f t="shared" si="31"/>
        <v>0</v>
      </c>
      <c r="Y20" s="47">
        <f t="shared" si="31"/>
        <v>0</v>
      </c>
      <c r="Z20" s="96"/>
      <c r="AA20" s="47">
        <f t="shared" ref="AA20:AJ20" si="32">SUM(AA21:AA27)</f>
        <v>0</v>
      </c>
      <c r="AB20" s="47">
        <f t="shared" si="32"/>
        <v>66.33</v>
      </c>
      <c r="AC20" s="47">
        <f t="shared" si="32"/>
        <v>0</v>
      </c>
      <c r="AD20" s="47">
        <f t="shared" si="32"/>
        <v>0</v>
      </c>
      <c r="AE20" s="47">
        <f t="shared" si="32"/>
        <v>0</v>
      </c>
      <c r="AF20" s="47">
        <f t="shared" si="32"/>
        <v>0</v>
      </c>
      <c r="AG20" s="47">
        <f t="shared" si="32"/>
        <v>0</v>
      </c>
      <c r="AH20" s="47">
        <f t="shared" si="32"/>
        <v>0</v>
      </c>
      <c r="AI20" s="47">
        <f t="shared" si="32"/>
        <v>0</v>
      </c>
      <c r="AJ20" s="47">
        <f t="shared" si="32"/>
        <v>0</v>
      </c>
      <c r="AK20" s="47">
        <v>0</v>
      </c>
      <c r="AL20" s="47">
        <v>0</v>
      </c>
      <c r="AM20" s="47">
        <v>0</v>
      </c>
      <c r="AN20" s="47">
        <v>0</v>
      </c>
      <c r="AO20" s="47">
        <v>0</v>
      </c>
      <c r="AP20" s="1364"/>
      <c r="AQ20" s="96"/>
    </row>
    <row r="21" spans="1:43" s="266" customFormat="1" ht="13.5" hidden="1" customHeight="1" x14ac:dyDescent="0.25">
      <c r="A21" s="1626"/>
      <c r="B21" s="800" t="s">
        <v>215</v>
      </c>
      <c r="C21" s="367"/>
      <c r="D21" s="367"/>
      <c r="E21" s="367"/>
      <c r="F21" s="635"/>
      <c r="G21" s="367"/>
      <c r="H21" s="367"/>
      <c r="I21" s="269">
        <f>R20+T20+V20</f>
        <v>384.71</v>
      </c>
      <c r="J21" s="636"/>
      <c r="K21" s="636"/>
      <c r="L21" s="96"/>
      <c r="M21" s="96"/>
      <c r="N21" s="96"/>
      <c r="O21" s="96"/>
      <c r="P21" s="96">
        <v>0</v>
      </c>
      <c r="Q21" s="96">
        <v>0</v>
      </c>
      <c r="R21" s="96">
        <f>S21</f>
        <v>66.332999999999998</v>
      </c>
      <c r="S21" s="96">
        <v>66.332999999999998</v>
      </c>
      <c r="T21" s="96">
        <v>0</v>
      </c>
      <c r="U21" s="96">
        <v>0</v>
      </c>
      <c r="V21" s="96">
        <v>0</v>
      </c>
      <c r="W21" s="96">
        <v>0</v>
      </c>
      <c r="X21" s="96">
        <v>0</v>
      </c>
      <c r="Y21" s="96">
        <v>0</v>
      </c>
      <c r="Z21" s="96"/>
      <c r="AA21" s="96">
        <v>0</v>
      </c>
      <c r="AB21" s="96">
        <v>66.33</v>
      </c>
      <c r="AC21" s="96">
        <v>0</v>
      </c>
      <c r="AD21" s="96">
        <v>0</v>
      </c>
      <c r="AE21" s="96">
        <v>0</v>
      </c>
      <c r="AF21" s="96">
        <f t="shared" ref="AF21:AF27" si="33">SUM(AG21:AG21)</f>
        <v>0</v>
      </c>
      <c r="AG21" s="96"/>
      <c r="AH21" s="96"/>
      <c r="AI21" s="96"/>
      <c r="AJ21" s="96"/>
      <c r="AK21" s="96"/>
      <c r="AL21" s="96"/>
      <c r="AM21" s="96"/>
      <c r="AN21" s="96"/>
      <c r="AO21" s="96"/>
      <c r="AP21" s="1630"/>
      <c r="AQ21" s="96"/>
    </row>
    <row r="22" spans="1:43" s="266" customFormat="1" ht="13.5" hidden="1" customHeight="1" x14ac:dyDescent="0.25">
      <c r="A22" s="1626"/>
      <c r="B22" s="800" t="s">
        <v>216</v>
      </c>
      <c r="C22" s="367"/>
      <c r="D22" s="367"/>
      <c r="E22" s="367"/>
      <c r="F22" s="635"/>
      <c r="G22" s="367"/>
      <c r="H22" s="367"/>
      <c r="I22" s="269">
        <f>S20+U20+W20</f>
        <v>384.71</v>
      </c>
      <c r="J22" s="636"/>
      <c r="K22" s="636"/>
      <c r="L22" s="96"/>
      <c r="M22" s="96"/>
      <c r="N22" s="96"/>
      <c r="O22" s="96"/>
      <c r="P22" s="96">
        <f>Q22</f>
        <v>0</v>
      </c>
      <c r="Q22" s="96">
        <v>0</v>
      </c>
      <c r="R22" s="96">
        <f>S22</f>
        <v>204.934</v>
      </c>
      <c r="S22" s="96">
        <v>204.934</v>
      </c>
      <c r="T22" s="96">
        <v>0</v>
      </c>
      <c r="U22" s="96">
        <v>0</v>
      </c>
      <c r="V22" s="96">
        <v>0</v>
      </c>
      <c r="W22" s="96">
        <v>0</v>
      </c>
      <c r="X22" s="96">
        <v>0</v>
      </c>
      <c r="Y22" s="96">
        <v>0</v>
      </c>
      <c r="Z22" s="96"/>
      <c r="AA22" s="96">
        <f>AB22+AC22+AD22+AE22</f>
        <v>0</v>
      </c>
      <c r="AB22" s="96">
        <v>0</v>
      </c>
      <c r="AC22" s="96"/>
      <c r="AD22" s="96">
        <v>0</v>
      </c>
      <c r="AE22" s="96">
        <v>0</v>
      </c>
      <c r="AF22" s="96">
        <f t="shared" si="33"/>
        <v>0</v>
      </c>
      <c r="AG22" s="96"/>
      <c r="AH22" s="96"/>
      <c r="AI22" s="96"/>
      <c r="AJ22" s="96"/>
      <c r="AK22" s="96"/>
      <c r="AL22" s="96"/>
      <c r="AM22" s="96"/>
      <c r="AN22" s="96"/>
      <c r="AO22" s="96"/>
      <c r="AP22" s="1630"/>
      <c r="AQ22" s="96"/>
    </row>
    <row r="23" spans="1:43" s="266" customFormat="1" ht="13.5" hidden="1" customHeight="1" x14ac:dyDescent="0.25">
      <c r="A23" s="1626"/>
      <c r="B23" s="800" t="s">
        <v>217</v>
      </c>
      <c r="C23" s="367"/>
      <c r="D23" s="367"/>
      <c r="E23" s="367"/>
      <c r="F23" s="635"/>
      <c r="G23" s="367"/>
      <c r="H23" s="367"/>
      <c r="I23" s="92"/>
      <c r="J23" s="636"/>
      <c r="K23" s="636"/>
      <c r="L23" s="96"/>
      <c r="M23" s="96"/>
      <c r="N23" s="96"/>
      <c r="O23" s="96"/>
      <c r="P23" s="96">
        <v>0</v>
      </c>
      <c r="Q23" s="96">
        <v>0</v>
      </c>
      <c r="R23" s="96">
        <f>S23</f>
        <v>113.443</v>
      </c>
      <c r="S23" s="96">
        <v>113.443</v>
      </c>
      <c r="T23" s="96">
        <f>U23</f>
        <v>0</v>
      </c>
      <c r="U23" s="96">
        <v>0</v>
      </c>
      <c r="V23" s="96">
        <v>0</v>
      </c>
      <c r="W23" s="96">
        <v>0</v>
      </c>
      <c r="X23" s="96">
        <v>0</v>
      </c>
      <c r="Y23" s="96">
        <v>0</v>
      </c>
      <c r="Z23" s="96"/>
      <c r="AA23" s="96">
        <f>AB23+AC23+AD23+AE23</f>
        <v>0</v>
      </c>
      <c r="AB23" s="96">
        <v>0</v>
      </c>
      <c r="AC23" s="96">
        <v>0</v>
      </c>
      <c r="AD23" s="96">
        <v>0</v>
      </c>
      <c r="AE23" s="96">
        <v>0</v>
      </c>
      <c r="AF23" s="96">
        <f t="shared" si="33"/>
        <v>0</v>
      </c>
      <c r="AG23" s="96"/>
      <c r="AH23" s="96"/>
      <c r="AI23" s="96"/>
      <c r="AJ23" s="96"/>
      <c r="AK23" s="96"/>
      <c r="AL23" s="96"/>
      <c r="AM23" s="96"/>
      <c r="AN23" s="96"/>
      <c r="AO23" s="96"/>
      <c r="AP23" s="1630"/>
      <c r="AQ23" s="96"/>
    </row>
    <row r="24" spans="1:43" s="266" customFormat="1" ht="13.5" hidden="1" customHeight="1" x14ac:dyDescent="0.25">
      <c r="A24" s="1626"/>
      <c r="B24" s="800" t="s">
        <v>218</v>
      </c>
      <c r="C24" s="367"/>
      <c r="D24" s="367"/>
      <c r="E24" s="367"/>
      <c r="F24" s="635"/>
      <c r="G24" s="367"/>
      <c r="H24" s="367"/>
      <c r="I24" s="92"/>
      <c r="J24" s="636"/>
      <c r="K24" s="636"/>
      <c r="L24" s="96"/>
      <c r="M24" s="96"/>
      <c r="N24" s="96"/>
      <c r="O24" s="96"/>
      <c r="P24" s="96">
        <f>R24</f>
        <v>0</v>
      </c>
      <c r="Q24" s="96">
        <f t="shared" ref="Q24:Q27" si="34">S24+U24+W24+Y24</f>
        <v>0</v>
      </c>
      <c r="R24" s="96">
        <v>0</v>
      </c>
      <c r="S24" s="96">
        <v>0</v>
      </c>
      <c r="T24" s="96">
        <v>0</v>
      </c>
      <c r="U24" s="96">
        <v>0</v>
      </c>
      <c r="V24" s="96">
        <v>0</v>
      </c>
      <c r="W24" s="96">
        <v>0</v>
      </c>
      <c r="X24" s="96">
        <v>0</v>
      </c>
      <c r="Y24" s="96">
        <v>0</v>
      </c>
      <c r="Z24" s="96"/>
      <c r="AA24" s="96">
        <f>AB24+AC24+AD24</f>
        <v>0</v>
      </c>
      <c r="AB24" s="96">
        <v>0</v>
      </c>
      <c r="AC24" s="96"/>
      <c r="AD24" s="96"/>
      <c r="AE24" s="96"/>
      <c r="AF24" s="96">
        <f t="shared" si="33"/>
        <v>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1630"/>
      <c r="AQ24" s="96"/>
    </row>
    <row r="25" spans="1:43" s="266" customFormat="1" ht="13.5" hidden="1" customHeight="1" x14ac:dyDescent="0.25">
      <c r="A25" s="1626"/>
      <c r="B25" s="800" t="s">
        <v>261</v>
      </c>
      <c r="C25" s="367"/>
      <c r="D25" s="367"/>
      <c r="E25" s="367"/>
      <c r="F25" s="635"/>
      <c r="G25" s="367"/>
      <c r="H25" s="367"/>
      <c r="I25" s="92"/>
      <c r="J25" s="636"/>
      <c r="K25" s="636"/>
      <c r="L25" s="96"/>
      <c r="M25" s="96"/>
      <c r="N25" s="96"/>
      <c r="O25" s="96"/>
      <c r="P25" s="96">
        <v>0</v>
      </c>
      <c r="Q25" s="96">
        <f t="shared" si="34"/>
        <v>0</v>
      </c>
      <c r="R25" s="96">
        <v>0</v>
      </c>
      <c r="S25" s="96">
        <v>0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/>
      <c r="AA25" s="96">
        <f>AB25+AC25+AD25</f>
        <v>0</v>
      </c>
      <c r="AB25" s="96">
        <v>0</v>
      </c>
      <c r="AC25" s="96"/>
      <c r="AD25" s="96"/>
      <c r="AE25" s="96"/>
      <c r="AF25" s="96">
        <f t="shared" si="33"/>
        <v>0</v>
      </c>
      <c r="AG25" s="96"/>
      <c r="AH25" s="96"/>
      <c r="AI25" s="96"/>
      <c r="AJ25" s="96"/>
      <c r="AK25" s="96"/>
      <c r="AL25" s="96"/>
      <c r="AM25" s="96"/>
      <c r="AN25" s="96"/>
      <c r="AO25" s="96"/>
      <c r="AP25" s="1630"/>
      <c r="AQ25" s="96"/>
    </row>
    <row r="26" spans="1:43" s="266" customFormat="1" ht="13.5" hidden="1" customHeight="1" x14ac:dyDescent="0.25">
      <c r="A26" s="1626"/>
      <c r="B26" s="800" t="s">
        <v>223</v>
      </c>
      <c r="C26" s="367"/>
      <c r="D26" s="367"/>
      <c r="E26" s="367"/>
      <c r="F26" s="635"/>
      <c r="G26" s="367"/>
      <c r="H26" s="367"/>
      <c r="I26" s="92"/>
      <c r="J26" s="636"/>
      <c r="K26" s="636"/>
      <c r="L26" s="96"/>
      <c r="M26" s="96"/>
      <c r="N26" s="96"/>
      <c r="O26" s="96"/>
      <c r="P26" s="96">
        <v>0</v>
      </c>
      <c r="Q26" s="96">
        <f t="shared" si="34"/>
        <v>0</v>
      </c>
      <c r="R26" s="96">
        <v>0</v>
      </c>
      <c r="S26" s="96">
        <v>0</v>
      </c>
      <c r="T26" s="96">
        <v>0</v>
      </c>
      <c r="U26" s="96">
        <v>0</v>
      </c>
      <c r="V26" s="96">
        <v>0</v>
      </c>
      <c r="W26" s="96">
        <v>0</v>
      </c>
      <c r="X26" s="96">
        <v>0</v>
      </c>
      <c r="Y26" s="96">
        <v>0</v>
      </c>
      <c r="Z26" s="96"/>
      <c r="AA26" s="96">
        <f>AB26+AC26+AD26</f>
        <v>0</v>
      </c>
      <c r="AB26" s="96">
        <v>0</v>
      </c>
      <c r="AC26" s="96"/>
      <c r="AD26" s="96"/>
      <c r="AE26" s="96"/>
      <c r="AF26" s="96">
        <f t="shared" si="33"/>
        <v>0</v>
      </c>
      <c r="AG26" s="96"/>
      <c r="AH26" s="96"/>
      <c r="AI26" s="96"/>
      <c r="AJ26" s="96"/>
      <c r="AK26" s="96"/>
      <c r="AL26" s="96"/>
      <c r="AM26" s="96"/>
      <c r="AN26" s="96"/>
      <c r="AO26" s="96"/>
      <c r="AP26" s="1630"/>
      <c r="AQ26" s="96"/>
    </row>
    <row r="27" spans="1:43" s="266" customFormat="1" ht="13.5" hidden="1" customHeight="1" x14ac:dyDescent="0.25">
      <c r="A27" s="1626"/>
      <c r="B27" s="800" t="s">
        <v>221</v>
      </c>
      <c r="C27" s="367"/>
      <c r="D27" s="367"/>
      <c r="E27" s="367"/>
      <c r="F27" s="635"/>
      <c r="G27" s="367"/>
      <c r="H27" s="367"/>
      <c r="I27" s="92"/>
      <c r="J27" s="636"/>
      <c r="K27" s="636"/>
      <c r="L27" s="96"/>
      <c r="M27" s="96"/>
      <c r="N27" s="96"/>
      <c r="O27" s="96"/>
      <c r="P27" s="96">
        <f>R27</f>
        <v>0</v>
      </c>
      <c r="Q27" s="96">
        <f t="shared" si="34"/>
        <v>0</v>
      </c>
      <c r="R27" s="96">
        <f>S27</f>
        <v>0</v>
      </c>
      <c r="S27" s="96">
        <v>0</v>
      </c>
      <c r="T27" s="96">
        <v>0</v>
      </c>
      <c r="U27" s="96">
        <v>0</v>
      </c>
      <c r="V27" s="96">
        <v>0</v>
      </c>
      <c r="W27" s="96">
        <v>0</v>
      </c>
      <c r="X27" s="96">
        <v>0</v>
      </c>
      <c r="Y27" s="96">
        <v>0</v>
      </c>
      <c r="Z27" s="96"/>
      <c r="AA27" s="96">
        <f>SUM(AB27:AE27)</f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f t="shared" si="33"/>
        <v>0</v>
      </c>
      <c r="AG27" s="96"/>
      <c r="AH27" s="96"/>
      <c r="AI27" s="96"/>
      <c r="AJ27" s="96"/>
      <c r="AK27" s="96"/>
      <c r="AL27" s="96"/>
      <c r="AM27" s="96"/>
      <c r="AN27" s="96"/>
      <c r="AO27" s="96"/>
      <c r="AP27" s="1630"/>
      <c r="AQ27" s="96"/>
    </row>
    <row r="28" spans="1:43" ht="13.5" customHeight="1" x14ac:dyDescent="0.25">
      <c r="A28" s="1626"/>
      <c r="B28" s="801"/>
      <c r="C28" s="947"/>
      <c r="D28" s="947"/>
      <c r="E28" s="947"/>
      <c r="F28" s="992"/>
      <c r="G28" s="947"/>
      <c r="H28" s="947"/>
      <c r="I28" s="23" t="s">
        <v>9</v>
      </c>
      <c r="J28" s="985">
        <f>K28</f>
        <v>702203.72</v>
      </c>
      <c r="K28" s="985">
        <v>702203.72</v>
      </c>
      <c r="L28" s="71">
        <v>789617.84</v>
      </c>
      <c r="M28" s="71">
        <v>348941.19</v>
      </c>
      <c r="N28" s="71">
        <v>196473.11</v>
      </c>
      <c r="O28" s="71">
        <v>0</v>
      </c>
      <c r="P28" s="71">
        <v>0</v>
      </c>
      <c r="Q28" s="71">
        <f>SUM(Q29:Q29)</f>
        <v>0</v>
      </c>
      <c r="R28" s="71">
        <f>SUM(R29:R29)</f>
        <v>37814.324000000001</v>
      </c>
      <c r="S28" s="71">
        <f>SUM(S29:S29)</f>
        <v>37814.324000000001</v>
      </c>
      <c r="T28" s="71">
        <f t="shared" ref="T28:AJ28" si="35">SUM(T29:T29)</f>
        <v>0</v>
      </c>
      <c r="U28" s="71">
        <f t="shared" si="35"/>
        <v>0</v>
      </c>
      <c r="V28" s="71">
        <f t="shared" si="35"/>
        <v>0</v>
      </c>
      <c r="W28" s="71">
        <f t="shared" si="35"/>
        <v>0</v>
      </c>
      <c r="X28" s="71">
        <v>0</v>
      </c>
      <c r="Y28" s="71">
        <f t="shared" si="35"/>
        <v>0</v>
      </c>
      <c r="Z28" s="100"/>
      <c r="AA28" s="71">
        <f t="shared" si="35"/>
        <v>0</v>
      </c>
      <c r="AB28" s="71">
        <f>SUM(AB29:AB29)</f>
        <v>0</v>
      </c>
      <c r="AC28" s="71">
        <f>SUM(AC29:AC29)</f>
        <v>0</v>
      </c>
      <c r="AD28" s="71">
        <f>SUM(AD29:AD29)</f>
        <v>0</v>
      </c>
      <c r="AE28" s="71">
        <f>SUM(AE29:AE29)</f>
        <v>0</v>
      </c>
      <c r="AF28" s="71">
        <f t="shared" si="35"/>
        <v>0</v>
      </c>
      <c r="AG28" s="71">
        <f t="shared" si="35"/>
        <v>0</v>
      </c>
      <c r="AH28" s="71">
        <f t="shared" si="35"/>
        <v>0</v>
      </c>
      <c r="AI28" s="71">
        <f t="shared" si="35"/>
        <v>0</v>
      </c>
      <c r="AJ28" s="71">
        <f t="shared" si="35"/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1630"/>
      <c r="AQ28" s="100"/>
    </row>
    <row r="29" spans="1:43" s="266" customFormat="1" ht="13.5" hidden="1" customHeight="1" x14ac:dyDescent="0.25">
      <c r="A29" s="610"/>
      <c r="B29" s="802" t="s">
        <v>246</v>
      </c>
      <c r="C29" s="367"/>
      <c r="D29" s="367"/>
      <c r="E29" s="367"/>
      <c r="F29" s="635"/>
      <c r="G29" s="367"/>
      <c r="H29" s="367"/>
      <c r="I29" s="611"/>
      <c r="J29" s="533"/>
      <c r="K29" s="533"/>
      <c r="L29" s="100"/>
      <c r="M29" s="100"/>
      <c r="N29" s="100"/>
      <c r="O29" s="100"/>
      <c r="P29" s="96">
        <f>Q29</f>
        <v>0</v>
      </c>
      <c r="Q29" s="96">
        <v>0</v>
      </c>
      <c r="R29" s="96">
        <f>S29</f>
        <v>37814.324000000001</v>
      </c>
      <c r="S29" s="100">
        <v>37814.324000000001</v>
      </c>
      <c r="T29" s="100">
        <v>0</v>
      </c>
      <c r="U29" s="100">
        <v>0</v>
      </c>
      <c r="V29" s="100">
        <v>0</v>
      </c>
      <c r="W29" s="100">
        <v>0</v>
      </c>
      <c r="X29" s="100">
        <v>0</v>
      </c>
      <c r="Y29" s="100">
        <v>0</v>
      </c>
      <c r="Z29" s="100"/>
      <c r="AA29" s="96">
        <f>SUM(AB29:AE29)</f>
        <v>0</v>
      </c>
      <c r="AB29" s="100">
        <v>0</v>
      </c>
      <c r="AC29" s="100">
        <v>0</v>
      </c>
      <c r="AD29" s="100">
        <v>0</v>
      </c>
      <c r="AE29" s="100">
        <v>0</v>
      </c>
      <c r="AF29" s="96">
        <f>SUM(AG29:AG29)</f>
        <v>0</v>
      </c>
      <c r="AG29" s="100"/>
      <c r="AH29" s="100"/>
      <c r="AI29" s="100"/>
      <c r="AJ29" s="100"/>
      <c r="AK29" s="100"/>
      <c r="AL29" s="100"/>
      <c r="AM29" s="100"/>
      <c r="AN29" s="100"/>
      <c r="AO29" s="100"/>
      <c r="AP29" s="1630"/>
      <c r="AQ29" s="100"/>
    </row>
    <row r="30" spans="1:43" ht="13.5" customHeight="1" x14ac:dyDescent="0.25">
      <c r="A30" s="991"/>
      <c r="B30" s="801"/>
      <c r="C30" s="947"/>
      <c r="D30" s="947"/>
      <c r="E30" s="947"/>
      <c r="F30" s="992"/>
      <c r="G30" s="947"/>
      <c r="H30" s="947"/>
      <c r="I30" s="943" t="s">
        <v>10</v>
      </c>
      <c r="J30" s="986"/>
      <c r="K30" s="986"/>
      <c r="L30" s="71">
        <f>SUM(L31:L32)</f>
        <v>172003.82</v>
      </c>
      <c r="M30" s="71">
        <v>135504.01</v>
      </c>
      <c r="N30" s="71">
        <f>SUM(N31:N32)</f>
        <v>36499.81</v>
      </c>
      <c r="O30" s="71">
        <v>0</v>
      </c>
      <c r="P30" s="71">
        <v>0</v>
      </c>
      <c r="Q30" s="47">
        <f>SUM(Q31:Q32)</f>
        <v>0</v>
      </c>
      <c r="R30" s="47">
        <f t="shared" ref="R30:AJ30" si="36">SUM(R31:R32)</f>
        <v>0</v>
      </c>
      <c r="S30" s="47">
        <f t="shared" si="36"/>
        <v>0</v>
      </c>
      <c r="T30" s="47">
        <f t="shared" si="36"/>
        <v>45904.665609999996</v>
      </c>
      <c r="U30" s="47">
        <f t="shared" si="36"/>
        <v>45904.665609999996</v>
      </c>
      <c r="V30" s="47">
        <f t="shared" si="36"/>
        <v>0</v>
      </c>
      <c r="W30" s="47">
        <f t="shared" si="36"/>
        <v>0</v>
      </c>
      <c r="X30" s="47">
        <v>0</v>
      </c>
      <c r="Y30" s="47">
        <f t="shared" si="36"/>
        <v>0</v>
      </c>
      <c r="Z30" s="96"/>
      <c r="AA30" s="47">
        <f t="shared" si="36"/>
        <v>0</v>
      </c>
      <c r="AB30" s="47">
        <f t="shared" si="36"/>
        <v>0</v>
      </c>
      <c r="AC30" s="47">
        <f t="shared" si="36"/>
        <v>0</v>
      </c>
      <c r="AD30" s="47">
        <f t="shared" si="36"/>
        <v>0</v>
      </c>
      <c r="AE30" s="47">
        <f t="shared" si="36"/>
        <v>0</v>
      </c>
      <c r="AF30" s="47">
        <f t="shared" si="36"/>
        <v>0</v>
      </c>
      <c r="AG30" s="47">
        <f t="shared" si="36"/>
        <v>0</v>
      </c>
      <c r="AH30" s="47">
        <f t="shared" si="36"/>
        <v>0</v>
      </c>
      <c r="AI30" s="47">
        <f t="shared" si="36"/>
        <v>0</v>
      </c>
      <c r="AJ30" s="47">
        <f t="shared" si="36"/>
        <v>0</v>
      </c>
      <c r="AK30" s="71">
        <v>0</v>
      </c>
      <c r="AL30" s="71">
        <v>0</v>
      </c>
      <c r="AM30" s="71">
        <v>0</v>
      </c>
      <c r="AN30" s="71">
        <v>0</v>
      </c>
      <c r="AO30" s="71">
        <v>0</v>
      </c>
      <c r="AP30" s="1631"/>
      <c r="AQ30" s="96"/>
    </row>
    <row r="31" spans="1:43" ht="13.5" customHeight="1" x14ac:dyDescent="0.25">
      <c r="A31" s="991"/>
      <c r="B31" s="37" t="s">
        <v>219</v>
      </c>
      <c r="C31" s="947"/>
      <c r="D31" s="947"/>
      <c r="E31" s="947"/>
      <c r="F31" s="992"/>
      <c r="G31" s="947"/>
      <c r="H31" s="947"/>
      <c r="I31" s="943"/>
      <c r="J31" s="986"/>
      <c r="K31" s="986"/>
      <c r="L31" s="71">
        <v>90003.82</v>
      </c>
      <c r="M31" s="71"/>
      <c r="N31" s="71">
        <v>62531.64</v>
      </c>
      <c r="O31" s="71"/>
      <c r="P31" s="47">
        <v>0</v>
      </c>
      <c r="Q31" s="47">
        <v>0</v>
      </c>
      <c r="R31" s="71">
        <v>0</v>
      </c>
      <c r="S31" s="71">
        <v>0</v>
      </c>
      <c r="T31" s="71">
        <f>U31</f>
        <v>45904.665609999996</v>
      </c>
      <c r="U31" s="71">
        <f>26889.416+19015.24961</f>
        <v>45904.665609999996</v>
      </c>
      <c r="V31" s="71">
        <v>0</v>
      </c>
      <c r="W31" s="71">
        <v>0</v>
      </c>
      <c r="X31" s="71">
        <v>0</v>
      </c>
      <c r="Y31" s="71">
        <v>0</v>
      </c>
      <c r="Z31" s="100"/>
      <c r="AA31" s="71">
        <v>0</v>
      </c>
      <c r="AB31" s="71">
        <v>0</v>
      </c>
      <c r="AC31" s="71"/>
      <c r="AD31" s="71"/>
      <c r="AE31" s="71"/>
      <c r="AF31" s="47">
        <f>SUM(AG31:AG31)</f>
        <v>0</v>
      </c>
      <c r="AG31" s="47">
        <f>SUM(AG32:AG33)</f>
        <v>0</v>
      </c>
      <c r="AH31" s="71"/>
      <c r="AI31" s="71"/>
      <c r="AJ31" s="71"/>
      <c r="AK31" s="71">
        <v>0</v>
      </c>
      <c r="AL31" s="71">
        <v>0</v>
      </c>
      <c r="AM31" s="71">
        <v>0</v>
      </c>
      <c r="AN31" s="71">
        <v>0</v>
      </c>
      <c r="AO31" s="71">
        <v>0</v>
      </c>
      <c r="AP31" s="479"/>
      <c r="AQ31" s="100"/>
    </row>
    <row r="32" spans="1:43" ht="15.75" x14ac:dyDescent="0.25">
      <c r="A32" s="991"/>
      <c r="B32" s="37" t="s">
        <v>220</v>
      </c>
      <c r="C32" s="947"/>
      <c r="D32" s="947"/>
      <c r="E32" s="947"/>
      <c r="F32" s="992"/>
      <c r="G32" s="947"/>
      <c r="H32" s="947"/>
      <c r="I32" s="943"/>
      <c r="J32" s="986"/>
      <c r="K32" s="986"/>
      <c r="L32" s="71">
        <v>82000</v>
      </c>
      <c r="M32" s="71"/>
      <c r="N32" s="71">
        <v>-26031.83</v>
      </c>
      <c r="O32" s="71"/>
      <c r="P32" s="47">
        <f>Q32</f>
        <v>0</v>
      </c>
      <c r="Q32" s="47">
        <f>S32+U32+W32</f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1">
        <v>0</v>
      </c>
      <c r="X32" s="71">
        <v>0</v>
      </c>
      <c r="Y32" s="71">
        <v>0</v>
      </c>
      <c r="Z32" s="100"/>
      <c r="AA32" s="71">
        <v>0</v>
      </c>
      <c r="AB32" s="71">
        <v>0</v>
      </c>
      <c r="AC32" s="71"/>
      <c r="AD32" s="71"/>
      <c r="AE32" s="71"/>
      <c r="AF32" s="47">
        <f>SUM(AG32:AG32)</f>
        <v>0</v>
      </c>
      <c r="AG32" s="47">
        <f>SUM(AG33:AG34)</f>
        <v>0</v>
      </c>
      <c r="AH32" s="71"/>
      <c r="AI32" s="71"/>
      <c r="AJ32" s="71"/>
      <c r="AK32" s="71">
        <v>0</v>
      </c>
      <c r="AL32" s="71">
        <v>0</v>
      </c>
      <c r="AM32" s="71">
        <v>0</v>
      </c>
      <c r="AN32" s="71">
        <v>0</v>
      </c>
      <c r="AO32" s="71">
        <v>0</v>
      </c>
      <c r="AP32" s="479"/>
      <c r="AQ32" s="100"/>
    </row>
    <row r="33" spans="1:43" s="327" customFormat="1" ht="27.75" customHeight="1" x14ac:dyDescent="0.25">
      <c r="A33" s="1625" t="s">
        <v>33</v>
      </c>
      <c r="B33" s="780" t="s">
        <v>28</v>
      </c>
      <c r="C33" s="30"/>
      <c r="D33" s="30"/>
      <c r="E33" s="30"/>
      <c r="F33" s="31">
        <v>30000</v>
      </c>
      <c r="G33" s="781"/>
      <c r="H33" s="781"/>
      <c r="I33" s="1326" t="s">
        <v>19</v>
      </c>
      <c r="J33" s="1627">
        <f>K33+L33</f>
        <v>260501.25</v>
      </c>
      <c r="K33" s="1627">
        <v>0</v>
      </c>
      <c r="L33" s="70">
        <f>L35+L34</f>
        <v>260501.25</v>
      </c>
      <c r="M33" s="70">
        <f>M35+M34</f>
        <v>0</v>
      </c>
      <c r="N33" s="70">
        <f>N35+N34</f>
        <v>69943.709999999992</v>
      </c>
      <c r="O33" s="70">
        <f>O35+O34</f>
        <v>69943.710000000006</v>
      </c>
      <c r="P33" s="70">
        <f>P35+P34</f>
        <v>74000</v>
      </c>
      <c r="Q33" s="70">
        <f t="shared" ref="Q33:AO33" si="37">Q35</f>
        <v>0</v>
      </c>
      <c r="R33" s="70">
        <f t="shared" si="37"/>
        <v>0</v>
      </c>
      <c r="S33" s="70">
        <f t="shared" si="37"/>
        <v>0</v>
      </c>
      <c r="T33" s="70">
        <f t="shared" si="37"/>
        <v>0</v>
      </c>
      <c r="U33" s="70">
        <f t="shared" si="37"/>
        <v>0</v>
      </c>
      <c r="V33" s="70">
        <f t="shared" si="37"/>
        <v>0</v>
      </c>
      <c r="W33" s="70">
        <f t="shared" si="37"/>
        <v>0</v>
      </c>
      <c r="X33" s="70">
        <f t="shared" si="37"/>
        <v>0</v>
      </c>
      <c r="Y33" s="70">
        <f t="shared" si="37"/>
        <v>0</v>
      </c>
      <c r="Z33" s="679">
        <v>0</v>
      </c>
      <c r="AA33" s="70">
        <f t="shared" si="37"/>
        <v>0</v>
      </c>
      <c r="AB33" s="70">
        <f t="shared" si="37"/>
        <v>0</v>
      </c>
      <c r="AC33" s="70">
        <f t="shared" si="37"/>
        <v>0</v>
      </c>
      <c r="AD33" s="70">
        <f t="shared" si="37"/>
        <v>0</v>
      </c>
      <c r="AE33" s="70">
        <f t="shared" si="37"/>
        <v>0</v>
      </c>
      <c r="AF33" s="70">
        <f t="shared" si="37"/>
        <v>0</v>
      </c>
      <c r="AG33" s="70">
        <f t="shared" si="37"/>
        <v>0</v>
      </c>
      <c r="AH33" s="70">
        <f t="shared" si="37"/>
        <v>0</v>
      </c>
      <c r="AI33" s="70">
        <f t="shared" si="37"/>
        <v>0</v>
      </c>
      <c r="AJ33" s="70">
        <f t="shared" si="37"/>
        <v>0</v>
      </c>
      <c r="AK33" s="3">
        <f>P33-Q33</f>
        <v>74000</v>
      </c>
      <c r="AL33" s="3">
        <f>AK33</f>
        <v>74000</v>
      </c>
      <c r="AM33" s="70">
        <f t="shared" si="37"/>
        <v>0</v>
      </c>
      <c r="AN33" s="70">
        <f t="shared" si="37"/>
        <v>0</v>
      </c>
      <c r="AO33" s="70">
        <f t="shared" si="37"/>
        <v>0</v>
      </c>
      <c r="AP33" s="782"/>
      <c r="AQ33" s="679">
        <v>0</v>
      </c>
    </row>
    <row r="34" spans="1:43" ht="15" customHeight="1" x14ac:dyDescent="0.25">
      <c r="A34" s="1626"/>
      <c r="B34" s="1" t="s">
        <v>15</v>
      </c>
      <c r="C34" s="286"/>
      <c r="D34" s="286"/>
      <c r="E34" s="286"/>
      <c r="F34" s="287"/>
      <c r="G34" s="954"/>
      <c r="H34" s="954"/>
      <c r="I34" s="1327"/>
      <c r="J34" s="1628"/>
      <c r="K34" s="1628"/>
      <c r="L34" s="972">
        <v>10164.5</v>
      </c>
      <c r="M34" s="972">
        <v>0</v>
      </c>
      <c r="N34" s="972">
        <v>4946.26</v>
      </c>
      <c r="O34" s="972">
        <v>0</v>
      </c>
      <c r="P34" s="972">
        <v>0</v>
      </c>
      <c r="Q34" s="972">
        <v>0</v>
      </c>
      <c r="R34" s="972">
        <v>0</v>
      </c>
      <c r="S34" s="972">
        <v>0</v>
      </c>
      <c r="T34" s="972">
        <v>0</v>
      </c>
      <c r="U34" s="972">
        <v>0</v>
      </c>
      <c r="V34" s="972">
        <v>0</v>
      </c>
      <c r="W34" s="972">
        <v>0</v>
      </c>
      <c r="X34" s="972">
        <v>0</v>
      </c>
      <c r="Y34" s="972">
        <v>0</v>
      </c>
      <c r="Z34" s="258"/>
      <c r="AA34" s="972">
        <v>0</v>
      </c>
      <c r="AB34" s="972">
        <v>0</v>
      </c>
      <c r="AC34" s="972">
        <v>0</v>
      </c>
      <c r="AD34" s="972">
        <v>0</v>
      </c>
      <c r="AE34" s="972">
        <v>0</v>
      </c>
      <c r="AF34" s="972">
        <v>0</v>
      </c>
      <c r="AG34" s="972">
        <v>0</v>
      </c>
      <c r="AH34" s="972">
        <v>0</v>
      </c>
      <c r="AI34" s="972">
        <v>0</v>
      </c>
      <c r="AJ34" s="972">
        <v>0</v>
      </c>
      <c r="AK34" s="288">
        <v>0</v>
      </c>
      <c r="AL34" s="288">
        <v>0</v>
      </c>
      <c r="AM34" s="972">
        <v>0</v>
      </c>
      <c r="AN34" s="972">
        <v>0</v>
      </c>
      <c r="AO34" s="972">
        <v>0</v>
      </c>
      <c r="AP34" s="1367"/>
      <c r="AQ34" s="258"/>
    </row>
    <row r="35" spans="1:43" ht="15" customHeight="1" x14ac:dyDescent="0.25">
      <c r="A35" s="1632"/>
      <c r="B35" s="1" t="s">
        <v>32</v>
      </c>
      <c r="C35" s="286"/>
      <c r="D35" s="286"/>
      <c r="E35" s="286"/>
      <c r="F35" s="640"/>
      <c r="G35" s="954">
        <v>2020</v>
      </c>
      <c r="H35" s="954">
        <v>2021</v>
      </c>
      <c r="I35" s="1328"/>
      <c r="J35" s="1629"/>
      <c r="K35" s="1629"/>
      <c r="L35" s="972">
        <v>250336.75</v>
      </c>
      <c r="M35" s="972">
        <v>0</v>
      </c>
      <c r="N35" s="972">
        <v>64997.45</v>
      </c>
      <c r="O35" s="972">
        <v>69943.710000000006</v>
      </c>
      <c r="P35" s="972">
        <v>74000</v>
      </c>
      <c r="Q35" s="972">
        <v>0</v>
      </c>
      <c r="R35" s="972">
        <v>0</v>
      </c>
      <c r="S35" s="972">
        <v>0</v>
      </c>
      <c r="T35" s="972">
        <v>0</v>
      </c>
      <c r="U35" s="972">
        <v>0</v>
      </c>
      <c r="V35" s="972">
        <v>0</v>
      </c>
      <c r="W35" s="972">
        <v>0</v>
      </c>
      <c r="X35" s="972">
        <v>0</v>
      </c>
      <c r="Y35" s="972">
        <v>0</v>
      </c>
      <c r="Z35" s="258"/>
      <c r="AA35" s="972">
        <v>0</v>
      </c>
      <c r="AB35" s="972">
        <v>0</v>
      </c>
      <c r="AC35" s="972">
        <v>0</v>
      </c>
      <c r="AD35" s="972">
        <v>0</v>
      </c>
      <c r="AE35" s="972">
        <v>0</v>
      </c>
      <c r="AF35" s="972">
        <v>0</v>
      </c>
      <c r="AG35" s="972">
        <v>0</v>
      </c>
      <c r="AH35" s="972">
        <v>0</v>
      </c>
      <c r="AI35" s="972">
        <v>0</v>
      </c>
      <c r="AJ35" s="972">
        <v>0</v>
      </c>
      <c r="AK35" s="972">
        <v>0</v>
      </c>
      <c r="AL35" s="972">
        <v>0</v>
      </c>
      <c r="AM35" s="972">
        <v>0</v>
      </c>
      <c r="AN35" s="972">
        <v>0</v>
      </c>
      <c r="AO35" s="972">
        <v>0</v>
      </c>
      <c r="AP35" s="1368"/>
      <c r="AQ35" s="258"/>
    </row>
    <row r="36" spans="1:43" s="327" customFormat="1" ht="30" customHeight="1" x14ac:dyDescent="0.25">
      <c r="A36" s="1625" t="s">
        <v>37</v>
      </c>
      <c r="B36" s="780" t="s">
        <v>36</v>
      </c>
      <c r="C36" s="30"/>
      <c r="D36" s="30"/>
      <c r="E36" s="30"/>
      <c r="F36" s="32"/>
      <c r="G36" s="781"/>
      <c r="H36" s="781"/>
      <c r="I36" s="1326" t="s">
        <v>19</v>
      </c>
      <c r="J36" s="318">
        <v>344081.28</v>
      </c>
      <c r="K36" s="1622">
        <v>0</v>
      </c>
      <c r="L36" s="318">
        <f>L37+L39</f>
        <v>368435.18</v>
      </c>
      <c r="M36" s="318">
        <f t="shared" ref="M36:AO36" si="38">M37+M39</f>
        <v>20243.12</v>
      </c>
      <c r="N36" s="318">
        <f t="shared" si="38"/>
        <v>13773.23</v>
      </c>
      <c r="O36" s="318">
        <f t="shared" si="38"/>
        <v>8942.9699999999993</v>
      </c>
      <c r="P36" s="318">
        <f t="shared" si="38"/>
        <v>90000</v>
      </c>
      <c r="Q36" s="318">
        <f t="shared" si="38"/>
        <v>0</v>
      </c>
      <c r="R36" s="318">
        <f t="shared" si="38"/>
        <v>0</v>
      </c>
      <c r="S36" s="318">
        <f t="shared" si="38"/>
        <v>0</v>
      </c>
      <c r="T36" s="318">
        <f t="shared" si="38"/>
        <v>0</v>
      </c>
      <c r="U36" s="318">
        <f t="shared" si="38"/>
        <v>0</v>
      </c>
      <c r="V36" s="318">
        <f t="shared" si="38"/>
        <v>0</v>
      </c>
      <c r="W36" s="318">
        <f t="shared" si="38"/>
        <v>0</v>
      </c>
      <c r="X36" s="318">
        <f t="shared" si="38"/>
        <v>0</v>
      </c>
      <c r="Y36" s="318">
        <f t="shared" si="38"/>
        <v>0</v>
      </c>
      <c r="Z36" s="372">
        <v>0</v>
      </c>
      <c r="AA36" s="318">
        <f t="shared" si="38"/>
        <v>0</v>
      </c>
      <c r="AB36" s="318">
        <f t="shared" si="38"/>
        <v>0</v>
      </c>
      <c r="AC36" s="318">
        <f t="shared" si="38"/>
        <v>0</v>
      </c>
      <c r="AD36" s="318">
        <f t="shared" si="38"/>
        <v>0</v>
      </c>
      <c r="AE36" s="318">
        <f t="shared" si="38"/>
        <v>0</v>
      </c>
      <c r="AF36" s="318">
        <f t="shared" si="38"/>
        <v>0</v>
      </c>
      <c r="AG36" s="318">
        <f t="shared" si="38"/>
        <v>0</v>
      </c>
      <c r="AH36" s="318">
        <f t="shared" si="38"/>
        <v>0</v>
      </c>
      <c r="AI36" s="318">
        <f t="shared" si="38"/>
        <v>0</v>
      </c>
      <c r="AJ36" s="318">
        <f t="shared" si="38"/>
        <v>0</v>
      </c>
      <c r="AK36" s="318">
        <f>P36-Q36</f>
        <v>90000</v>
      </c>
      <c r="AL36" s="318">
        <f>AK36</f>
        <v>90000</v>
      </c>
      <c r="AM36" s="318">
        <f>ROUND((Q36*100%/P36*100),2)</f>
        <v>0</v>
      </c>
      <c r="AN36" s="318">
        <f t="shared" si="38"/>
        <v>0</v>
      </c>
      <c r="AO36" s="318">
        <f t="shared" si="38"/>
        <v>0</v>
      </c>
      <c r="AP36" s="783"/>
      <c r="AQ36" s="372">
        <v>0</v>
      </c>
    </row>
    <row r="37" spans="1:43" ht="15" customHeight="1" x14ac:dyDescent="0.25">
      <c r="A37" s="1626"/>
      <c r="B37" s="1" t="s">
        <v>15</v>
      </c>
      <c r="C37" s="286"/>
      <c r="D37" s="286"/>
      <c r="E37" s="286"/>
      <c r="F37" s="640"/>
      <c r="G37" s="954">
        <v>2019</v>
      </c>
      <c r="H37" s="954">
        <v>2019</v>
      </c>
      <c r="I37" s="1327"/>
      <c r="J37" s="47">
        <v>31543.64</v>
      </c>
      <c r="K37" s="1623"/>
      <c r="L37" s="47">
        <f>SUM(M37:O37)</f>
        <v>31543.64</v>
      </c>
      <c r="M37" s="4">
        <v>20243.12</v>
      </c>
      <c r="N37" s="4">
        <v>11300.52</v>
      </c>
      <c r="O37" s="4">
        <v>0</v>
      </c>
      <c r="P37" s="4">
        <v>0</v>
      </c>
      <c r="Q37" s="4">
        <f>Q38</f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f>X38</f>
        <v>0</v>
      </c>
      <c r="Y37" s="4">
        <f>Y38</f>
        <v>0</v>
      </c>
      <c r="Z37" s="268"/>
      <c r="AA37" s="4">
        <f>AA38</f>
        <v>0</v>
      </c>
      <c r="AB37" s="4">
        <v>0</v>
      </c>
      <c r="AC37" s="4">
        <v>0</v>
      </c>
      <c r="AD37" s="4">
        <v>0</v>
      </c>
      <c r="AE37" s="4">
        <f>AE38</f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968"/>
      <c r="AQ37" s="268"/>
    </row>
    <row r="38" spans="1:43" s="266" customFormat="1" ht="15" hidden="1" customHeight="1" x14ac:dyDescent="0.25">
      <c r="A38" s="1626"/>
      <c r="B38" s="102" t="s">
        <v>291</v>
      </c>
      <c r="C38" s="641"/>
      <c r="D38" s="641"/>
      <c r="E38" s="641"/>
      <c r="F38" s="642"/>
      <c r="G38" s="487"/>
      <c r="H38" s="487"/>
      <c r="I38" s="1327"/>
      <c r="J38" s="96"/>
      <c r="K38" s="1623"/>
      <c r="L38" s="96"/>
      <c r="M38" s="268"/>
      <c r="N38" s="268"/>
      <c r="O38" s="268"/>
      <c r="P38" s="268"/>
      <c r="Q38" s="268">
        <f>Y38</f>
        <v>0</v>
      </c>
      <c r="R38" s="268"/>
      <c r="S38" s="268"/>
      <c r="T38" s="268"/>
      <c r="U38" s="268"/>
      <c r="V38" s="268"/>
      <c r="W38" s="268"/>
      <c r="X38" s="268">
        <v>0</v>
      </c>
      <c r="Y38" s="268">
        <v>0</v>
      </c>
      <c r="Z38" s="268"/>
      <c r="AA38" s="268">
        <f>AE38</f>
        <v>0</v>
      </c>
      <c r="AB38" s="268"/>
      <c r="AC38" s="268"/>
      <c r="AD38" s="268"/>
      <c r="AE38" s="268">
        <v>0</v>
      </c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488"/>
      <c r="AQ38" s="268"/>
    </row>
    <row r="39" spans="1:43" ht="15" customHeight="1" x14ac:dyDescent="0.25">
      <c r="A39" s="1632"/>
      <c r="B39" s="1" t="s">
        <v>16</v>
      </c>
      <c r="C39" s="286"/>
      <c r="D39" s="286"/>
      <c r="E39" s="286"/>
      <c r="F39" s="640"/>
      <c r="G39" s="954">
        <v>2020</v>
      </c>
      <c r="H39" s="954">
        <v>2021</v>
      </c>
      <c r="I39" s="1328"/>
      <c r="J39" s="47">
        <v>312537.64</v>
      </c>
      <c r="K39" s="1624"/>
      <c r="L39" s="47">
        <v>336891.54</v>
      </c>
      <c r="M39" s="4">
        <v>0</v>
      </c>
      <c r="N39" s="4">
        <v>2472.71</v>
      </c>
      <c r="O39" s="4">
        <v>8942.9699999999993</v>
      </c>
      <c r="P39" s="4">
        <v>90000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47">
        <v>0</v>
      </c>
      <c r="X39" s="47">
        <v>0</v>
      </c>
      <c r="Y39" s="47">
        <v>0</v>
      </c>
      <c r="Z39" s="96"/>
      <c r="AA39" s="47">
        <v>0</v>
      </c>
      <c r="AB39" s="47">
        <v>0</v>
      </c>
      <c r="AC39" s="47">
        <v>0</v>
      </c>
      <c r="AD39" s="47">
        <v>0</v>
      </c>
      <c r="AE39" s="47">
        <v>0</v>
      </c>
      <c r="AF39" s="47">
        <v>0</v>
      </c>
      <c r="AG39" s="47">
        <v>0</v>
      </c>
      <c r="AH39" s="47">
        <v>0</v>
      </c>
      <c r="AI39" s="47">
        <v>0</v>
      </c>
      <c r="AJ39" s="47">
        <v>0</v>
      </c>
      <c r="AK39" s="47">
        <v>0</v>
      </c>
      <c r="AL39" s="47">
        <v>0</v>
      </c>
      <c r="AM39" s="47">
        <v>0</v>
      </c>
      <c r="AN39" s="47">
        <v>0</v>
      </c>
      <c r="AO39" s="47">
        <v>0</v>
      </c>
      <c r="AP39" s="397"/>
      <c r="AQ39" s="96"/>
    </row>
    <row r="40" spans="1:43" s="327" customFormat="1" ht="31.5" customHeight="1" x14ac:dyDescent="0.25">
      <c r="A40" s="773"/>
      <c r="B40" s="772" t="s">
        <v>401</v>
      </c>
      <c r="C40" s="784"/>
      <c r="D40" s="784"/>
      <c r="E40" s="784"/>
      <c r="F40" s="785"/>
      <c r="G40" s="775"/>
      <c r="H40" s="776"/>
      <c r="I40" s="961"/>
      <c r="J40" s="3"/>
      <c r="K40" s="964"/>
      <c r="L40" s="3"/>
      <c r="M40" s="318"/>
      <c r="N40" s="318"/>
      <c r="O40" s="318"/>
      <c r="P40" s="318">
        <f>SUM(P41:P42)</f>
        <v>8215.9</v>
      </c>
      <c r="Q40" s="318">
        <f>SUM(Q41:Q42)</f>
        <v>0</v>
      </c>
      <c r="R40" s="318">
        <f t="shared" ref="R40:AA40" si="39">SUM(R41:R42)</f>
        <v>0</v>
      </c>
      <c r="S40" s="318">
        <f t="shared" si="39"/>
        <v>0</v>
      </c>
      <c r="T40" s="318">
        <f t="shared" si="39"/>
        <v>0</v>
      </c>
      <c r="U40" s="318">
        <f t="shared" si="39"/>
        <v>0</v>
      </c>
      <c r="V40" s="318">
        <f t="shared" si="39"/>
        <v>0</v>
      </c>
      <c r="W40" s="318">
        <f t="shared" si="39"/>
        <v>0</v>
      </c>
      <c r="X40" s="318">
        <f t="shared" si="39"/>
        <v>0</v>
      </c>
      <c r="Y40" s="318">
        <f t="shared" si="39"/>
        <v>0</v>
      </c>
      <c r="Z40" s="318">
        <f t="shared" si="39"/>
        <v>0</v>
      </c>
      <c r="AA40" s="318">
        <f t="shared" si="39"/>
        <v>0</v>
      </c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783"/>
      <c r="AQ40" s="372"/>
    </row>
    <row r="41" spans="1:43" ht="15" customHeight="1" x14ac:dyDescent="0.25">
      <c r="A41" s="991"/>
      <c r="B41" s="42" t="s">
        <v>15</v>
      </c>
      <c r="C41" s="768"/>
      <c r="D41" s="768"/>
      <c r="E41" s="768"/>
      <c r="F41" s="769"/>
      <c r="G41" s="335"/>
      <c r="H41" s="770"/>
      <c r="I41" s="946"/>
      <c r="J41" s="47"/>
      <c r="K41" s="972"/>
      <c r="L41" s="47"/>
      <c r="M41" s="4"/>
      <c r="N41" s="4"/>
      <c r="O41" s="4"/>
      <c r="P41" s="4">
        <v>1519.43</v>
      </c>
      <c r="Q41" s="4">
        <v>0</v>
      </c>
      <c r="R41" s="4"/>
      <c r="S41" s="4"/>
      <c r="T41" s="4"/>
      <c r="U41" s="4"/>
      <c r="V41" s="4"/>
      <c r="W41" s="4"/>
      <c r="X41" s="4"/>
      <c r="Y41" s="4"/>
      <c r="Z41" s="268"/>
      <c r="AA41" s="4">
        <v>0</v>
      </c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968"/>
      <c r="AQ41" s="268"/>
    </row>
    <row r="42" spans="1:43" ht="15" customHeight="1" x14ac:dyDescent="0.25">
      <c r="A42" s="991"/>
      <c r="B42" s="42" t="s">
        <v>16</v>
      </c>
      <c r="C42" s="768"/>
      <c r="D42" s="768"/>
      <c r="E42" s="768"/>
      <c r="F42" s="769"/>
      <c r="G42" s="335"/>
      <c r="H42" s="770"/>
      <c r="I42" s="946"/>
      <c r="J42" s="47"/>
      <c r="K42" s="972"/>
      <c r="L42" s="47"/>
      <c r="M42" s="4"/>
      <c r="N42" s="4"/>
      <c r="O42" s="4"/>
      <c r="P42" s="4">
        <v>6696.47</v>
      </c>
      <c r="Q42" s="4">
        <v>0</v>
      </c>
      <c r="R42" s="4"/>
      <c r="S42" s="4"/>
      <c r="T42" s="4"/>
      <c r="U42" s="4"/>
      <c r="V42" s="4"/>
      <c r="W42" s="4"/>
      <c r="X42" s="4"/>
      <c r="Y42" s="4"/>
      <c r="Z42" s="268"/>
      <c r="AA42" s="4">
        <v>0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968"/>
      <c r="AQ42" s="268"/>
    </row>
    <row r="43" spans="1:43" ht="38.25" hidden="1" customHeight="1" x14ac:dyDescent="0.25">
      <c r="A43" s="1625" t="s">
        <v>22</v>
      </c>
      <c r="B43" s="1613" t="s">
        <v>49</v>
      </c>
      <c r="C43" s="1614"/>
      <c r="D43" s="1614"/>
      <c r="E43" s="1614"/>
      <c r="F43" s="1614"/>
      <c r="G43" s="1614"/>
      <c r="H43" s="1615"/>
      <c r="I43" s="23" t="s">
        <v>19</v>
      </c>
      <c r="J43" s="47">
        <v>0</v>
      </c>
      <c r="K43" s="47">
        <v>0</v>
      </c>
      <c r="L43" s="47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268"/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968"/>
      <c r="AQ43" s="268"/>
    </row>
    <row r="44" spans="1:43" ht="38.25" hidden="1" customHeight="1" x14ac:dyDescent="0.25">
      <c r="A44" s="1626"/>
      <c r="B44" s="1616"/>
      <c r="C44" s="1617"/>
      <c r="D44" s="1617"/>
      <c r="E44" s="1617"/>
      <c r="F44" s="1617"/>
      <c r="G44" s="1617"/>
      <c r="H44" s="1618"/>
      <c r="I44" s="23" t="s">
        <v>20</v>
      </c>
      <c r="J44" s="47">
        <v>0</v>
      </c>
      <c r="K44" s="47">
        <v>0</v>
      </c>
      <c r="L44" s="47">
        <f>L47</f>
        <v>4674.0700000000006</v>
      </c>
      <c r="M44" s="47">
        <f t="shared" ref="M44:V44" si="40">M47</f>
        <v>0</v>
      </c>
      <c r="N44" s="47">
        <f t="shared" si="40"/>
        <v>0</v>
      </c>
      <c r="O44" s="47">
        <f t="shared" si="40"/>
        <v>0</v>
      </c>
      <c r="P44" s="47">
        <f t="shared" si="40"/>
        <v>0</v>
      </c>
      <c r="Q44" s="47">
        <f t="shared" si="40"/>
        <v>0</v>
      </c>
      <c r="R44" s="47">
        <f t="shared" si="40"/>
        <v>0</v>
      </c>
      <c r="S44" s="47">
        <f t="shared" si="40"/>
        <v>0</v>
      </c>
      <c r="T44" s="47">
        <f t="shared" si="40"/>
        <v>0</v>
      </c>
      <c r="U44" s="47">
        <f t="shared" si="40"/>
        <v>7.2</v>
      </c>
      <c r="V44" s="47">
        <f t="shared" si="40"/>
        <v>0</v>
      </c>
      <c r="W44" s="4">
        <v>0</v>
      </c>
      <c r="X44" s="4">
        <v>0</v>
      </c>
      <c r="Y44" s="4">
        <v>0</v>
      </c>
      <c r="Z44" s="268"/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968"/>
      <c r="AQ44" s="268"/>
    </row>
    <row r="45" spans="1:43" ht="25.5" hidden="1" customHeight="1" x14ac:dyDescent="0.25">
      <c r="A45" s="1626"/>
      <c r="B45" s="1616"/>
      <c r="C45" s="1617"/>
      <c r="D45" s="1617"/>
      <c r="E45" s="1617"/>
      <c r="F45" s="1617"/>
      <c r="G45" s="1617"/>
      <c r="H45" s="1618"/>
      <c r="I45" s="23" t="s">
        <v>10</v>
      </c>
      <c r="J45" s="47">
        <f t="shared" ref="J45:AO45" si="41">J47</f>
        <v>23417.360000000001</v>
      </c>
      <c r="K45" s="47">
        <f t="shared" si="41"/>
        <v>0</v>
      </c>
      <c r="L45" s="47">
        <v>0</v>
      </c>
      <c r="M45" s="4">
        <f t="shared" si="41"/>
        <v>0</v>
      </c>
      <c r="N45" s="4">
        <f t="shared" si="41"/>
        <v>0</v>
      </c>
      <c r="O45" s="4">
        <f t="shared" si="41"/>
        <v>0</v>
      </c>
      <c r="P45" s="4">
        <v>0</v>
      </c>
      <c r="Q45" s="4">
        <v>0</v>
      </c>
      <c r="R45" s="4">
        <f t="shared" si="41"/>
        <v>0</v>
      </c>
      <c r="S45" s="4">
        <f t="shared" si="41"/>
        <v>0</v>
      </c>
      <c r="T45" s="4">
        <f t="shared" si="41"/>
        <v>0</v>
      </c>
      <c r="U45" s="4">
        <v>0</v>
      </c>
      <c r="V45" s="4">
        <f t="shared" si="41"/>
        <v>0</v>
      </c>
      <c r="W45" s="4">
        <f t="shared" si="41"/>
        <v>0</v>
      </c>
      <c r="X45" s="4">
        <f t="shared" si="41"/>
        <v>0</v>
      </c>
      <c r="Y45" s="4">
        <f t="shared" si="41"/>
        <v>0</v>
      </c>
      <c r="Z45" s="268"/>
      <c r="AA45" s="4">
        <f t="shared" si="41"/>
        <v>0</v>
      </c>
      <c r="AB45" s="4">
        <f t="shared" si="41"/>
        <v>0</v>
      </c>
      <c r="AC45" s="4">
        <f t="shared" si="41"/>
        <v>7.2</v>
      </c>
      <c r="AD45" s="4">
        <f t="shared" si="41"/>
        <v>0</v>
      </c>
      <c r="AE45" s="4">
        <f t="shared" si="41"/>
        <v>0</v>
      </c>
      <c r="AF45" s="4">
        <f t="shared" si="41"/>
        <v>0</v>
      </c>
      <c r="AG45" s="4">
        <f t="shared" si="41"/>
        <v>0</v>
      </c>
      <c r="AH45" s="4">
        <f t="shared" si="41"/>
        <v>0</v>
      </c>
      <c r="AI45" s="4">
        <f t="shared" si="41"/>
        <v>0</v>
      </c>
      <c r="AJ45" s="4">
        <f t="shared" si="41"/>
        <v>0</v>
      </c>
      <c r="AK45" s="4">
        <f t="shared" si="41"/>
        <v>0</v>
      </c>
      <c r="AL45" s="4">
        <f t="shared" si="41"/>
        <v>0</v>
      </c>
      <c r="AM45" s="4">
        <f t="shared" si="41"/>
        <v>0</v>
      </c>
      <c r="AN45" s="4">
        <f t="shared" si="41"/>
        <v>0</v>
      </c>
      <c r="AO45" s="4">
        <f t="shared" si="41"/>
        <v>0</v>
      </c>
      <c r="AP45" s="968"/>
      <c r="AQ45" s="268"/>
    </row>
    <row r="46" spans="1:43" ht="25.5" hidden="1" customHeight="1" x14ac:dyDescent="0.25">
      <c r="A46" s="1626"/>
      <c r="B46" s="1619"/>
      <c r="C46" s="1620"/>
      <c r="D46" s="1620"/>
      <c r="E46" s="1620"/>
      <c r="F46" s="1620"/>
      <c r="G46" s="1620"/>
      <c r="H46" s="1621"/>
      <c r="I46" s="23" t="s">
        <v>9</v>
      </c>
      <c r="J46" s="47">
        <v>0</v>
      </c>
      <c r="K46" s="47">
        <v>0</v>
      </c>
      <c r="L46" s="47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268"/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968"/>
      <c r="AQ46" s="268"/>
    </row>
    <row r="47" spans="1:43" s="327" customFormat="1" ht="29.25" customHeight="1" x14ac:dyDescent="0.25">
      <c r="A47" s="1369" t="s">
        <v>23</v>
      </c>
      <c r="B47" s="780" t="s">
        <v>276</v>
      </c>
      <c r="C47" s="956">
        <v>900</v>
      </c>
      <c r="D47" s="35">
        <v>28000</v>
      </c>
      <c r="E47" s="956"/>
      <c r="F47" s="967"/>
      <c r="G47" s="959"/>
      <c r="H47" s="959"/>
      <c r="I47" s="1447" t="s">
        <v>20</v>
      </c>
      <c r="J47" s="1627">
        <v>23417.360000000001</v>
      </c>
      <c r="K47" s="1627">
        <v>0</v>
      </c>
      <c r="L47" s="70">
        <f>SUM(L48:L51)</f>
        <v>4674.0700000000006</v>
      </c>
      <c r="M47" s="70">
        <f>SUM(M48:M51)</f>
        <v>0</v>
      </c>
      <c r="N47" s="70">
        <f>SUM(N48:N51)</f>
        <v>0</v>
      </c>
      <c r="O47" s="70">
        <f>SUM(O48:O51)</f>
        <v>0</v>
      </c>
      <c r="P47" s="70">
        <f>SUM(P48:P51)</f>
        <v>0</v>
      </c>
      <c r="Q47" s="70">
        <f>Q48+Q51</f>
        <v>0</v>
      </c>
      <c r="R47" s="70">
        <f t="shared" ref="R47:AC47" si="42">R48+R51</f>
        <v>0</v>
      </c>
      <c r="S47" s="70">
        <f t="shared" si="42"/>
        <v>0</v>
      </c>
      <c r="T47" s="70">
        <f t="shared" si="42"/>
        <v>0</v>
      </c>
      <c r="U47" s="70">
        <f t="shared" si="42"/>
        <v>7.2</v>
      </c>
      <c r="V47" s="70">
        <f t="shared" si="42"/>
        <v>0</v>
      </c>
      <c r="W47" s="70">
        <f t="shared" si="42"/>
        <v>0</v>
      </c>
      <c r="X47" s="70">
        <f t="shared" si="42"/>
        <v>0</v>
      </c>
      <c r="Y47" s="70">
        <f t="shared" si="42"/>
        <v>0</v>
      </c>
      <c r="Z47" s="679">
        <v>0</v>
      </c>
      <c r="AA47" s="70">
        <v>0</v>
      </c>
      <c r="AB47" s="70">
        <f t="shared" si="42"/>
        <v>0</v>
      </c>
      <c r="AC47" s="70">
        <f t="shared" si="42"/>
        <v>7.2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3">
        <f>P47-Q47</f>
        <v>0</v>
      </c>
      <c r="AL47" s="3">
        <f>AK47</f>
        <v>0</v>
      </c>
      <c r="AM47" s="70">
        <v>0</v>
      </c>
      <c r="AN47" s="70">
        <v>0</v>
      </c>
      <c r="AO47" s="70">
        <v>0</v>
      </c>
      <c r="AP47" s="786"/>
      <c r="AQ47" s="679">
        <v>0</v>
      </c>
    </row>
    <row r="48" spans="1:43" ht="15" customHeight="1" x14ac:dyDescent="0.25">
      <c r="A48" s="1370"/>
      <c r="B48" s="939" t="s">
        <v>15</v>
      </c>
      <c r="C48" s="962"/>
      <c r="D48" s="577"/>
      <c r="E48" s="962"/>
      <c r="F48" s="970"/>
      <c r="G48" s="945"/>
      <c r="H48" s="945"/>
      <c r="I48" s="1448"/>
      <c r="J48" s="1628"/>
      <c r="K48" s="1628"/>
      <c r="L48" s="972">
        <v>521.89</v>
      </c>
      <c r="M48" s="972"/>
      <c r="N48" s="972">
        <v>0</v>
      </c>
      <c r="O48" s="990"/>
      <c r="P48" s="972">
        <v>0</v>
      </c>
      <c r="Q48" s="972">
        <v>0</v>
      </c>
      <c r="R48" s="972">
        <f t="shared" ref="R48:Z48" si="43">R49+R50</f>
        <v>0</v>
      </c>
      <c r="S48" s="972">
        <f t="shared" si="43"/>
        <v>0</v>
      </c>
      <c r="T48" s="972">
        <f t="shared" si="43"/>
        <v>0</v>
      </c>
      <c r="U48" s="972">
        <f t="shared" si="43"/>
        <v>7.2</v>
      </c>
      <c r="V48" s="972">
        <f t="shared" si="43"/>
        <v>0</v>
      </c>
      <c r="W48" s="972">
        <f t="shared" si="43"/>
        <v>0</v>
      </c>
      <c r="X48" s="972">
        <f t="shared" si="43"/>
        <v>0</v>
      </c>
      <c r="Y48" s="972">
        <f t="shared" si="43"/>
        <v>0</v>
      </c>
      <c r="Z48" s="972">
        <f t="shared" si="43"/>
        <v>0</v>
      </c>
      <c r="AA48" s="972">
        <v>0</v>
      </c>
      <c r="AB48" s="972">
        <f t="shared" ref="AB48:AC48" si="44">AB49</f>
        <v>0</v>
      </c>
      <c r="AC48" s="972">
        <f t="shared" si="44"/>
        <v>7.2</v>
      </c>
      <c r="AD48" s="972"/>
      <c r="AE48" s="972"/>
      <c r="AF48" s="972"/>
      <c r="AG48" s="972"/>
      <c r="AH48" s="972"/>
      <c r="AI48" s="972"/>
      <c r="AJ48" s="972"/>
      <c r="AK48" s="288"/>
      <c r="AL48" s="288"/>
      <c r="AM48" s="972"/>
      <c r="AN48" s="972"/>
      <c r="AO48" s="972"/>
      <c r="AP48" s="578"/>
      <c r="AQ48" s="258"/>
    </row>
    <row r="49" spans="1:43" s="266" customFormat="1" ht="15" hidden="1" customHeight="1" x14ac:dyDescent="0.25">
      <c r="A49" s="1370"/>
      <c r="B49" s="92" t="s">
        <v>314</v>
      </c>
      <c r="C49" s="104"/>
      <c r="D49" s="579"/>
      <c r="E49" s="104"/>
      <c r="F49" s="576"/>
      <c r="G49" s="262"/>
      <c r="H49" s="262"/>
      <c r="I49" s="1448"/>
      <c r="J49" s="1628"/>
      <c r="K49" s="1628"/>
      <c r="L49" s="258"/>
      <c r="M49" s="258"/>
      <c r="N49" s="258"/>
      <c r="O49" s="580"/>
      <c r="P49" s="258"/>
      <c r="Q49" s="258">
        <f>S49+U49</f>
        <v>7.2</v>
      </c>
      <c r="R49" s="258"/>
      <c r="S49" s="258"/>
      <c r="T49" s="258"/>
      <c r="U49" s="258">
        <v>7.2</v>
      </c>
      <c r="V49" s="258"/>
      <c r="W49" s="258"/>
      <c r="X49" s="258"/>
      <c r="Y49" s="258"/>
      <c r="Z49" s="258"/>
      <c r="AA49" s="258">
        <f>AC49</f>
        <v>7.2</v>
      </c>
      <c r="AB49" s="258"/>
      <c r="AC49" s="258">
        <v>7.2</v>
      </c>
      <c r="AD49" s="258"/>
      <c r="AE49" s="258"/>
      <c r="AF49" s="258"/>
      <c r="AG49" s="258"/>
      <c r="AH49" s="258"/>
      <c r="AI49" s="258"/>
      <c r="AJ49" s="258"/>
      <c r="AK49" s="581"/>
      <c r="AL49" s="581"/>
      <c r="AM49" s="258"/>
      <c r="AN49" s="258"/>
      <c r="AO49" s="258"/>
      <c r="AP49" s="582"/>
      <c r="AQ49" s="258"/>
    </row>
    <row r="50" spans="1:43" s="266" customFormat="1" ht="15" hidden="1" customHeight="1" x14ac:dyDescent="0.25">
      <c r="A50" s="1370"/>
      <c r="B50" s="92" t="s">
        <v>348</v>
      </c>
      <c r="C50" s="104"/>
      <c r="D50" s="579"/>
      <c r="E50" s="104"/>
      <c r="F50" s="576"/>
      <c r="G50" s="262"/>
      <c r="H50" s="262"/>
      <c r="I50" s="1448"/>
      <c r="J50" s="1628"/>
      <c r="K50" s="1628"/>
      <c r="L50" s="258"/>
      <c r="M50" s="258"/>
      <c r="N50" s="258"/>
      <c r="O50" s="580"/>
      <c r="P50" s="258"/>
      <c r="Q50" s="258">
        <v>48</v>
      </c>
      <c r="R50" s="258"/>
      <c r="S50" s="258"/>
      <c r="T50" s="258"/>
      <c r="U50" s="258"/>
      <c r="V50" s="258"/>
      <c r="W50" s="258"/>
      <c r="X50" s="258"/>
      <c r="Y50" s="258"/>
      <c r="Z50" s="258"/>
      <c r="AA50" s="258">
        <v>48</v>
      </c>
      <c r="AB50" s="258"/>
      <c r="AC50" s="258"/>
      <c r="AD50" s="258"/>
      <c r="AE50" s="258"/>
      <c r="AF50" s="258"/>
      <c r="AG50" s="258"/>
      <c r="AH50" s="258"/>
      <c r="AI50" s="258"/>
      <c r="AJ50" s="258"/>
      <c r="AK50" s="581"/>
      <c r="AL50" s="581"/>
      <c r="AM50" s="258"/>
      <c r="AN50" s="258"/>
      <c r="AO50" s="258"/>
      <c r="AP50" s="582"/>
      <c r="AQ50" s="258"/>
    </row>
    <row r="51" spans="1:43" ht="15" customHeight="1" x14ac:dyDescent="0.25">
      <c r="A51" s="1371"/>
      <c r="B51" s="939" t="s">
        <v>16</v>
      </c>
      <c r="C51" s="962"/>
      <c r="D51" s="962"/>
      <c r="E51" s="962"/>
      <c r="F51" s="970"/>
      <c r="G51" s="945">
        <v>2020</v>
      </c>
      <c r="H51" s="945">
        <v>2020</v>
      </c>
      <c r="I51" s="1449"/>
      <c r="J51" s="1629"/>
      <c r="K51" s="1629"/>
      <c r="L51" s="972">
        <v>4152.18</v>
      </c>
      <c r="M51" s="972">
        <v>0</v>
      </c>
      <c r="N51" s="972">
        <v>0</v>
      </c>
      <c r="O51" s="972">
        <v>0</v>
      </c>
      <c r="P51" s="972">
        <v>0</v>
      </c>
      <c r="Q51" s="972">
        <v>0</v>
      </c>
      <c r="R51" s="972">
        <v>0</v>
      </c>
      <c r="S51" s="972">
        <v>0</v>
      </c>
      <c r="T51" s="972">
        <v>0</v>
      </c>
      <c r="U51" s="972">
        <v>0</v>
      </c>
      <c r="V51" s="972">
        <v>0</v>
      </c>
      <c r="W51" s="972">
        <v>0</v>
      </c>
      <c r="X51" s="972">
        <v>0</v>
      </c>
      <c r="Y51" s="972">
        <v>0</v>
      </c>
      <c r="Z51" s="258"/>
      <c r="AA51" s="972">
        <v>0</v>
      </c>
      <c r="AB51" s="972">
        <v>0</v>
      </c>
      <c r="AC51" s="972">
        <v>0</v>
      </c>
      <c r="AD51" s="972">
        <v>0</v>
      </c>
      <c r="AE51" s="972">
        <v>0</v>
      </c>
      <c r="AF51" s="972">
        <v>0</v>
      </c>
      <c r="AG51" s="972">
        <f t="shared" ref="AG51:AJ52" si="45">AG54+AG57</f>
        <v>0</v>
      </c>
      <c r="AH51" s="972">
        <f t="shared" si="45"/>
        <v>0</v>
      </c>
      <c r="AI51" s="972">
        <f t="shared" si="45"/>
        <v>0</v>
      </c>
      <c r="AJ51" s="972">
        <f t="shared" si="45"/>
        <v>0</v>
      </c>
      <c r="AK51" s="972">
        <v>0</v>
      </c>
      <c r="AL51" s="972">
        <v>0</v>
      </c>
      <c r="AM51" s="972">
        <v>0</v>
      </c>
      <c r="AN51" s="972">
        <v>0</v>
      </c>
      <c r="AO51" s="972">
        <v>0</v>
      </c>
      <c r="AP51" s="401"/>
      <c r="AQ51" s="258"/>
    </row>
    <row r="52" spans="1:43" ht="38.25" hidden="1" customHeight="1" x14ac:dyDescent="0.25">
      <c r="A52" s="1332" t="s">
        <v>29</v>
      </c>
      <c r="B52" s="1613" t="s">
        <v>62</v>
      </c>
      <c r="C52" s="1614"/>
      <c r="D52" s="1614"/>
      <c r="E52" s="1614"/>
      <c r="F52" s="1614"/>
      <c r="G52" s="1614"/>
      <c r="H52" s="1615"/>
      <c r="I52" s="37" t="s">
        <v>20</v>
      </c>
      <c r="J52" s="987">
        <f>L52</f>
        <v>924.64</v>
      </c>
      <c r="K52" s="987">
        <v>0</v>
      </c>
      <c r="L52" s="972">
        <f>L58</f>
        <v>924.64</v>
      </c>
      <c r="M52" s="972">
        <f t="shared" ref="M52:AO52" si="46">M55+M58</f>
        <v>0</v>
      </c>
      <c r="N52" s="972">
        <f t="shared" si="46"/>
        <v>0</v>
      </c>
      <c r="O52" s="972">
        <f t="shared" si="46"/>
        <v>0</v>
      </c>
      <c r="P52" s="972">
        <f t="shared" si="46"/>
        <v>725.37</v>
      </c>
      <c r="Q52" s="972">
        <f t="shared" si="46"/>
        <v>0</v>
      </c>
      <c r="R52" s="972">
        <f t="shared" si="46"/>
        <v>0</v>
      </c>
      <c r="S52" s="972">
        <f t="shared" si="46"/>
        <v>0</v>
      </c>
      <c r="T52" s="972">
        <f t="shared" si="46"/>
        <v>0</v>
      </c>
      <c r="U52" s="972">
        <f t="shared" si="46"/>
        <v>0</v>
      </c>
      <c r="V52" s="972">
        <f t="shared" si="46"/>
        <v>131</v>
      </c>
      <c r="W52" s="972">
        <f t="shared" si="46"/>
        <v>131</v>
      </c>
      <c r="X52" s="972">
        <f t="shared" si="46"/>
        <v>0</v>
      </c>
      <c r="Y52" s="972">
        <f t="shared" si="46"/>
        <v>0</v>
      </c>
      <c r="Z52" s="258"/>
      <c r="AA52" s="972">
        <f t="shared" si="46"/>
        <v>0</v>
      </c>
      <c r="AB52" s="972">
        <f t="shared" si="46"/>
        <v>0</v>
      </c>
      <c r="AC52" s="972">
        <f t="shared" si="46"/>
        <v>0</v>
      </c>
      <c r="AD52" s="972">
        <f t="shared" si="46"/>
        <v>200</v>
      </c>
      <c r="AE52" s="972">
        <f t="shared" si="46"/>
        <v>0</v>
      </c>
      <c r="AF52" s="972">
        <f t="shared" si="46"/>
        <v>0</v>
      </c>
      <c r="AG52" s="972">
        <f t="shared" si="45"/>
        <v>0</v>
      </c>
      <c r="AH52" s="972">
        <f t="shared" si="45"/>
        <v>0</v>
      </c>
      <c r="AI52" s="972">
        <f t="shared" si="45"/>
        <v>0</v>
      </c>
      <c r="AJ52" s="972">
        <f t="shared" si="45"/>
        <v>0</v>
      </c>
      <c r="AK52" s="972">
        <f t="shared" si="46"/>
        <v>725.37</v>
      </c>
      <c r="AL52" s="972">
        <f t="shared" si="46"/>
        <v>725.37</v>
      </c>
      <c r="AM52" s="972">
        <f t="shared" si="46"/>
        <v>0</v>
      </c>
      <c r="AN52" s="972">
        <f t="shared" si="46"/>
        <v>0</v>
      </c>
      <c r="AO52" s="972">
        <f t="shared" si="46"/>
        <v>0</v>
      </c>
      <c r="AP52" s="401"/>
      <c r="AQ52" s="258"/>
    </row>
    <row r="53" spans="1:43" ht="25.5" hidden="1" customHeight="1" x14ac:dyDescent="0.25">
      <c r="A53" s="1333"/>
      <c r="B53" s="1616"/>
      <c r="C53" s="1617"/>
      <c r="D53" s="1617"/>
      <c r="E53" s="1617"/>
      <c r="F53" s="1617"/>
      <c r="G53" s="1617"/>
      <c r="H53" s="1618"/>
      <c r="I53" s="37" t="s">
        <v>10</v>
      </c>
      <c r="J53" s="987">
        <f>L53</f>
        <v>0</v>
      </c>
      <c r="K53" s="987">
        <v>0</v>
      </c>
      <c r="L53" s="972">
        <v>0</v>
      </c>
      <c r="M53" s="972">
        <v>0</v>
      </c>
      <c r="N53" s="972">
        <v>0</v>
      </c>
      <c r="O53" s="990">
        <v>0</v>
      </c>
      <c r="P53" s="972">
        <v>0</v>
      </c>
      <c r="Q53" s="972">
        <v>0</v>
      </c>
      <c r="R53" s="972">
        <v>0</v>
      </c>
      <c r="S53" s="972">
        <v>0</v>
      </c>
      <c r="T53" s="972">
        <v>0</v>
      </c>
      <c r="U53" s="972">
        <v>0</v>
      </c>
      <c r="V53" s="972">
        <v>0</v>
      </c>
      <c r="W53" s="972">
        <v>0</v>
      </c>
      <c r="X53" s="972">
        <v>0</v>
      </c>
      <c r="Y53" s="972">
        <v>0</v>
      </c>
      <c r="Z53" s="258"/>
      <c r="AA53" s="972">
        <v>0</v>
      </c>
      <c r="AB53" s="972">
        <v>0</v>
      </c>
      <c r="AC53" s="972">
        <v>0</v>
      </c>
      <c r="AD53" s="972">
        <v>0</v>
      </c>
      <c r="AE53" s="972">
        <v>0</v>
      </c>
      <c r="AF53" s="972">
        <v>0</v>
      </c>
      <c r="AG53" s="972">
        <v>0</v>
      </c>
      <c r="AH53" s="972">
        <v>0</v>
      </c>
      <c r="AI53" s="972">
        <v>0</v>
      </c>
      <c r="AJ53" s="972">
        <v>0</v>
      </c>
      <c r="AK53" s="972">
        <v>0</v>
      </c>
      <c r="AL53" s="972">
        <v>0</v>
      </c>
      <c r="AM53" s="972">
        <v>0</v>
      </c>
      <c r="AN53" s="972">
        <v>0</v>
      </c>
      <c r="AO53" s="972">
        <v>0</v>
      </c>
      <c r="AP53" s="401"/>
      <c r="AQ53" s="258"/>
    </row>
    <row r="54" spans="1:43" ht="25.5" hidden="1" customHeight="1" x14ac:dyDescent="0.25">
      <c r="A54" s="1334"/>
      <c r="B54" s="1619"/>
      <c r="C54" s="1620"/>
      <c r="D54" s="1620"/>
      <c r="E54" s="1620"/>
      <c r="F54" s="1620"/>
      <c r="G54" s="1620"/>
      <c r="H54" s="1621"/>
      <c r="I54" s="37" t="s">
        <v>9</v>
      </c>
      <c r="J54" s="987">
        <f>L54</f>
        <v>0</v>
      </c>
      <c r="K54" s="987">
        <v>0</v>
      </c>
      <c r="L54" s="972">
        <v>0</v>
      </c>
      <c r="M54" s="972">
        <v>0</v>
      </c>
      <c r="N54" s="972">
        <v>0</v>
      </c>
      <c r="O54" s="990">
        <v>0</v>
      </c>
      <c r="P54" s="972">
        <v>0</v>
      </c>
      <c r="Q54" s="972">
        <v>0</v>
      </c>
      <c r="R54" s="972">
        <v>0</v>
      </c>
      <c r="S54" s="972">
        <v>0</v>
      </c>
      <c r="T54" s="972">
        <v>0</v>
      </c>
      <c r="U54" s="972">
        <v>0</v>
      </c>
      <c r="V54" s="972">
        <v>0</v>
      </c>
      <c r="W54" s="972">
        <v>0</v>
      </c>
      <c r="X54" s="972">
        <v>0</v>
      </c>
      <c r="Y54" s="972">
        <v>0</v>
      </c>
      <c r="Z54" s="258"/>
      <c r="AA54" s="972">
        <v>0</v>
      </c>
      <c r="AB54" s="972">
        <v>0</v>
      </c>
      <c r="AC54" s="972">
        <v>0</v>
      </c>
      <c r="AD54" s="972">
        <v>0</v>
      </c>
      <c r="AE54" s="972">
        <v>0</v>
      </c>
      <c r="AF54" s="972">
        <v>0</v>
      </c>
      <c r="AG54" s="972">
        <v>0</v>
      </c>
      <c r="AH54" s="972">
        <v>0</v>
      </c>
      <c r="AI54" s="972">
        <v>0</v>
      </c>
      <c r="AJ54" s="972">
        <v>0</v>
      </c>
      <c r="AK54" s="972">
        <v>0</v>
      </c>
      <c r="AL54" s="972">
        <v>0</v>
      </c>
      <c r="AM54" s="972">
        <v>0</v>
      </c>
      <c r="AN54" s="972">
        <v>0</v>
      </c>
      <c r="AO54" s="972">
        <v>0</v>
      </c>
      <c r="AP54" s="401"/>
      <c r="AQ54" s="258"/>
    </row>
    <row r="55" spans="1:43" ht="25.5" hidden="1" customHeight="1" x14ac:dyDescent="0.25">
      <c r="A55" s="1369" t="s">
        <v>46</v>
      </c>
      <c r="B55" s="1" t="s">
        <v>53</v>
      </c>
      <c r="C55" s="1326">
        <v>300</v>
      </c>
      <c r="D55" s="1326">
        <v>17</v>
      </c>
      <c r="E55" s="1326"/>
      <c r="F55" s="1390"/>
      <c r="G55" s="962"/>
      <c r="H55" s="962"/>
      <c r="I55" s="1374" t="s">
        <v>20</v>
      </c>
      <c r="J55" s="987">
        <f>L55</f>
        <v>0</v>
      </c>
      <c r="K55" s="987"/>
      <c r="L55" s="972">
        <f>M55+N55+O55</f>
        <v>0</v>
      </c>
      <c r="M55" s="71">
        <f>M56+M57</f>
        <v>0</v>
      </c>
      <c r="N55" s="71">
        <f>N56+N57</f>
        <v>0</v>
      </c>
      <c r="O55" s="71">
        <f>O56+O57</f>
        <v>0</v>
      </c>
      <c r="P55" s="71">
        <f>P56+P57</f>
        <v>0</v>
      </c>
      <c r="Q55" s="71">
        <f>Q56+Q57</f>
        <v>0</v>
      </c>
      <c r="R55" s="71">
        <f t="shared" ref="R55:AO55" si="47">R56+R57</f>
        <v>0</v>
      </c>
      <c r="S55" s="71">
        <f t="shared" si="47"/>
        <v>0</v>
      </c>
      <c r="T55" s="71">
        <f t="shared" si="47"/>
        <v>0</v>
      </c>
      <c r="U55" s="71">
        <f t="shared" si="47"/>
        <v>0</v>
      </c>
      <c r="V55" s="71">
        <f t="shared" si="47"/>
        <v>0</v>
      </c>
      <c r="W55" s="71">
        <f t="shared" si="47"/>
        <v>0</v>
      </c>
      <c r="X55" s="71">
        <f t="shared" si="47"/>
        <v>0</v>
      </c>
      <c r="Y55" s="71">
        <f t="shared" si="47"/>
        <v>0</v>
      </c>
      <c r="Z55" s="100"/>
      <c r="AA55" s="71">
        <f t="shared" si="47"/>
        <v>0</v>
      </c>
      <c r="AB55" s="71">
        <f t="shared" si="47"/>
        <v>0</v>
      </c>
      <c r="AC55" s="71">
        <f t="shared" si="47"/>
        <v>0</v>
      </c>
      <c r="AD55" s="71">
        <f t="shared" si="47"/>
        <v>0</v>
      </c>
      <c r="AE55" s="71">
        <f t="shared" si="47"/>
        <v>0</v>
      </c>
      <c r="AF55" s="71">
        <f t="shared" si="47"/>
        <v>0</v>
      </c>
      <c r="AG55" s="71">
        <f t="shared" si="47"/>
        <v>0</v>
      </c>
      <c r="AH55" s="71">
        <f t="shared" si="47"/>
        <v>0</v>
      </c>
      <c r="AI55" s="71">
        <f t="shared" si="47"/>
        <v>0</v>
      </c>
      <c r="AJ55" s="71"/>
      <c r="AK55" s="47">
        <f>P55-Q55</f>
        <v>0</v>
      </c>
      <c r="AL55" s="47">
        <f>AK55</f>
        <v>0</v>
      </c>
      <c r="AM55" s="4">
        <v>0</v>
      </c>
      <c r="AN55" s="71">
        <f t="shared" si="47"/>
        <v>0</v>
      </c>
      <c r="AO55" s="71">
        <f t="shared" si="47"/>
        <v>0</v>
      </c>
      <c r="AP55" s="402" t="s">
        <v>158</v>
      </c>
      <c r="AQ55" s="100"/>
    </row>
    <row r="56" spans="1:43" ht="15" hidden="1" customHeight="1" x14ac:dyDescent="0.25">
      <c r="A56" s="1370"/>
      <c r="B56" s="40" t="s">
        <v>15</v>
      </c>
      <c r="C56" s="1327"/>
      <c r="D56" s="1327"/>
      <c r="E56" s="1327"/>
      <c r="F56" s="1356"/>
      <c r="G56" s="962">
        <v>2019</v>
      </c>
      <c r="H56" s="962">
        <v>2019</v>
      </c>
      <c r="I56" s="1391"/>
      <c r="J56" s="987">
        <f t="shared" ref="J56:J61" si="48">L56</f>
        <v>0</v>
      </c>
      <c r="K56" s="987"/>
      <c r="L56" s="972">
        <f>M56+N56+O56</f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1">
        <v>0</v>
      </c>
      <c r="X56" s="71">
        <v>0</v>
      </c>
      <c r="Y56" s="71">
        <v>0</v>
      </c>
      <c r="Z56" s="100"/>
      <c r="AA56" s="71">
        <v>0</v>
      </c>
      <c r="AB56" s="71">
        <v>0</v>
      </c>
      <c r="AC56" s="71">
        <v>0</v>
      </c>
      <c r="AD56" s="71">
        <v>0</v>
      </c>
      <c r="AE56" s="71">
        <v>0</v>
      </c>
      <c r="AF56" s="71">
        <v>0</v>
      </c>
      <c r="AG56" s="71">
        <v>0</v>
      </c>
      <c r="AH56" s="71">
        <v>0</v>
      </c>
      <c r="AI56" s="71">
        <v>0</v>
      </c>
      <c r="AJ56" s="71"/>
      <c r="AK56" s="71">
        <v>0</v>
      </c>
      <c r="AL56" s="71">
        <v>0</v>
      </c>
      <c r="AM56" s="71">
        <v>0</v>
      </c>
      <c r="AN56" s="71">
        <v>0</v>
      </c>
      <c r="AO56" s="71">
        <v>0</v>
      </c>
      <c r="AP56" s="402"/>
      <c r="AQ56" s="100"/>
    </row>
    <row r="57" spans="1:43" ht="15" hidden="1" customHeight="1" x14ac:dyDescent="0.25">
      <c r="A57" s="1371"/>
      <c r="B57" s="40" t="s">
        <v>16</v>
      </c>
      <c r="C57" s="1328"/>
      <c r="D57" s="1328"/>
      <c r="E57" s="1328"/>
      <c r="F57" s="1349"/>
      <c r="G57" s="954">
        <v>2019</v>
      </c>
      <c r="H57" s="954">
        <v>2019</v>
      </c>
      <c r="I57" s="1375"/>
      <c r="J57" s="987">
        <f t="shared" si="48"/>
        <v>0</v>
      </c>
      <c r="K57" s="946"/>
      <c r="L57" s="972">
        <f>M57+N57+O57</f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268"/>
      <c r="AA57" s="71">
        <v>0</v>
      </c>
      <c r="AB57" s="71">
        <v>0</v>
      </c>
      <c r="AC57" s="71">
        <v>0</v>
      </c>
      <c r="AD57" s="71">
        <v>0</v>
      </c>
      <c r="AE57" s="71">
        <v>0</v>
      </c>
      <c r="AF57" s="71">
        <v>0</v>
      </c>
      <c r="AG57" s="71">
        <v>0</v>
      </c>
      <c r="AH57" s="71">
        <v>0</v>
      </c>
      <c r="AI57" s="71">
        <v>0</v>
      </c>
      <c r="AJ57" s="71"/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403"/>
      <c r="AQ57" s="268"/>
    </row>
    <row r="58" spans="1:43" ht="27" customHeight="1" x14ac:dyDescent="0.25">
      <c r="A58" s="1625" t="s">
        <v>46</v>
      </c>
      <c r="B58" s="772" t="s">
        <v>54</v>
      </c>
      <c r="C58" s="1326">
        <v>200</v>
      </c>
      <c r="D58" s="1326">
        <v>10</v>
      </c>
      <c r="E58" s="1635"/>
      <c r="F58" s="1395"/>
      <c r="G58" s="954"/>
      <c r="H58" s="954"/>
      <c r="I58" s="1374" t="s">
        <v>20</v>
      </c>
      <c r="J58" s="987">
        <f t="shared" si="48"/>
        <v>924.64</v>
      </c>
      <c r="K58" s="946"/>
      <c r="L58" s="972">
        <f>SUM(L59:L61)</f>
        <v>924.64</v>
      </c>
      <c r="M58" s="4">
        <f>M59+M61</f>
        <v>0</v>
      </c>
      <c r="N58" s="4">
        <f>N59+N61</f>
        <v>0</v>
      </c>
      <c r="O58" s="4">
        <f>O59+O61</f>
        <v>0</v>
      </c>
      <c r="P58" s="318">
        <f>P59+P61</f>
        <v>725.37</v>
      </c>
      <c r="Q58" s="318">
        <f>Q59+Q61</f>
        <v>0</v>
      </c>
      <c r="R58" s="318">
        <f t="shared" ref="R58:AO58" si="49">R59+R61</f>
        <v>0</v>
      </c>
      <c r="S58" s="318">
        <f t="shared" si="49"/>
        <v>0</v>
      </c>
      <c r="T58" s="318">
        <f t="shared" si="49"/>
        <v>0</v>
      </c>
      <c r="U58" s="318">
        <f t="shared" si="49"/>
        <v>0</v>
      </c>
      <c r="V58" s="318">
        <f t="shared" si="49"/>
        <v>131</v>
      </c>
      <c r="W58" s="318">
        <f t="shared" si="49"/>
        <v>131</v>
      </c>
      <c r="X58" s="318">
        <f t="shared" si="49"/>
        <v>0</v>
      </c>
      <c r="Y58" s="318">
        <f t="shared" si="49"/>
        <v>0</v>
      </c>
      <c r="Z58" s="372">
        <v>0</v>
      </c>
      <c r="AA58" s="318">
        <v>0</v>
      </c>
      <c r="AB58" s="4">
        <f t="shared" si="49"/>
        <v>0</v>
      </c>
      <c r="AC58" s="4">
        <f t="shared" si="49"/>
        <v>0</v>
      </c>
      <c r="AD58" s="4">
        <f t="shared" si="49"/>
        <v>200</v>
      </c>
      <c r="AE58" s="4">
        <f t="shared" si="49"/>
        <v>0</v>
      </c>
      <c r="AF58" s="4">
        <f t="shared" si="49"/>
        <v>0</v>
      </c>
      <c r="AG58" s="4">
        <f t="shared" si="49"/>
        <v>0</v>
      </c>
      <c r="AH58" s="4">
        <f t="shared" si="49"/>
        <v>0</v>
      </c>
      <c r="AI58" s="4">
        <f t="shared" si="49"/>
        <v>0</v>
      </c>
      <c r="AJ58" s="4">
        <f t="shared" si="49"/>
        <v>0</v>
      </c>
      <c r="AK58" s="47">
        <f>P58-Q58</f>
        <v>725.37</v>
      </c>
      <c r="AL58" s="47">
        <f>AK58</f>
        <v>725.37</v>
      </c>
      <c r="AM58" s="4">
        <v>0</v>
      </c>
      <c r="AN58" s="4">
        <f t="shared" si="49"/>
        <v>0</v>
      </c>
      <c r="AO58" s="4">
        <f t="shared" si="49"/>
        <v>0</v>
      </c>
      <c r="AP58" s="402"/>
      <c r="AQ58" s="268">
        <v>0</v>
      </c>
    </row>
    <row r="59" spans="1:43" ht="14.25" customHeight="1" x14ac:dyDescent="0.25">
      <c r="A59" s="1626"/>
      <c r="B59" s="42" t="s">
        <v>15</v>
      </c>
      <c r="C59" s="1327"/>
      <c r="D59" s="1327"/>
      <c r="E59" s="1636"/>
      <c r="F59" s="1396"/>
      <c r="G59" s="954">
        <v>2019</v>
      </c>
      <c r="H59" s="954">
        <v>2019</v>
      </c>
      <c r="I59" s="1391"/>
      <c r="J59" s="987">
        <f t="shared" si="48"/>
        <v>250</v>
      </c>
      <c r="K59" s="946"/>
      <c r="L59" s="972">
        <v>250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f t="shared" ref="R59:AD59" si="50">R60</f>
        <v>0</v>
      </c>
      <c r="S59" s="4">
        <f t="shared" si="50"/>
        <v>0</v>
      </c>
      <c r="T59" s="4">
        <f t="shared" si="50"/>
        <v>0</v>
      </c>
      <c r="U59" s="4">
        <f t="shared" si="50"/>
        <v>0</v>
      </c>
      <c r="V59" s="4">
        <f t="shared" si="50"/>
        <v>131</v>
      </c>
      <c r="W59" s="4">
        <f t="shared" si="50"/>
        <v>131</v>
      </c>
      <c r="X59" s="4">
        <f t="shared" si="50"/>
        <v>0</v>
      </c>
      <c r="Y59" s="4">
        <f t="shared" si="50"/>
        <v>0</v>
      </c>
      <c r="Z59" s="268"/>
      <c r="AA59" s="4">
        <v>0</v>
      </c>
      <c r="AB59" s="4">
        <f t="shared" si="50"/>
        <v>0</v>
      </c>
      <c r="AC59" s="4">
        <f t="shared" si="50"/>
        <v>0</v>
      </c>
      <c r="AD59" s="4">
        <f t="shared" si="50"/>
        <v>200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968"/>
      <c r="AQ59" s="268"/>
    </row>
    <row r="60" spans="1:43" s="266" customFormat="1" ht="14.25" hidden="1" customHeight="1" x14ac:dyDescent="0.25">
      <c r="A60" s="1626"/>
      <c r="B60" s="252" t="s">
        <v>319</v>
      </c>
      <c r="C60" s="1327"/>
      <c r="D60" s="1327"/>
      <c r="E60" s="1636"/>
      <c r="F60" s="1396"/>
      <c r="G60" s="487"/>
      <c r="H60" s="487"/>
      <c r="I60" s="1391"/>
      <c r="J60" s="644"/>
      <c r="K60" s="368"/>
      <c r="L60" s="258"/>
      <c r="M60" s="268"/>
      <c r="N60" s="268"/>
      <c r="O60" s="268"/>
      <c r="P60" s="268"/>
      <c r="Q60" s="268">
        <f>W60</f>
        <v>131</v>
      </c>
      <c r="R60" s="268"/>
      <c r="S60" s="268"/>
      <c r="T60" s="268"/>
      <c r="U60" s="268"/>
      <c r="V60" s="268">
        <f>W60</f>
        <v>131</v>
      </c>
      <c r="W60" s="268">
        <v>131</v>
      </c>
      <c r="X60" s="268"/>
      <c r="Y60" s="268"/>
      <c r="Z60" s="268"/>
      <c r="AA60" s="268">
        <f>AD60</f>
        <v>200</v>
      </c>
      <c r="AB60" s="268"/>
      <c r="AC60" s="268"/>
      <c r="AD60" s="268">
        <v>200</v>
      </c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488"/>
      <c r="AQ60" s="268"/>
    </row>
    <row r="61" spans="1:43" ht="14.25" customHeight="1" x14ac:dyDescent="0.25">
      <c r="A61" s="1632"/>
      <c r="B61" s="42" t="s">
        <v>16</v>
      </c>
      <c r="C61" s="1328"/>
      <c r="D61" s="1328"/>
      <c r="E61" s="1637"/>
      <c r="F61" s="1397"/>
      <c r="G61" s="954">
        <v>2019</v>
      </c>
      <c r="H61" s="954">
        <v>2019</v>
      </c>
      <c r="I61" s="1375"/>
      <c r="J61" s="987">
        <f t="shared" si="48"/>
        <v>674.64</v>
      </c>
      <c r="K61" s="946"/>
      <c r="L61" s="972">
        <v>674.64</v>
      </c>
      <c r="M61" s="4">
        <v>0</v>
      </c>
      <c r="N61" s="4">
        <v>0</v>
      </c>
      <c r="O61" s="4">
        <v>0</v>
      </c>
      <c r="P61" s="4">
        <v>725.37</v>
      </c>
      <c r="Q61" s="47">
        <v>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47">
        <v>0</v>
      </c>
      <c r="X61" s="47">
        <v>0</v>
      </c>
      <c r="Y61" s="47">
        <v>0</v>
      </c>
      <c r="Z61" s="96"/>
      <c r="AA61" s="47">
        <v>0</v>
      </c>
      <c r="AB61" s="47">
        <v>0</v>
      </c>
      <c r="AC61" s="47">
        <v>0</v>
      </c>
      <c r="AD61" s="47">
        <v>0</v>
      </c>
      <c r="AE61" s="47">
        <v>0</v>
      </c>
      <c r="AF61" s="47">
        <v>0</v>
      </c>
      <c r="AG61" s="47">
        <v>0</v>
      </c>
      <c r="AH61" s="47">
        <v>0</v>
      </c>
      <c r="AI61" s="47">
        <v>0</v>
      </c>
      <c r="AJ61" s="47">
        <v>0</v>
      </c>
      <c r="AK61" s="47">
        <v>0</v>
      </c>
      <c r="AL61" s="47">
        <v>0</v>
      </c>
      <c r="AM61" s="47">
        <v>0</v>
      </c>
      <c r="AN61" s="47">
        <v>0</v>
      </c>
      <c r="AO61" s="47">
        <v>0</v>
      </c>
      <c r="AP61" s="397"/>
      <c r="AQ61" s="96"/>
    </row>
    <row r="62" spans="1:43" s="327" customFormat="1" ht="28.5" customHeight="1" x14ac:dyDescent="0.25">
      <c r="A62" s="773"/>
      <c r="B62" s="772" t="s">
        <v>402</v>
      </c>
      <c r="C62" s="133"/>
      <c r="D62" s="133"/>
      <c r="E62" s="690"/>
      <c r="F62" s="774"/>
      <c r="G62" s="775"/>
      <c r="H62" s="776"/>
      <c r="I62" s="777"/>
      <c r="J62" s="68"/>
      <c r="K62" s="961"/>
      <c r="L62" s="964"/>
      <c r="M62" s="318"/>
      <c r="N62" s="318"/>
      <c r="O62" s="318"/>
      <c r="P62" s="318">
        <f>P63+P64</f>
        <v>2234.2800000000002</v>
      </c>
      <c r="Q62" s="318">
        <f>SUM(Q63:Q64)</f>
        <v>0</v>
      </c>
      <c r="R62" s="318">
        <f t="shared" ref="R62:AA62" si="51">SUM(R63:R64)</f>
        <v>0</v>
      </c>
      <c r="S62" s="318">
        <f t="shared" si="51"/>
        <v>0</v>
      </c>
      <c r="T62" s="318">
        <f t="shared" si="51"/>
        <v>0</v>
      </c>
      <c r="U62" s="318">
        <f t="shared" si="51"/>
        <v>0</v>
      </c>
      <c r="V62" s="318">
        <f t="shared" si="51"/>
        <v>0</v>
      </c>
      <c r="W62" s="318">
        <f t="shared" si="51"/>
        <v>0</v>
      </c>
      <c r="X62" s="318">
        <f t="shared" si="51"/>
        <v>0</v>
      </c>
      <c r="Y62" s="318">
        <f t="shared" si="51"/>
        <v>0</v>
      </c>
      <c r="Z62" s="318">
        <f t="shared" si="51"/>
        <v>0</v>
      </c>
      <c r="AA62" s="318">
        <f t="shared" si="51"/>
        <v>0</v>
      </c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633"/>
      <c r="AQ62" s="95"/>
    </row>
    <row r="63" spans="1:43" ht="14.25" customHeight="1" x14ac:dyDescent="0.25">
      <c r="A63" s="991"/>
      <c r="B63" s="42" t="s">
        <v>15</v>
      </c>
      <c r="C63" s="341"/>
      <c r="D63" s="341"/>
      <c r="E63" s="771"/>
      <c r="F63" s="691"/>
      <c r="G63" s="335"/>
      <c r="H63" s="770"/>
      <c r="I63" s="965"/>
      <c r="J63" s="987"/>
      <c r="K63" s="946"/>
      <c r="L63" s="972"/>
      <c r="M63" s="4"/>
      <c r="N63" s="4"/>
      <c r="O63" s="4"/>
      <c r="P63" s="4">
        <v>2234.2800000000002</v>
      </c>
      <c r="Q63" s="47">
        <v>0</v>
      </c>
      <c r="R63" s="47"/>
      <c r="S63" s="47"/>
      <c r="T63" s="47"/>
      <c r="U63" s="47"/>
      <c r="V63" s="47"/>
      <c r="W63" s="47"/>
      <c r="X63" s="47"/>
      <c r="Y63" s="47"/>
      <c r="Z63" s="96"/>
      <c r="AA63" s="47"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397"/>
      <c r="AQ63" s="96"/>
    </row>
    <row r="64" spans="1:43" ht="14.25" customHeight="1" x14ac:dyDescent="0.25">
      <c r="A64" s="991"/>
      <c r="B64" s="42" t="s">
        <v>32</v>
      </c>
      <c r="C64" s="341"/>
      <c r="D64" s="341"/>
      <c r="E64" s="771"/>
      <c r="F64" s="691"/>
      <c r="G64" s="335"/>
      <c r="H64" s="770"/>
      <c r="I64" s="965"/>
      <c r="J64" s="987"/>
      <c r="K64" s="946"/>
      <c r="L64" s="972"/>
      <c r="M64" s="4"/>
      <c r="N64" s="4"/>
      <c r="O64" s="4"/>
      <c r="P64" s="4">
        <v>0</v>
      </c>
      <c r="Q64" s="47">
        <v>0</v>
      </c>
      <c r="R64" s="47"/>
      <c r="S64" s="47"/>
      <c r="T64" s="47"/>
      <c r="U64" s="47"/>
      <c r="V64" s="47"/>
      <c r="W64" s="47"/>
      <c r="X64" s="47"/>
      <c r="Y64" s="47"/>
      <c r="Z64" s="96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397"/>
      <c r="AQ64" s="96"/>
    </row>
    <row r="65" spans="1:43" ht="38.25" hidden="1" x14ac:dyDescent="0.25">
      <c r="A65" s="1332" t="s">
        <v>47</v>
      </c>
      <c r="B65" s="1613" t="s">
        <v>17</v>
      </c>
      <c r="C65" s="1614"/>
      <c r="D65" s="1614"/>
      <c r="E65" s="1614"/>
      <c r="F65" s="1614"/>
      <c r="G65" s="1614"/>
      <c r="H65" s="1615"/>
      <c r="I65" s="23" t="s">
        <v>20</v>
      </c>
      <c r="J65" s="47">
        <f t="shared" ref="J65:AO65" si="52">J68</f>
        <v>18824.2</v>
      </c>
      <c r="K65" s="47">
        <f t="shared" si="52"/>
        <v>0</v>
      </c>
      <c r="L65" s="47">
        <f t="shared" si="52"/>
        <v>5710.74</v>
      </c>
      <c r="M65" s="47">
        <f t="shared" si="52"/>
        <v>893.45</v>
      </c>
      <c r="N65" s="47">
        <f t="shared" si="52"/>
        <v>1051.49</v>
      </c>
      <c r="O65" s="47">
        <f t="shared" si="52"/>
        <v>11206.2</v>
      </c>
      <c r="P65" s="47">
        <f t="shared" si="52"/>
        <v>192.06</v>
      </c>
      <c r="Q65" s="47">
        <f t="shared" si="52"/>
        <v>75</v>
      </c>
      <c r="R65" s="47">
        <f t="shared" si="52"/>
        <v>0</v>
      </c>
      <c r="S65" s="47">
        <f t="shared" si="52"/>
        <v>0</v>
      </c>
      <c r="T65" s="47">
        <f t="shared" si="52"/>
        <v>0</v>
      </c>
      <c r="U65" s="47">
        <f t="shared" si="52"/>
        <v>0</v>
      </c>
      <c r="V65" s="47">
        <f t="shared" si="52"/>
        <v>0</v>
      </c>
      <c r="W65" s="47">
        <f t="shared" si="52"/>
        <v>0</v>
      </c>
      <c r="X65" s="47">
        <f t="shared" si="52"/>
        <v>0</v>
      </c>
      <c r="Y65" s="47">
        <f t="shared" si="52"/>
        <v>0</v>
      </c>
      <c r="Z65" s="96"/>
      <c r="AA65" s="47">
        <f t="shared" si="52"/>
        <v>75</v>
      </c>
      <c r="AB65" s="47">
        <f t="shared" si="52"/>
        <v>0</v>
      </c>
      <c r="AC65" s="47">
        <f t="shared" si="52"/>
        <v>0</v>
      </c>
      <c r="AD65" s="47">
        <f t="shared" si="52"/>
        <v>0</v>
      </c>
      <c r="AE65" s="47">
        <f t="shared" si="52"/>
        <v>0</v>
      </c>
      <c r="AF65" s="47">
        <f t="shared" si="52"/>
        <v>0</v>
      </c>
      <c r="AG65" s="47">
        <f t="shared" si="52"/>
        <v>0</v>
      </c>
      <c r="AH65" s="47">
        <f t="shared" si="52"/>
        <v>0</v>
      </c>
      <c r="AI65" s="47">
        <f t="shared" si="52"/>
        <v>0</v>
      </c>
      <c r="AJ65" s="47">
        <f t="shared" si="52"/>
        <v>0</v>
      </c>
      <c r="AK65" s="47">
        <f t="shared" si="52"/>
        <v>117.06</v>
      </c>
      <c r="AL65" s="47">
        <f t="shared" si="52"/>
        <v>117.06</v>
      </c>
      <c r="AM65" s="47">
        <f t="shared" si="52"/>
        <v>39.049999999999997</v>
      </c>
      <c r="AN65" s="47">
        <f t="shared" si="52"/>
        <v>0</v>
      </c>
      <c r="AO65" s="47">
        <f t="shared" si="52"/>
        <v>0</v>
      </c>
      <c r="AP65" s="397"/>
      <c r="AQ65" s="96"/>
    </row>
    <row r="66" spans="1:43" ht="25.5" hidden="1" customHeight="1" x14ac:dyDescent="0.25">
      <c r="A66" s="1333"/>
      <c r="B66" s="1616"/>
      <c r="C66" s="1617"/>
      <c r="D66" s="1617"/>
      <c r="E66" s="1617"/>
      <c r="F66" s="1617"/>
      <c r="G66" s="1617"/>
      <c r="H66" s="1618"/>
      <c r="I66" s="23" t="s">
        <v>10</v>
      </c>
      <c r="J66" s="47">
        <v>0</v>
      </c>
      <c r="K66" s="47">
        <v>0</v>
      </c>
      <c r="L66" s="47">
        <f>M66+N66+O66</f>
        <v>0</v>
      </c>
      <c r="M66" s="47">
        <v>0</v>
      </c>
      <c r="N66" s="47">
        <v>0</v>
      </c>
      <c r="O66" s="47">
        <v>0</v>
      </c>
      <c r="P66" s="47">
        <v>0</v>
      </c>
      <c r="Q66" s="47">
        <v>0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47">
        <v>0</v>
      </c>
      <c r="X66" s="47">
        <v>0</v>
      </c>
      <c r="Y66" s="47">
        <v>0</v>
      </c>
      <c r="Z66" s="96"/>
      <c r="AA66" s="47">
        <v>0</v>
      </c>
      <c r="AB66" s="47">
        <v>0</v>
      </c>
      <c r="AC66" s="47">
        <v>0</v>
      </c>
      <c r="AD66" s="47">
        <v>0</v>
      </c>
      <c r="AE66" s="47">
        <v>0</v>
      </c>
      <c r="AF66" s="47">
        <v>0</v>
      </c>
      <c r="AG66" s="47">
        <v>0</v>
      </c>
      <c r="AH66" s="47">
        <v>0</v>
      </c>
      <c r="AI66" s="47">
        <v>0</v>
      </c>
      <c r="AJ66" s="47">
        <v>0</v>
      </c>
      <c r="AK66" s="47">
        <v>0</v>
      </c>
      <c r="AL66" s="47">
        <v>0</v>
      </c>
      <c r="AM66" s="47">
        <v>0</v>
      </c>
      <c r="AN66" s="47">
        <v>0</v>
      </c>
      <c r="AO66" s="47">
        <v>0</v>
      </c>
      <c r="AP66" s="397"/>
      <c r="AQ66" s="96"/>
    </row>
    <row r="67" spans="1:43" ht="25.5" hidden="1" customHeight="1" x14ac:dyDescent="0.25">
      <c r="A67" s="1334"/>
      <c r="B67" s="1619"/>
      <c r="C67" s="1620"/>
      <c r="D67" s="1620"/>
      <c r="E67" s="1620"/>
      <c r="F67" s="1620"/>
      <c r="G67" s="1620"/>
      <c r="H67" s="1621"/>
      <c r="I67" s="23" t="s">
        <v>9</v>
      </c>
      <c r="J67" s="47">
        <v>0</v>
      </c>
      <c r="K67" s="47">
        <v>0</v>
      </c>
      <c r="L67" s="47">
        <f>M67+N67+O67</f>
        <v>0</v>
      </c>
      <c r="M67" s="47">
        <v>0</v>
      </c>
      <c r="N67" s="47">
        <v>0</v>
      </c>
      <c r="O67" s="47">
        <v>0</v>
      </c>
      <c r="P67" s="47">
        <v>0</v>
      </c>
      <c r="Q67" s="47">
        <v>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47">
        <v>0</v>
      </c>
      <c r="X67" s="47">
        <v>0</v>
      </c>
      <c r="Y67" s="47">
        <v>0</v>
      </c>
      <c r="Z67" s="96"/>
      <c r="AA67" s="47">
        <v>0</v>
      </c>
      <c r="AB67" s="47">
        <v>0</v>
      </c>
      <c r="AC67" s="47">
        <v>0</v>
      </c>
      <c r="AD67" s="47">
        <v>0</v>
      </c>
      <c r="AE67" s="47">
        <v>0</v>
      </c>
      <c r="AF67" s="47">
        <v>0</v>
      </c>
      <c r="AG67" s="47">
        <v>0</v>
      </c>
      <c r="AH67" s="47">
        <v>0</v>
      </c>
      <c r="AI67" s="47">
        <v>0</v>
      </c>
      <c r="AJ67" s="47">
        <v>0</v>
      </c>
      <c r="AK67" s="47">
        <v>0</v>
      </c>
      <c r="AL67" s="47">
        <v>0</v>
      </c>
      <c r="AM67" s="47">
        <v>0</v>
      </c>
      <c r="AN67" s="47">
        <v>0</v>
      </c>
      <c r="AO67" s="47">
        <v>0</v>
      </c>
      <c r="AP67" s="397"/>
      <c r="AQ67" s="96"/>
    </row>
    <row r="68" spans="1:43" s="327" customFormat="1" ht="28.5" customHeight="1" x14ac:dyDescent="0.25">
      <c r="A68" s="1372" t="s">
        <v>48</v>
      </c>
      <c r="B68" s="609" t="s">
        <v>277</v>
      </c>
      <c r="C68" s="1326">
        <v>200</v>
      </c>
      <c r="D68" s="1326">
        <v>180</v>
      </c>
      <c r="E68" s="1326"/>
      <c r="F68" s="1326"/>
      <c r="G68" s="959"/>
      <c r="H68" s="959"/>
      <c r="I68" s="1326" t="s">
        <v>20</v>
      </c>
      <c r="J68" s="1640">
        <v>18824.2</v>
      </c>
      <c r="K68" s="3">
        <v>0</v>
      </c>
      <c r="L68" s="3">
        <f t="shared" ref="L68:P68" si="53">L69+L71</f>
        <v>5710.74</v>
      </c>
      <c r="M68" s="3">
        <f t="shared" si="53"/>
        <v>893.45</v>
      </c>
      <c r="N68" s="3">
        <f t="shared" si="53"/>
        <v>1051.49</v>
      </c>
      <c r="O68" s="3">
        <f t="shared" si="53"/>
        <v>11206.2</v>
      </c>
      <c r="P68" s="3">
        <f t="shared" si="53"/>
        <v>192.06</v>
      </c>
      <c r="Q68" s="3">
        <f>SUM(Q69:Q71)</f>
        <v>75</v>
      </c>
      <c r="R68" s="3">
        <f t="shared" ref="R68:AA68" si="54">SUM(R69:R71)</f>
        <v>0</v>
      </c>
      <c r="S68" s="3">
        <f t="shared" si="54"/>
        <v>0</v>
      </c>
      <c r="T68" s="3">
        <f t="shared" si="54"/>
        <v>0</v>
      </c>
      <c r="U68" s="3">
        <f t="shared" si="54"/>
        <v>0</v>
      </c>
      <c r="V68" s="3">
        <f t="shared" si="54"/>
        <v>0</v>
      </c>
      <c r="W68" s="3">
        <f t="shared" si="54"/>
        <v>0</v>
      </c>
      <c r="X68" s="3">
        <f t="shared" si="54"/>
        <v>0</v>
      </c>
      <c r="Y68" s="3">
        <f t="shared" si="54"/>
        <v>0</v>
      </c>
      <c r="Z68" s="3">
        <f t="shared" si="54"/>
        <v>0</v>
      </c>
      <c r="AA68" s="3">
        <f t="shared" si="54"/>
        <v>75</v>
      </c>
      <c r="AB68" s="3">
        <f t="shared" ref="AB68:AO68" si="55">AB69+AB71</f>
        <v>0</v>
      </c>
      <c r="AC68" s="3">
        <f t="shared" si="55"/>
        <v>0</v>
      </c>
      <c r="AD68" s="3">
        <f t="shared" si="55"/>
        <v>0</v>
      </c>
      <c r="AE68" s="3">
        <f t="shared" si="55"/>
        <v>0</v>
      </c>
      <c r="AF68" s="3">
        <f t="shared" si="55"/>
        <v>0</v>
      </c>
      <c r="AG68" s="3">
        <f t="shared" si="55"/>
        <v>0</v>
      </c>
      <c r="AH68" s="3">
        <f t="shared" si="55"/>
        <v>0</v>
      </c>
      <c r="AI68" s="3">
        <f t="shared" si="55"/>
        <v>0</v>
      </c>
      <c r="AJ68" s="3">
        <f t="shared" si="55"/>
        <v>0</v>
      </c>
      <c r="AK68" s="3">
        <f>P68-Q68</f>
        <v>117.06</v>
      </c>
      <c r="AL68" s="3">
        <f>AK68</f>
        <v>117.06</v>
      </c>
      <c r="AM68" s="318">
        <f>ROUND((Q68*100%/P68*100),2)</f>
        <v>39.049999999999997</v>
      </c>
      <c r="AN68" s="3">
        <f t="shared" si="55"/>
        <v>0</v>
      </c>
      <c r="AO68" s="3">
        <f t="shared" si="55"/>
        <v>0</v>
      </c>
      <c r="AP68" s="633" t="s">
        <v>272</v>
      </c>
      <c r="AQ68" s="95">
        <v>40</v>
      </c>
    </row>
    <row r="69" spans="1:43" ht="15.75" customHeight="1" x14ac:dyDescent="0.25">
      <c r="A69" s="1382"/>
      <c r="B69" s="939" t="s">
        <v>15</v>
      </c>
      <c r="C69" s="1327"/>
      <c r="D69" s="1327"/>
      <c r="E69" s="1327"/>
      <c r="F69" s="1327"/>
      <c r="G69" s="945">
        <v>2019</v>
      </c>
      <c r="H69" s="945">
        <v>2019</v>
      </c>
      <c r="I69" s="1327"/>
      <c r="J69" s="1641"/>
      <c r="K69" s="47"/>
      <c r="L69" s="47">
        <v>1944.94</v>
      </c>
      <c r="M69" s="47">
        <v>893.45</v>
      </c>
      <c r="N69" s="47">
        <v>1051.49</v>
      </c>
      <c r="O69" s="47">
        <v>0</v>
      </c>
      <c r="P69" s="47">
        <v>0</v>
      </c>
      <c r="Q69" s="47">
        <v>75</v>
      </c>
      <c r="R69" s="47">
        <f t="shared" ref="R69:AG69" si="56">SUM(R70)</f>
        <v>0</v>
      </c>
      <c r="S69" s="47">
        <f t="shared" si="56"/>
        <v>0</v>
      </c>
      <c r="T69" s="47">
        <f t="shared" si="56"/>
        <v>0</v>
      </c>
      <c r="U69" s="47">
        <f t="shared" si="56"/>
        <v>0</v>
      </c>
      <c r="V69" s="47">
        <f t="shared" si="56"/>
        <v>0</v>
      </c>
      <c r="W69" s="47">
        <f t="shared" si="56"/>
        <v>0</v>
      </c>
      <c r="X69" s="47">
        <v>0</v>
      </c>
      <c r="Y69" s="47">
        <f t="shared" si="56"/>
        <v>0</v>
      </c>
      <c r="Z69" s="96"/>
      <c r="AA69" s="47">
        <v>75</v>
      </c>
      <c r="AB69" s="47">
        <f t="shared" si="56"/>
        <v>0</v>
      </c>
      <c r="AC69" s="47">
        <v>0</v>
      </c>
      <c r="AD69" s="47">
        <v>0</v>
      </c>
      <c r="AE69" s="47">
        <v>0</v>
      </c>
      <c r="AF69" s="47">
        <f t="shared" si="56"/>
        <v>0</v>
      </c>
      <c r="AG69" s="47">
        <f t="shared" si="56"/>
        <v>0</v>
      </c>
      <c r="AH69" s="47">
        <v>0</v>
      </c>
      <c r="AI69" s="47">
        <v>0</v>
      </c>
      <c r="AJ69" s="47">
        <v>0</v>
      </c>
      <c r="AK69" s="47">
        <v>0</v>
      </c>
      <c r="AL69" s="47">
        <v>0</v>
      </c>
      <c r="AM69" s="47">
        <v>0</v>
      </c>
      <c r="AN69" s="47">
        <v>0</v>
      </c>
      <c r="AO69" s="47">
        <v>0</v>
      </c>
      <c r="AP69" s="397"/>
      <c r="AQ69" s="96"/>
    </row>
    <row r="70" spans="1:43" s="266" customFormat="1" ht="15.75" hidden="1" customHeight="1" x14ac:dyDescent="0.25">
      <c r="A70" s="1382"/>
      <c r="B70" s="92" t="s">
        <v>250</v>
      </c>
      <c r="C70" s="1327"/>
      <c r="D70" s="1327"/>
      <c r="E70" s="1327"/>
      <c r="F70" s="1327"/>
      <c r="G70" s="262"/>
      <c r="H70" s="262"/>
      <c r="I70" s="1327"/>
      <c r="J70" s="1641"/>
      <c r="K70" s="96"/>
      <c r="L70" s="96"/>
      <c r="M70" s="96"/>
      <c r="N70" s="96"/>
      <c r="O70" s="96"/>
      <c r="P70" s="47"/>
      <c r="Q70" s="96">
        <f>S70+U70+W70</f>
        <v>0</v>
      </c>
      <c r="R70" s="96">
        <f>S70</f>
        <v>0</v>
      </c>
      <c r="S70" s="96">
        <v>0</v>
      </c>
      <c r="T70" s="96">
        <v>0</v>
      </c>
      <c r="U70" s="96">
        <v>0</v>
      </c>
      <c r="V70" s="96">
        <v>0</v>
      </c>
      <c r="W70" s="96">
        <v>0</v>
      </c>
      <c r="X70" s="96"/>
      <c r="Y70" s="96"/>
      <c r="Z70" s="96"/>
      <c r="AA70" s="96">
        <f>AB70</f>
        <v>0</v>
      </c>
      <c r="AB70" s="96">
        <v>0</v>
      </c>
      <c r="AC70" s="96">
        <v>0</v>
      </c>
      <c r="AD70" s="96">
        <v>0</v>
      </c>
      <c r="AE70" s="96">
        <v>0</v>
      </c>
      <c r="AF70" s="96">
        <f>SUM(AG70:AG70)</f>
        <v>0</v>
      </c>
      <c r="AG70" s="96"/>
      <c r="AH70" s="96"/>
      <c r="AI70" s="96"/>
      <c r="AJ70" s="96"/>
      <c r="AK70" s="96"/>
      <c r="AL70" s="96"/>
      <c r="AM70" s="96"/>
      <c r="AN70" s="96"/>
      <c r="AO70" s="96"/>
      <c r="AP70" s="405"/>
      <c r="AQ70" s="96"/>
    </row>
    <row r="71" spans="1:43" ht="15.75" customHeight="1" x14ac:dyDescent="0.25">
      <c r="A71" s="1382"/>
      <c r="B71" s="939" t="s">
        <v>16</v>
      </c>
      <c r="C71" s="1327"/>
      <c r="D71" s="1327"/>
      <c r="E71" s="1327"/>
      <c r="F71" s="1327"/>
      <c r="G71" s="945">
        <v>2020</v>
      </c>
      <c r="H71" s="945">
        <v>2020</v>
      </c>
      <c r="I71" s="1328"/>
      <c r="J71" s="1642"/>
      <c r="K71" s="47">
        <v>0</v>
      </c>
      <c r="L71" s="47">
        <v>3765.8</v>
      </c>
      <c r="M71" s="47">
        <v>0</v>
      </c>
      <c r="N71" s="47">
        <v>0</v>
      </c>
      <c r="O71" s="47">
        <v>11206.2</v>
      </c>
      <c r="P71" s="47">
        <v>192.06</v>
      </c>
      <c r="Q71" s="47">
        <v>0</v>
      </c>
      <c r="R71" s="47">
        <v>0</v>
      </c>
      <c r="S71" s="47">
        <v>0</v>
      </c>
      <c r="T71" s="47">
        <v>0</v>
      </c>
      <c r="U71" s="47">
        <v>0</v>
      </c>
      <c r="V71" s="47">
        <v>0</v>
      </c>
      <c r="W71" s="47">
        <v>0</v>
      </c>
      <c r="X71" s="47">
        <v>0</v>
      </c>
      <c r="Y71" s="47">
        <v>0</v>
      </c>
      <c r="Z71" s="96"/>
      <c r="AA71" s="47">
        <v>0</v>
      </c>
      <c r="AB71" s="47">
        <v>0</v>
      </c>
      <c r="AC71" s="47">
        <v>0</v>
      </c>
      <c r="AD71" s="47">
        <v>0</v>
      </c>
      <c r="AE71" s="47">
        <v>0</v>
      </c>
      <c r="AF71" s="47">
        <v>0</v>
      </c>
      <c r="AG71" s="47">
        <v>0</v>
      </c>
      <c r="AH71" s="47">
        <v>0</v>
      </c>
      <c r="AI71" s="47">
        <v>0</v>
      </c>
      <c r="AJ71" s="47">
        <v>0</v>
      </c>
      <c r="AK71" s="47">
        <v>0</v>
      </c>
      <c r="AL71" s="47">
        <v>0</v>
      </c>
      <c r="AM71" s="47">
        <v>0</v>
      </c>
      <c r="AN71" s="47">
        <v>0</v>
      </c>
      <c r="AO71" s="47">
        <v>0</v>
      </c>
      <c r="AP71" s="397"/>
      <c r="AQ71" s="96"/>
    </row>
    <row r="72" spans="1:43" s="327" customFormat="1" ht="28.5" customHeight="1" x14ac:dyDescent="0.25">
      <c r="A72" s="955"/>
      <c r="B72" s="609" t="s">
        <v>403</v>
      </c>
      <c r="C72" s="341"/>
      <c r="D72" s="341"/>
      <c r="E72" s="341"/>
      <c r="F72" s="341"/>
      <c r="G72" s="959"/>
      <c r="H72" s="959"/>
      <c r="I72" s="946"/>
      <c r="J72" s="989"/>
      <c r="K72" s="3">
        <v>0</v>
      </c>
      <c r="L72" s="3">
        <f>L73+L78</f>
        <v>0</v>
      </c>
      <c r="M72" s="3">
        <f>M73+M78</f>
        <v>0</v>
      </c>
      <c r="N72" s="3">
        <f>N73+N78</f>
        <v>0</v>
      </c>
      <c r="O72" s="3">
        <f>O73+O78</f>
        <v>0</v>
      </c>
      <c r="P72" s="3">
        <f>P73+P78</f>
        <v>0</v>
      </c>
      <c r="Q72" s="3">
        <f>SUM(Q73)</f>
        <v>35.672149999999995</v>
      </c>
      <c r="R72" s="3">
        <f t="shared" ref="R72:AA72" si="57">SUM(R73)</f>
        <v>0</v>
      </c>
      <c r="S72" s="3">
        <f t="shared" si="57"/>
        <v>0</v>
      </c>
      <c r="T72" s="3">
        <f t="shared" si="57"/>
        <v>0</v>
      </c>
      <c r="U72" s="3">
        <f t="shared" si="57"/>
        <v>0</v>
      </c>
      <c r="V72" s="3">
        <f t="shared" si="57"/>
        <v>0</v>
      </c>
      <c r="W72" s="3">
        <f t="shared" si="57"/>
        <v>0</v>
      </c>
      <c r="X72" s="3">
        <f t="shared" si="57"/>
        <v>0</v>
      </c>
      <c r="Y72" s="3">
        <f t="shared" si="57"/>
        <v>0</v>
      </c>
      <c r="Z72" s="3">
        <f t="shared" si="57"/>
        <v>0</v>
      </c>
      <c r="AA72" s="3">
        <f t="shared" si="57"/>
        <v>35.672149999999995</v>
      </c>
      <c r="AB72" s="3">
        <f t="shared" ref="AB72:AJ72" si="58">AB73+AB78</f>
        <v>0</v>
      </c>
      <c r="AC72" s="3">
        <f t="shared" si="58"/>
        <v>0</v>
      </c>
      <c r="AD72" s="3">
        <f t="shared" si="58"/>
        <v>0</v>
      </c>
      <c r="AE72" s="3">
        <f t="shared" si="58"/>
        <v>0</v>
      </c>
      <c r="AF72" s="3">
        <f t="shared" si="58"/>
        <v>0</v>
      </c>
      <c r="AG72" s="3">
        <f t="shared" si="58"/>
        <v>0</v>
      </c>
      <c r="AH72" s="3">
        <f t="shared" si="58"/>
        <v>0</v>
      </c>
      <c r="AI72" s="3">
        <f t="shared" si="58"/>
        <v>0</v>
      </c>
      <c r="AJ72" s="3">
        <f t="shared" si="58"/>
        <v>0</v>
      </c>
      <c r="AK72" s="3">
        <f>P72-Q72</f>
        <v>-35.672149999999995</v>
      </c>
      <c r="AL72" s="3">
        <f>AK72</f>
        <v>-35.672149999999995</v>
      </c>
      <c r="AM72" s="318" t="e">
        <f>ROUND((Q72*100%/P72*100),2)</f>
        <v>#DIV/0!</v>
      </c>
      <c r="AN72" s="3">
        <f>AN73+AN78</f>
        <v>0</v>
      </c>
      <c r="AO72" s="3">
        <f>AO73+AO78</f>
        <v>0</v>
      </c>
      <c r="AP72" s="633" t="s">
        <v>272</v>
      </c>
      <c r="AQ72" s="95">
        <v>40</v>
      </c>
    </row>
    <row r="73" spans="1:43" ht="15.75" customHeight="1" x14ac:dyDescent="0.25">
      <c r="A73" s="955"/>
      <c r="B73" s="42" t="s">
        <v>16</v>
      </c>
      <c r="C73" s="341"/>
      <c r="D73" s="341"/>
      <c r="E73" s="341"/>
      <c r="F73" s="341"/>
      <c r="G73" s="313"/>
      <c r="H73" s="978"/>
      <c r="I73" s="946"/>
      <c r="J73" s="989"/>
      <c r="K73" s="4"/>
      <c r="L73" s="47"/>
      <c r="M73" s="47"/>
      <c r="N73" s="47"/>
      <c r="O73" s="47"/>
      <c r="P73" s="47">
        <v>0</v>
      </c>
      <c r="Q73" s="47">
        <f>SUM(Q74:Q75)</f>
        <v>35.672149999999995</v>
      </c>
      <c r="R73" s="47">
        <f t="shared" ref="R73:AA73" si="59">SUM(R74:R75)</f>
        <v>0</v>
      </c>
      <c r="S73" s="47">
        <f t="shared" si="59"/>
        <v>0</v>
      </c>
      <c r="T73" s="47">
        <f t="shared" si="59"/>
        <v>0</v>
      </c>
      <c r="U73" s="47">
        <f t="shared" si="59"/>
        <v>0</v>
      </c>
      <c r="V73" s="47">
        <f t="shared" si="59"/>
        <v>0</v>
      </c>
      <c r="W73" s="47">
        <f t="shared" si="59"/>
        <v>0</v>
      </c>
      <c r="X73" s="47">
        <f t="shared" si="59"/>
        <v>0</v>
      </c>
      <c r="Y73" s="47">
        <f t="shared" si="59"/>
        <v>0</v>
      </c>
      <c r="Z73" s="47">
        <f t="shared" si="59"/>
        <v>0</v>
      </c>
      <c r="AA73" s="47">
        <f t="shared" si="59"/>
        <v>35.672149999999995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397"/>
      <c r="AQ73" s="96"/>
    </row>
    <row r="74" spans="1:43" s="266" customFormat="1" ht="15.75" hidden="1" customHeight="1" x14ac:dyDescent="0.25">
      <c r="A74" s="362"/>
      <c r="B74" s="252" t="s">
        <v>450</v>
      </c>
      <c r="C74" s="453"/>
      <c r="D74" s="453"/>
      <c r="E74" s="453"/>
      <c r="F74" s="453"/>
      <c r="G74" s="363"/>
      <c r="H74" s="364"/>
      <c r="I74" s="368"/>
      <c r="J74" s="993"/>
      <c r="K74" s="268"/>
      <c r="L74" s="96"/>
      <c r="M74" s="96"/>
      <c r="N74" s="96"/>
      <c r="O74" s="96"/>
      <c r="P74" s="96"/>
      <c r="Q74" s="96">
        <v>1.58</v>
      </c>
      <c r="R74" s="96"/>
      <c r="S74" s="96"/>
      <c r="T74" s="96"/>
      <c r="U74" s="96"/>
      <c r="V74" s="96"/>
      <c r="W74" s="96"/>
      <c r="X74" s="96"/>
      <c r="Y74" s="96"/>
      <c r="Z74" s="96"/>
      <c r="AA74" s="96">
        <v>1.58</v>
      </c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268"/>
      <c r="AN74" s="96"/>
      <c r="AO74" s="96"/>
      <c r="AP74" s="405"/>
      <c r="AQ74" s="96"/>
    </row>
    <row r="75" spans="1:43" s="266" customFormat="1" ht="15.75" hidden="1" customHeight="1" x14ac:dyDescent="0.25">
      <c r="A75" s="362"/>
      <c r="B75" s="252" t="s">
        <v>451</v>
      </c>
      <c r="C75" s="453"/>
      <c r="D75" s="453"/>
      <c r="E75" s="453"/>
      <c r="F75" s="453"/>
      <c r="G75" s="363"/>
      <c r="H75" s="364"/>
      <c r="I75" s="368"/>
      <c r="J75" s="993"/>
      <c r="K75" s="268"/>
      <c r="L75" s="96"/>
      <c r="M75" s="96"/>
      <c r="N75" s="96"/>
      <c r="O75" s="96"/>
      <c r="P75" s="96"/>
      <c r="Q75" s="96">
        <v>34.092149999999997</v>
      </c>
      <c r="R75" s="96"/>
      <c r="S75" s="96"/>
      <c r="T75" s="96"/>
      <c r="U75" s="96"/>
      <c r="V75" s="96"/>
      <c r="W75" s="96"/>
      <c r="X75" s="96"/>
      <c r="Y75" s="96"/>
      <c r="Z75" s="96"/>
      <c r="AA75" s="96">
        <v>34.092149999999997</v>
      </c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268"/>
      <c r="AN75" s="96"/>
      <c r="AO75" s="96"/>
      <c r="AP75" s="405"/>
      <c r="AQ75" s="96"/>
    </row>
    <row r="76" spans="1:43" s="327" customFormat="1" ht="28.5" customHeight="1" x14ac:dyDescent="0.25">
      <c r="A76" s="955"/>
      <c r="B76" s="609" t="s">
        <v>404</v>
      </c>
      <c r="C76" s="341"/>
      <c r="D76" s="341"/>
      <c r="E76" s="341"/>
      <c r="F76" s="341"/>
      <c r="G76" s="959"/>
      <c r="H76" s="959"/>
      <c r="I76" s="946"/>
      <c r="J76" s="989"/>
      <c r="K76" s="3">
        <v>0</v>
      </c>
      <c r="L76" s="3">
        <f>L77+L80</f>
        <v>0</v>
      </c>
      <c r="M76" s="3">
        <f>M77+M80</f>
        <v>0</v>
      </c>
      <c r="N76" s="3">
        <f>N77+N80</f>
        <v>0</v>
      </c>
      <c r="O76" s="3">
        <f>O77+O80</f>
        <v>0</v>
      </c>
      <c r="P76" s="3">
        <f>P77+P80</f>
        <v>0</v>
      </c>
      <c r="Q76" s="3">
        <f>SUM(Q77)</f>
        <v>0</v>
      </c>
      <c r="R76" s="3">
        <f t="shared" ref="R76:AA76" si="60">SUM(R77)</f>
        <v>0</v>
      </c>
      <c r="S76" s="3">
        <f t="shared" si="60"/>
        <v>0</v>
      </c>
      <c r="T76" s="3">
        <f t="shared" si="60"/>
        <v>0</v>
      </c>
      <c r="U76" s="3">
        <f t="shared" si="60"/>
        <v>0</v>
      </c>
      <c r="V76" s="3">
        <f t="shared" si="60"/>
        <v>0</v>
      </c>
      <c r="W76" s="3">
        <f t="shared" si="60"/>
        <v>0</v>
      </c>
      <c r="X76" s="3">
        <f t="shared" si="60"/>
        <v>0</v>
      </c>
      <c r="Y76" s="3">
        <f t="shared" si="60"/>
        <v>0</v>
      </c>
      <c r="Z76" s="3">
        <f t="shared" si="60"/>
        <v>0</v>
      </c>
      <c r="AA76" s="3">
        <f t="shared" si="60"/>
        <v>0</v>
      </c>
      <c r="AB76" s="3">
        <f t="shared" ref="AB76:AJ76" si="61">AB77+AB80</f>
        <v>0</v>
      </c>
      <c r="AC76" s="3">
        <f t="shared" si="61"/>
        <v>0</v>
      </c>
      <c r="AD76" s="3">
        <f t="shared" si="61"/>
        <v>0</v>
      </c>
      <c r="AE76" s="3">
        <f t="shared" si="61"/>
        <v>0</v>
      </c>
      <c r="AF76" s="3">
        <f t="shared" si="61"/>
        <v>0</v>
      </c>
      <c r="AG76" s="3">
        <f t="shared" si="61"/>
        <v>0</v>
      </c>
      <c r="AH76" s="3">
        <f t="shared" si="61"/>
        <v>0</v>
      </c>
      <c r="AI76" s="3">
        <f t="shared" si="61"/>
        <v>0</v>
      </c>
      <c r="AJ76" s="3">
        <f t="shared" si="61"/>
        <v>0</v>
      </c>
      <c r="AK76" s="3">
        <f>P76-Q76</f>
        <v>0</v>
      </c>
      <c r="AL76" s="3">
        <f>AK76</f>
        <v>0</v>
      </c>
      <c r="AM76" s="318" t="e">
        <f>ROUND((Q76*100%/P76*100),2)</f>
        <v>#DIV/0!</v>
      </c>
      <c r="AN76" s="3">
        <f>AN77+AN80</f>
        <v>0</v>
      </c>
      <c r="AO76" s="3">
        <f>AO77+AO80</f>
        <v>0</v>
      </c>
      <c r="AP76" s="633" t="s">
        <v>272</v>
      </c>
      <c r="AQ76" s="95">
        <v>40</v>
      </c>
    </row>
    <row r="77" spans="1:43" ht="15.75" customHeight="1" x14ac:dyDescent="0.25">
      <c r="A77" s="955"/>
      <c r="B77" s="42" t="s">
        <v>16</v>
      </c>
      <c r="C77" s="341"/>
      <c r="D77" s="341"/>
      <c r="E77" s="341"/>
      <c r="F77" s="341"/>
      <c r="G77" s="313"/>
      <c r="H77" s="978"/>
      <c r="I77" s="946"/>
      <c r="J77" s="989"/>
      <c r="K77" s="4"/>
      <c r="L77" s="47"/>
      <c r="M77" s="47"/>
      <c r="N77" s="47"/>
      <c r="O77" s="47"/>
      <c r="P77" s="47">
        <v>0</v>
      </c>
      <c r="Q77" s="47">
        <v>0</v>
      </c>
      <c r="R77" s="47"/>
      <c r="S77" s="47"/>
      <c r="T77" s="47"/>
      <c r="U77" s="47"/>
      <c r="V77" s="47"/>
      <c r="W77" s="47"/>
      <c r="X77" s="47"/>
      <c r="Y77" s="47"/>
      <c r="Z77" s="96"/>
      <c r="AA77" s="47"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397"/>
      <c r="AQ77" s="96"/>
    </row>
    <row r="78" spans="1:43" ht="52.5" hidden="1" customHeight="1" x14ac:dyDescent="0.25">
      <c r="A78" s="1332" t="s">
        <v>56</v>
      </c>
      <c r="B78" s="1613" t="s">
        <v>41</v>
      </c>
      <c r="C78" s="1614"/>
      <c r="D78" s="1614"/>
      <c r="E78" s="1614"/>
      <c r="F78" s="1614"/>
      <c r="G78" s="1614"/>
      <c r="H78" s="1615"/>
      <c r="I78" s="23" t="s">
        <v>19</v>
      </c>
      <c r="J78" s="971">
        <v>0</v>
      </c>
      <c r="K78" s="971">
        <v>0</v>
      </c>
      <c r="L78" s="47">
        <f>M78+N78+O78</f>
        <v>0</v>
      </c>
      <c r="M78" s="47">
        <v>0</v>
      </c>
      <c r="N78" s="47">
        <v>0</v>
      </c>
      <c r="O78" s="47">
        <v>0</v>
      </c>
      <c r="P78" s="47">
        <v>0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0</v>
      </c>
      <c r="Y78" s="47">
        <v>0</v>
      </c>
      <c r="Z78" s="96"/>
      <c r="AA78" s="47">
        <v>0</v>
      </c>
      <c r="AB78" s="47">
        <v>0</v>
      </c>
      <c r="AC78" s="47">
        <v>0</v>
      </c>
      <c r="AD78" s="47">
        <v>0</v>
      </c>
      <c r="AE78" s="47">
        <v>0</v>
      </c>
      <c r="AF78" s="47">
        <v>0</v>
      </c>
      <c r="AG78" s="47">
        <v>0</v>
      </c>
      <c r="AH78" s="47">
        <v>0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397"/>
      <c r="AQ78" s="96"/>
    </row>
    <row r="79" spans="1:43" ht="48" hidden="1" customHeight="1" x14ac:dyDescent="0.25">
      <c r="A79" s="1333"/>
      <c r="B79" s="1616"/>
      <c r="C79" s="1617"/>
      <c r="D79" s="1617"/>
      <c r="E79" s="1617"/>
      <c r="F79" s="1617"/>
      <c r="G79" s="1617"/>
      <c r="H79" s="1618"/>
      <c r="I79" s="23" t="s">
        <v>20</v>
      </c>
      <c r="J79" s="971">
        <f>L79</f>
        <v>212998.96</v>
      </c>
      <c r="K79" s="971">
        <f>K82+K129+K130+K131</f>
        <v>0</v>
      </c>
      <c r="L79" s="47">
        <f>L82+L86+L92+L93+L96+L99+L102+L108+L113+L116+L120+L125</f>
        <v>212998.96</v>
      </c>
      <c r="M79" s="47">
        <f>M82+M86+M92+M93+M96+M99+M102+M108</f>
        <v>23675.279999999999</v>
      </c>
      <c r="N79" s="47">
        <f>N82+N86+N92+N93+N96+N99+N102+N108+N113+N116+N120+N125</f>
        <v>44561.120000000003</v>
      </c>
      <c r="O79" s="47">
        <f>O82+O86+O92+O93+O96+O99+O102+O108+O113+O116+O120+O125</f>
        <v>26487.67</v>
      </c>
      <c r="P79" s="47">
        <f>P82+P86+P92+P93+P96+P99+P102+P108+P113+P116+P120+P125</f>
        <v>42150.159999999996</v>
      </c>
      <c r="Q79" s="47">
        <f>Q82+Q86+Q92+Q93+Q96+Q99+Q102+Q108+Q113+Q116+Q120+Q125</f>
        <v>0</v>
      </c>
      <c r="R79" s="47">
        <f t="shared" ref="R79:Y79" si="62">R82+R86+R92+R93+R96+R99+R102+R108+R113+R116+R120+R125</f>
        <v>11372.53</v>
      </c>
      <c r="S79" s="47">
        <f t="shared" si="62"/>
        <v>11789.196</v>
      </c>
      <c r="T79" s="47">
        <f t="shared" si="62"/>
        <v>17105.953000000001</v>
      </c>
      <c r="U79" s="47">
        <f t="shared" si="62"/>
        <v>16853.532999999999</v>
      </c>
      <c r="V79" s="47">
        <f t="shared" si="62"/>
        <v>1876.1869999999999</v>
      </c>
      <c r="W79" s="47">
        <f t="shared" si="62"/>
        <v>1916.0429999999999</v>
      </c>
      <c r="X79" s="47">
        <f t="shared" si="62"/>
        <v>0</v>
      </c>
      <c r="Y79" s="47">
        <f t="shared" si="62"/>
        <v>0</v>
      </c>
      <c r="Z79" s="96"/>
      <c r="AA79" s="47">
        <f>AA82+AA86+AA92+AA93+AA96+AA99+AA102+AA108+AA113+AA116+AA120+AA125</f>
        <v>0</v>
      </c>
      <c r="AB79" s="47">
        <f>AB82+AB86+AB92+AB93+AB96+AB99+AB102+AB108+AB113+AB116+AB120+AB125</f>
        <v>40.5</v>
      </c>
      <c r="AC79" s="47">
        <f>AC82+AC86+AC92+AC93+AC96+AC99+AC102+AC108+AC113+AC116+AC120+AC125</f>
        <v>907.08299999999997</v>
      </c>
      <c r="AD79" s="47">
        <f>AD82+AD86+AD92+AD93+AD96+AD99+AD102+AD108+AD113+AD116+AD120+AD125</f>
        <v>2805.3339999999998</v>
      </c>
      <c r="AE79" s="47">
        <f>AE82+AE86+AE92+AE93+AE96+AE99+AE102+AE108+AE113+AE116+AE120+AE125</f>
        <v>0</v>
      </c>
      <c r="AF79" s="47">
        <f t="shared" ref="AF79:AO79" si="63">AF82+AF86+AF92</f>
        <v>0</v>
      </c>
      <c r="AG79" s="47">
        <f t="shared" si="63"/>
        <v>0</v>
      </c>
      <c r="AH79" s="47">
        <f t="shared" si="63"/>
        <v>0</v>
      </c>
      <c r="AI79" s="47">
        <f t="shared" si="63"/>
        <v>0</v>
      </c>
      <c r="AJ79" s="47">
        <f>AJ82+AJ86+AJ92+AJ125</f>
        <v>0</v>
      </c>
      <c r="AK79" s="47">
        <f t="shared" si="63"/>
        <v>4809.3900000000003</v>
      </c>
      <c r="AL79" s="47">
        <f t="shared" si="63"/>
        <v>4809.3900000000003</v>
      </c>
      <c r="AM79" s="47" t="e">
        <f t="shared" si="63"/>
        <v>#DIV/0!</v>
      </c>
      <c r="AN79" s="47">
        <f t="shared" si="63"/>
        <v>0</v>
      </c>
      <c r="AO79" s="47">
        <f t="shared" si="63"/>
        <v>0</v>
      </c>
      <c r="AP79" s="397"/>
      <c r="AQ79" s="96"/>
    </row>
    <row r="80" spans="1:43" ht="27" hidden="1" customHeight="1" x14ac:dyDescent="0.25">
      <c r="A80" s="1333"/>
      <c r="B80" s="1616"/>
      <c r="C80" s="1617"/>
      <c r="D80" s="1617"/>
      <c r="E80" s="1617"/>
      <c r="F80" s="1617"/>
      <c r="G80" s="1617"/>
      <c r="H80" s="1618"/>
      <c r="I80" s="23" t="s">
        <v>10</v>
      </c>
      <c r="J80" s="971">
        <f>L80</f>
        <v>0</v>
      </c>
      <c r="K80" s="971">
        <v>0</v>
      </c>
      <c r="L80" s="47">
        <f>M80+N80+O80</f>
        <v>0</v>
      </c>
      <c r="M80" s="47">
        <v>0</v>
      </c>
      <c r="N80" s="47">
        <v>0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47">
        <v>0</v>
      </c>
      <c r="X80" s="47">
        <v>0</v>
      </c>
      <c r="Y80" s="47">
        <v>0</v>
      </c>
      <c r="Z80" s="96"/>
      <c r="AA80" s="47">
        <v>0</v>
      </c>
      <c r="AB80" s="47">
        <v>0</v>
      </c>
      <c r="AC80" s="47">
        <v>0</v>
      </c>
      <c r="AD80" s="47">
        <v>0</v>
      </c>
      <c r="AE80" s="47">
        <v>0</v>
      </c>
      <c r="AF80" s="47">
        <v>0</v>
      </c>
      <c r="AG80" s="47">
        <v>0</v>
      </c>
      <c r="AH80" s="47">
        <v>0</v>
      </c>
      <c r="AI80" s="47">
        <v>0</v>
      </c>
      <c r="AJ80" s="47">
        <v>0</v>
      </c>
      <c r="AK80" s="47">
        <v>0</v>
      </c>
      <c r="AL80" s="47">
        <v>0</v>
      </c>
      <c r="AM80" s="47">
        <v>0</v>
      </c>
      <c r="AN80" s="47">
        <v>0</v>
      </c>
      <c r="AO80" s="47">
        <v>0</v>
      </c>
      <c r="AP80" s="397"/>
      <c r="AQ80" s="96"/>
    </row>
    <row r="81" spans="1:43" ht="27" hidden="1" customHeight="1" x14ac:dyDescent="0.25">
      <c r="A81" s="1334"/>
      <c r="B81" s="1619"/>
      <c r="C81" s="1620"/>
      <c r="D81" s="1620"/>
      <c r="E81" s="1620"/>
      <c r="F81" s="1620"/>
      <c r="G81" s="1620"/>
      <c r="H81" s="1621"/>
      <c r="I81" s="23" t="s">
        <v>9</v>
      </c>
      <c r="J81" s="971">
        <f>L81</f>
        <v>0</v>
      </c>
      <c r="K81" s="971">
        <v>0</v>
      </c>
      <c r="L81" s="47">
        <f>M81+N81+O81</f>
        <v>0</v>
      </c>
      <c r="M81" s="47">
        <v>0</v>
      </c>
      <c r="N81" s="47">
        <v>0</v>
      </c>
      <c r="O81" s="47">
        <v>0</v>
      </c>
      <c r="P81" s="47">
        <v>0</v>
      </c>
      <c r="Q81" s="47">
        <v>0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47">
        <v>0</v>
      </c>
      <c r="X81" s="47">
        <v>0</v>
      </c>
      <c r="Y81" s="47">
        <v>0</v>
      </c>
      <c r="Z81" s="96"/>
      <c r="AA81" s="47">
        <v>0</v>
      </c>
      <c r="AB81" s="47">
        <v>0</v>
      </c>
      <c r="AC81" s="47">
        <v>0</v>
      </c>
      <c r="AD81" s="47">
        <v>0</v>
      </c>
      <c r="AE81" s="47">
        <v>0</v>
      </c>
      <c r="AF81" s="47">
        <v>0</v>
      </c>
      <c r="AG81" s="47">
        <v>0</v>
      </c>
      <c r="AH81" s="47">
        <v>0</v>
      </c>
      <c r="AI81" s="47">
        <v>0</v>
      </c>
      <c r="AJ81" s="47">
        <v>0</v>
      </c>
      <c r="AK81" s="47">
        <v>0</v>
      </c>
      <c r="AL81" s="47">
        <v>0</v>
      </c>
      <c r="AM81" s="47">
        <v>0</v>
      </c>
      <c r="AN81" s="47">
        <v>0</v>
      </c>
      <c r="AO81" s="47">
        <v>0</v>
      </c>
      <c r="AP81" s="397"/>
      <c r="AQ81" s="96"/>
    </row>
    <row r="82" spans="1:43" s="327" customFormat="1" ht="27.75" customHeight="1" x14ac:dyDescent="0.25">
      <c r="A82" s="1372" t="s">
        <v>57</v>
      </c>
      <c r="B82" s="780" t="s">
        <v>200</v>
      </c>
      <c r="C82" s="956"/>
      <c r="D82" s="956"/>
      <c r="E82" s="956"/>
      <c r="F82" s="956"/>
      <c r="G82" s="956">
        <v>2019</v>
      </c>
      <c r="H82" s="956">
        <v>2019</v>
      </c>
      <c r="I82" s="1326" t="s">
        <v>20</v>
      </c>
      <c r="J82" s="3">
        <f>L82</f>
        <v>30833.33</v>
      </c>
      <c r="K82" s="3"/>
      <c r="L82" s="3">
        <f t="shared" ref="L82:AC82" si="64">L83</f>
        <v>30833.33</v>
      </c>
      <c r="M82" s="3">
        <f t="shared" si="64"/>
        <v>20000</v>
      </c>
      <c r="N82" s="3">
        <f t="shared" si="64"/>
        <v>9151.41</v>
      </c>
      <c r="O82" s="3">
        <f t="shared" si="64"/>
        <v>0</v>
      </c>
      <c r="P82" s="3">
        <v>0</v>
      </c>
      <c r="Q82" s="3">
        <f t="shared" si="64"/>
        <v>0</v>
      </c>
      <c r="R82" s="3">
        <f t="shared" si="64"/>
        <v>0</v>
      </c>
      <c r="S82" s="3">
        <f t="shared" si="64"/>
        <v>0</v>
      </c>
      <c r="T82" s="3">
        <f t="shared" si="64"/>
        <v>0</v>
      </c>
      <c r="U82" s="3">
        <f t="shared" si="64"/>
        <v>0</v>
      </c>
      <c r="V82" s="3">
        <f t="shared" si="64"/>
        <v>0</v>
      </c>
      <c r="W82" s="3">
        <f t="shared" si="64"/>
        <v>0</v>
      </c>
      <c r="X82" s="3">
        <f t="shared" si="64"/>
        <v>0</v>
      </c>
      <c r="Y82" s="3">
        <f t="shared" si="64"/>
        <v>0</v>
      </c>
      <c r="Z82" s="95">
        <v>0</v>
      </c>
      <c r="AA82" s="3">
        <f t="shared" si="64"/>
        <v>0</v>
      </c>
      <c r="AB82" s="3">
        <f t="shared" si="64"/>
        <v>0</v>
      </c>
      <c r="AC82" s="3">
        <f t="shared" si="64"/>
        <v>0</v>
      </c>
      <c r="AD82" s="3">
        <f>AD83</f>
        <v>0</v>
      </c>
      <c r="AE82" s="3">
        <f t="shared" ref="AE82:AJ82" si="65">AE83</f>
        <v>0</v>
      </c>
      <c r="AF82" s="3">
        <f t="shared" si="65"/>
        <v>0</v>
      </c>
      <c r="AG82" s="3">
        <f t="shared" si="65"/>
        <v>0</v>
      </c>
      <c r="AH82" s="3">
        <f t="shared" si="65"/>
        <v>0</v>
      </c>
      <c r="AI82" s="3">
        <f t="shared" si="65"/>
        <v>0</v>
      </c>
      <c r="AJ82" s="3">
        <f t="shared" si="65"/>
        <v>0</v>
      </c>
      <c r="AK82" s="3">
        <v>0</v>
      </c>
      <c r="AL82" s="3">
        <f>AK82</f>
        <v>0</v>
      </c>
      <c r="AM82" s="318" t="e">
        <f>ROUND((Q82*100%/P82*100),2)</f>
        <v>#DIV/0!</v>
      </c>
      <c r="AN82" s="3">
        <v>0</v>
      </c>
      <c r="AO82" s="3">
        <v>0</v>
      </c>
      <c r="AP82" s="633" t="s">
        <v>273</v>
      </c>
      <c r="AQ82" s="95">
        <v>0</v>
      </c>
    </row>
    <row r="83" spans="1:43" ht="14.25" hidden="1" customHeight="1" x14ac:dyDescent="0.25">
      <c r="A83" s="1383"/>
      <c r="B83" s="1" t="s">
        <v>201</v>
      </c>
      <c r="C83" s="945"/>
      <c r="D83" s="945"/>
      <c r="E83" s="945"/>
      <c r="F83" s="945"/>
      <c r="G83" s="962"/>
      <c r="H83" s="962"/>
      <c r="I83" s="1639"/>
      <c r="J83" s="47"/>
      <c r="K83" s="47"/>
      <c r="L83" s="47">
        <v>30833.33</v>
      </c>
      <c r="M83" s="47">
        <v>20000</v>
      </c>
      <c r="N83" s="47">
        <v>9151.41</v>
      </c>
      <c r="O83" s="47">
        <v>0</v>
      </c>
      <c r="P83" s="47">
        <v>1681.92</v>
      </c>
      <c r="Q83" s="47">
        <f>SUM(Q84:Q85)</f>
        <v>0</v>
      </c>
      <c r="R83" s="47">
        <f>SUM(R84:R85)</f>
        <v>0</v>
      </c>
      <c r="S83" s="47">
        <f>SUM(S84:S85)</f>
        <v>0</v>
      </c>
      <c r="T83" s="47">
        <f t="shared" ref="T83:AC83" si="66">SUM(T84:T85)</f>
        <v>0</v>
      </c>
      <c r="U83" s="47">
        <f t="shared" si="66"/>
        <v>0</v>
      </c>
      <c r="V83" s="47">
        <f t="shared" si="66"/>
        <v>0</v>
      </c>
      <c r="W83" s="47">
        <f t="shared" si="66"/>
        <v>0</v>
      </c>
      <c r="X83" s="47">
        <f t="shared" si="66"/>
        <v>0</v>
      </c>
      <c r="Y83" s="47">
        <f t="shared" si="66"/>
        <v>0</v>
      </c>
      <c r="Z83" s="96"/>
      <c r="AA83" s="47">
        <f t="shared" si="66"/>
        <v>0</v>
      </c>
      <c r="AB83" s="47">
        <f t="shared" si="66"/>
        <v>0</v>
      </c>
      <c r="AC83" s="47">
        <f t="shared" si="66"/>
        <v>0</v>
      </c>
      <c r="AD83" s="47">
        <f>SUM(AD84:AD85)</f>
        <v>0</v>
      </c>
      <c r="AE83" s="47">
        <f t="shared" ref="AE83:AJ83" si="67">SUM(AE84:AE85)</f>
        <v>0</v>
      </c>
      <c r="AF83" s="47">
        <f t="shared" si="67"/>
        <v>0</v>
      </c>
      <c r="AG83" s="47">
        <f t="shared" si="67"/>
        <v>0</v>
      </c>
      <c r="AH83" s="47">
        <f t="shared" si="67"/>
        <v>0</v>
      </c>
      <c r="AI83" s="47">
        <f t="shared" si="67"/>
        <v>0</v>
      </c>
      <c r="AJ83" s="47">
        <f t="shared" si="67"/>
        <v>0</v>
      </c>
      <c r="AK83" s="47">
        <v>0</v>
      </c>
      <c r="AL83" s="47">
        <v>0</v>
      </c>
      <c r="AM83" s="4">
        <v>0</v>
      </c>
      <c r="AN83" s="47">
        <v>0</v>
      </c>
      <c r="AO83" s="47">
        <v>0</v>
      </c>
      <c r="AP83" s="397"/>
      <c r="AQ83" s="96"/>
    </row>
    <row r="84" spans="1:43" s="266" customFormat="1" ht="15.75" hidden="1" x14ac:dyDescent="0.25">
      <c r="A84" s="949"/>
      <c r="B84" s="102"/>
      <c r="C84" s="262"/>
      <c r="D84" s="262"/>
      <c r="E84" s="262"/>
      <c r="F84" s="262"/>
      <c r="G84" s="104"/>
      <c r="H84" s="104"/>
      <c r="I84" s="988"/>
      <c r="J84" s="96"/>
      <c r="K84" s="96"/>
      <c r="L84" s="96"/>
      <c r="M84" s="96"/>
      <c r="N84" s="96"/>
      <c r="O84" s="96"/>
      <c r="P84" s="47">
        <f>Q84</f>
        <v>0</v>
      </c>
      <c r="Q84" s="96">
        <f>S84+U84+W84+Y84</f>
        <v>0</v>
      </c>
      <c r="R84" s="96">
        <f>S84</f>
        <v>0</v>
      </c>
      <c r="S84" s="96">
        <v>0</v>
      </c>
      <c r="T84" s="96">
        <v>0</v>
      </c>
      <c r="U84" s="96">
        <v>0</v>
      </c>
      <c r="V84" s="96">
        <f>W84</f>
        <v>0</v>
      </c>
      <c r="W84" s="96">
        <v>0</v>
      </c>
      <c r="X84" s="96">
        <f>Y84</f>
        <v>0</v>
      </c>
      <c r="Y84" s="96">
        <v>0</v>
      </c>
      <c r="Z84" s="96"/>
      <c r="AA84" s="96">
        <f>AB84+AD84</f>
        <v>0</v>
      </c>
      <c r="AB84" s="96">
        <v>0</v>
      </c>
      <c r="AC84" s="96">
        <v>0</v>
      </c>
      <c r="AD84" s="96">
        <v>0</v>
      </c>
      <c r="AE84" s="96">
        <v>0</v>
      </c>
      <c r="AF84" s="96">
        <f>AG84+AH84+AI84</f>
        <v>0</v>
      </c>
      <c r="AG84" s="96"/>
      <c r="AH84" s="96"/>
      <c r="AI84" s="96">
        <v>0</v>
      </c>
      <c r="AJ84" s="96"/>
      <c r="AK84" s="96"/>
      <c r="AL84" s="96"/>
      <c r="AM84" s="268"/>
      <c r="AN84" s="96"/>
      <c r="AO84" s="96"/>
      <c r="AP84" s="405"/>
      <c r="AQ84" s="96"/>
    </row>
    <row r="85" spans="1:43" ht="14.25" hidden="1" customHeight="1" x14ac:dyDescent="0.25">
      <c r="A85" s="949"/>
      <c r="B85" s="1"/>
      <c r="C85" s="945"/>
      <c r="D85" s="945"/>
      <c r="E85" s="945"/>
      <c r="F85" s="945"/>
      <c r="G85" s="962"/>
      <c r="H85" s="962"/>
      <c r="I85" s="988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96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"/>
      <c r="AN85" s="47"/>
      <c r="AO85" s="47"/>
      <c r="AP85" s="397"/>
      <c r="AQ85" s="96"/>
    </row>
    <row r="86" spans="1:43" s="327" customFormat="1" ht="27" customHeight="1" x14ac:dyDescent="0.25">
      <c r="A86" s="787" t="s">
        <v>58</v>
      </c>
      <c r="B86" s="780" t="s">
        <v>87</v>
      </c>
      <c r="C86" s="1326"/>
      <c r="D86" s="1326"/>
      <c r="E86" s="1326"/>
      <c r="F86" s="1326"/>
      <c r="G86" s="956"/>
      <c r="H86" s="956"/>
      <c r="I86" s="1326" t="s">
        <v>20</v>
      </c>
      <c r="J86" s="3">
        <f t="shared" ref="J86:J91" si="68">L86</f>
        <v>20425.87</v>
      </c>
      <c r="K86" s="3"/>
      <c r="L86" s="3">
        <f>L87+L91</f>
        <v>20425.87</v>
      </c>
      <c r="M86" s="3">
        <f t="shared" ref="M86:AO86" si="69">M87+M91</f>
        <v>616.66</v>
      </c>
      <c r="N86" s="3">
        <f t="shared" si="69"/>
        <v>6665.55</v>
      </c>
      <c r="O86" s="3">
        <f t="shared" si="69"/>
        <v>4018.39</v>
      </c>
      <c r="P86" s="3">
        <f t="shared" si="69"/>
        <v>4809.3900000000003</v>
      </c>
      <c r="Q86" s="3">
        <f t="shared" si="69"/>
        <v>0</v>
      </c>
      <c r="R86" s="3">
        <f t="shared" si="69"/>
        <v>0</v>
      </c>
      <c r="S86" s="3">
        <f t="shared" si="69"/>
        <v>416.67</v>
      </c>
      <c r="T86" s="3">
        <f t="shared" si="69"/>
        <v>495.38399999999996</v>
      </c>
      <c r="U86" s="3">
        <f t="shared" si="69"/>
        <v>495.38399999999996</v>
      </c>
      <c r="V86" s="3">
        <f t="shared" si="69"/>
        <v>278.41000000000003</v>
      </c>
      <c r="W86" s="3">
        <f t="shared" si="69"/>
        <v>318.26600000000002</v>
      </c>
      <c r="X86" s="3">
        <f t="shared" si="69"/>
        <v>0</v>
      </c>
      <c r="Y86" s="3">
        <f t="shared" si="69"/>
        <v>0</v>
      </c>
      <c r="Z86" s="95">
        <v>0</v>
      </c>
      <c r="AA86" s="3">
        <f>AA87+AA91+AQ86</f>
        <v>0</v>
      </c>
      <c r="AB86" s="3">
        <f t="shared" si="69"/>
        <v>0</v>
      </c>
      <c r="AC86" s="3">
        <f t="shared" si="69"/>
        <v>907.08299999999997</v>
      </c>
      <c r="AD86" s="3">
        <f t="shared" si="69"/>
        <v>308.33300000000003</v>
      </c>
      <c r="AE86" s="3">
        <f t="shared" si="69"/>
        <v>0</v>
      </c>
      <c r="AF86" s="3">
        <f t="shared" si="69"/>
        <v>0</v>
      </c>
      <c r="AG86" s="3">
        <f t="shared" si="69"/>
        <v>0</v>
      </c>
      <c r="AH86" s="3">
        <f t="shared" si="69"/>
        <v>0</v>
      </c>
      <c r="AI86" s="3">
        <f t="shared" si="69"/>
        <v>0</v>
      </c>
      <c r="AJ86" s="3">
        <f t="shared" si="69"/>
        <v>0</v>
      </c>
      <c r="AK86" s="3">
        <f>P86-Q86</f>
        <v>4809.3900000000003</v>
      </c>
      <c r="AL86" s="3">
        <f>AK86</f>
        <v>4809.3900000000003</v>
      </c>
      <c r="AM86" s="318">
        <f>ROUND((Q86*100%/P86*100),2)</f>
        <v>0</v>
      </c>
      <c r="AN86" s="3">
        <f t="shared" si="69"/>
        <v>0</v>
      </c>
      <c r="AO86" s="3">
        <f t="shared" si="69"/>
        <v>0</v>
      </c>
      <c r="AP86" s="633" t="s">
        <v>243</v>
      </c>
      <c r="AQ86" s="95">
        <v>0</v>
      </c>
    </row>
    <row r="87" spans="1:43" ht="14.25" customHeight="1" x14ac:dyDescent="0.25">
      <c r="A87" s="44"/>
      <c r="B87" s="1" t="s">
        <v>15</v>
      </c>
      <c r="C87" s="1327"/>
      <c r="D87" s="1327"/>
      <c r="E87" s="1327"/>
      <c r="F87" s="1327"/>
      <c r="G87" s="962">
        <v>2020</v>
      </c>
      <c r="H87" s="962">
        <v>2020</v>
      </c>
      <c r="I87" s="1327"/>
      <c r="J87" s="47">
        <f t="shared" si="68"/>
        <v>7560.63</v>
      </c>
      <c r="K87" s="47"/>
      <c r="L87" s="47">
        <v>7560.63</v>
      </c>
      <c r="M87" s="47">
        <v>616.66</v>
      </c>
      <c r="N87" s="47">
        <v>6665.55</v>
      </c>
      <c r="O87" s="47">
        <v>0</v>
      </c>
      <c r="P87" s="47">
        <v>791.01</v>
      </c>
      <c r="Q87" s="47">
        <v>0</v>
      </c>
      <c r="R87" s="47">
        <f>R90+R88+R89</f>
        <v>0</v>
      </c>
      <c r="S87" s="47">
        <f>S90+S88+S89</f>
        <v>416.67</v>
      </c>
      <c r="T87" s="47">
        <f>T90+T88+T89</f>
        <v>495.38399999999996</v>
      </c>
      <c r="U87" s="47">
        <f>SUM(U88:U90)</f>
        <v>495.38399999999996</v>
      </c>
      <c r="V87" s="47">
        <f t="shared" ref="V87:AK87" si="70">V90+V88</f>
        <v>278.41000000000003</v>
      </c>
      <c r="W87" s="47">
        <f>W90+W88+W89</f>
        <v>318.26600000000002</v>
      </c>
      <c r="X87" s="47">
        <f t="shared" si="70"/>
        <v>0</v>
      </c>
      <c r="Y87" s="47">
        <f t="shared" si="70"/>
        <v>0</v>
      </c>
      <c r="Z87" s="96"/>
      <c r="AA87" s="47">
        <v>0</v>
      </c>
      <c r="AB87" s="47">
        <f t="shared" si="70"/>
        <v>0</v>
      </c>
      <c r="AC87" s="47">
        <f t="shared" si="70"/>
        <v>907.08299999999997</v>
      </c>
      <c r="AD87" s="47">
        <f t="shared" si="70"/>
        <v>308.33300000000003</v>
      </c>
      <c r="AE87" s="47">
        <f t="shared" si="70"/>
        <v>0</v>
      </c>
      <c r="AF87" s="47">
        <f t="shared" si="70"/>
        <v>0</v>
      </c>
      <c r="AG87" s="47">
        <f t="shared" si="70"/>
        <v>0</v>
      </c>
      <c r="AH87" s="47">
        <f t="shared" si="70"/>
        <v>0</v>
      </c>
      <c r="AI87" s="47">
        <f t="shared" si="70"/>
        <v>0</v>
      </c>
      <c r="AJ87" s="47">
        <f t="shared" si="70"/>
        <v>0</v>
      </c>
      <c r="AK87" s="47">
        <f t="shared" si="70"/>
        <v>0</v>
      </c>
      <c r="AL87" s="47">
        <v>0</v>
      </c>
      <c r="AM87" s="47">
        <v>0</v>
      </c>
      <c r="AN87" s="47">
        <v>0</v>
      </c>
      <c r="AO87" s="47">
        <v>0</v>
      </c>
      <c r="AP87" s="397"/>
      <c r="AQ87" s="96"/>
    </row>
    <row r="88" spans="1:43" s="266" customFormat="1" ht="19.5" hidden="1" customHeight="1" x14ac:dyDescent="0.25">
      <c r="A88" s="251"/>
      <c r="B88" s="102" t="s">
        <v>297</v>
      </c>
      <c r="C88" s="1327"/>
      <c r="D88" s="1327"/>
      <c r="E88" s="1327"/>
      <c r="F88" s="1327"/>
      <c r="G88" s="104"/>
      <c r="H88" s="104"/>
      <c r="I88" s="1327"/>
      <c r="J88" s="96"/>
      <c r="K88" s="96"/>
      <c r="L88" s="96"/>
      <c r="M88" s="96"/>
      <c r="N88" s="96"/>
      <c r="O88" s="96"/>
      <c r="P88" s="96"/>
      <c r="Q88" s="96">
        <f>S88+U88+Y88+W88</f>
        <v>1215.42</v>
      </c>
      <c r="R88" s="96"/>
      <c r="S88" s="96">
        <v>416.67</v>
      </c>
      <c r="T88" s="96">
        <f>U88</f>
        <v>490.41699999999997</v>
      </c>
      <c r="U88" s="96">
        <v>490.41699999999997</v>
      </c>
      <c r="V88" s="96">
        <v>278.41000000000003</v>
      </c>
      <c r="W88" s="96">
        <v>308.33300000000003</v>
      </c>
      <c r="X88" s="96"/>
      <c r="Y88" s="96"/>
      <c r="Z88" s="96"/>
      <c r="AA88" s="96">
        <f>AC88+AD88</f>
        <v>1215.4159999999999</v>
      </c>
      <c r="AB88" s="96"/>
      <c r="AC88" s="96">
        <v>907.08299999999997</v>
      </c>
      <c r="AD88" s="96">
        <v>308.33300000000003</v>
      </c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405"/>
      <c r="AQ88" s="96"/>
    </row>
    <row r="89" spans="1:43" s="266" customFormat="1" ht="19.5" hidden="1" customHeight="1" x14ac:dyDescent="0.25">
      <c r="A89" s="251"/>
      <c r="B89" s="102" t="s">
        <v>315</v>
      </c>
      <c r="C89" s="1327"/>
      <c r="D89" s="1327"/>
      <c r="E89" s="1327"/>
      <c r="F89" s="1327"/>
      <c r="G89" s="104"/>
      <c r="H89" s="104"/>
      <c r="I89" s="1327"/>
      <c r="J89" s="96"/>
      <c r="K89" s="96"/>
      <c r="L89" s="96"/>
      <c r="M89" s="96"/>
      <c r="N89" s="96"/>
      <c r="O89" s="96"/>
      <c r="P89" s="96"/>
      <c r="Q89" s="96">
        <f>U89+W89</f>
        <v>14.899999999999999</v>
      </c>
      <c r="R89" s="96"/>
      <c r="S89" s="96">
        <v>0</v>
      </c>
      <c r="T89" s="96">
        <f>U89</f>
        <v>4.9669999999999996</v>
      </c>
      <c r="U89" s="96">
        <v>4.9669999999999996</v>
      </c>
      <c r="V89" s="96"/>
      <c r="W89" s="96">
        <v>9.9329999999999998</v>
      </c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405"/>
      <c r="AQ89" s="96"/>
    </row>
    <row r="90" spans="1:43" s="266" customFormat="1" ht="16.5" hidden="1" customHeight="1" x14ac:dyDescent="0.25">
      <c r="A90" s="251"/>
      <c r="B90" s="102" t="s">
        <v>255</v>
      </c>
      <c r="C90" s="1327"/>
      <c r="D90" s="1327"/>
      <c r="E90" s="1327"/>
      <c r="F90" s="1327"/>
      <c r="G90" s="104"/>
      <c r="H90" s="104"/>
      <c r="I90" s="1327"/>
      <c r="J90" s="96"/>
      <c r="K90" s="96"/>
      <c r="L90" s="96"/>
      <c r="M90" s="96"/>
      <c r="N90" s="96"/>
      <c r="O90" s="96"/>
      <c r="P90" s="47">
        <v>0</v>
      </c>
      <c r="Q90" s="96">
        <f>S90+U90+Y90</f>
        <v>0</v>
      </c>
      <c r="R90" s="96">
        <f>S90</f>
        <v>0</v>
      </c>
      <c r="S90" s="96"/>
      <c r="T90" s="96"/>
      <c r="U90" s="96"/>
      <c r="V90" s="96"/>
      <c r="W90" s="96"/>
      <c r="X90" s="96"/>
      <c r="Y90" s="96">
        <v>0</v>
      </c>
      <c r="Z90" s="96"/>
      <c r="AA90" s="96">
        <f>AB90</f>
        <v>0</v>
      </c>
      <c r="AB90" s="96"/>
      <c r="AC90" s="96">
        <v>0</v>
      </c>
      <c r="AD90" s="96"/>
      <c r="AE90" s="96"/>
      <c r="AF90" s="96">
        <f>SUM(AG90:AG90)</f>
        <v>0</v>
      </c>
      <c r="AG90" s="96"/>
      <c r="AH90" s="96"/>
      <c r="AI90" s="96"/>
      <c r="AJ90" s="96"/>
      <c r="AK90" s="96">
        <v>0</v>
      </c>
      <c r="AL90" s="96">
        <v>0</v>
      </c>
      <c r="AM90" s="96">
        <v>0</v>
      </c>
      <c r="AN90" s="96">
        <v>0</v>
      </c>
      <c r="AO90" s="96">
        <v>0</v>
      </c>
      <c r="AP90" s="405"/>
      <c r="AQ90" s="96"/>
    </row>
    <row r="91" spans="1:43" ht="15.75" customHeight="1" x14ac:dyDescent="0.25">
      <c r="A91" s="44"/>
      <c r="B91" s="1" t="s">
        <v>16</v>
      </c>
      <c r="C91" s="1328"/>
      <c r="D91" s="1328"/>
      <c r="E91" s="1328"/>
      <c r="F91" s="1328"/>
      <c r="G91" s="962">
        <v>2020</v>
      </c>
      <c r="H91" s="962">
        <v>2020</v>
      </c>
      <c r="I91" s="1328"/>
      <c r="J91" s="47">
        <f t="shared" si="68"/>
        <v>12865.24</v>
      </c>
      <c r="K91" s="47"/>
      <c r="L91" s="47">
        <v>12865.24</v>
      </c>
      <c r="M91" s="47">
        <v>0</v>
      </c>
      <c r="N91" s="47">
        <v>0</v>
      </c>
      <c r="O91" s="47">
        <v>4018.39</v>
      </c>
      <c r="P91" s="47">
        <v>4018.38</v>
      </c>
      <c r="Q91" s="47">
        <v>0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47">
        <v>0</v>
      </c>
      <c r="X91" s="47">
        <v>0</v>
      </c>
      <c r="Y91" s="47">
        <v>0</v>
      </c>
      <c r="Z91" s="96"/>
      <c r="AA91" s="47">
        <v>0</v>
      </c>
      <c r="AB91" s="47">
        <v>0</v>
      </c>
      <c r="AC91" s="47">
        <v>0</v>
      </c>
      <c r="AD91" s="47">
        <v>0</v>
      </c>
      <c r="AE91" s="47">
        <v>0</v>
      </c>
      <c r="AF91" s="47">
        <v>0</v>
      </c>
      <c r="AG91" s="47">
        <v>0</v>
      </c>
      <c r="AH91" s="47">
        <v>0</v>
      </c>
      <c r="AI91" s="47">
        <v>0</v>
      </c>
      <c r="AJ91" s="47">
        <v>0</v>
      </c>
      <c r="AK91" s="47">
        <v>0</v>
      </c>
      <c r="AL91" s="47">
        <v>0</v>
      </c>
      <c r="AM91" s="47">
        <v>0</v>
      </c>
      <c r="AN91" s="47">
        <v>0</v>
      </c>
      <c r="AO91" s="47">
        <v>0</v>
      </c>
      <c r="AP91" s="397"/>
      <c r="AQ91" s="96"/>
    </row>
    <row r="92" spans="1:43" ht="44.25" hidden="1" customHeight="1" x14ac:dyDescent="0.25">
      <c r="A92" s="44" t="s">
        <v>59</v>
      </c>
      <c r="B92" s="1" t="s">
        <v>55</v>
      </c>
      <c r="C92" s="962"/>
      <c r="D92" s="962"/>
      <c r="E92" s="962"/>
      <c r="F92" s="962"/>
      <c r="G92" s="962">
        <v>2021</v>
      </c>
      <c r="H92" s="962"/>
      <c r="I92" s="946" t="s">
        <v>20</v>
      </c>
      <c r="J92" s="972">
        <v>313558.92</v>
      </c>
      <c r="K92" s="47"/>
      <c r="L92" s="47">
        <f>M92+N92+O92</f>
        <v>0</v>
      </c>
      <c r="M92" s="47">
        <v>0</v>
      </c>
      <c r="N92" s="47">
        <v>0</v>
      </c>
      <c r="O92" s="47">
        <v>0</v>
      </c>
      <c r="P92" s="47">
        <v>0</v>
      </c>
      <c r="Q92" s="47">
        <v>0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47">
        <v>0</v>
      </c>
      <c r="X92" s="47">
        <v>0</v>
      </c>
      <c r="Y92" s="47">
        <v>0</v>
      </c>
      <c r="Z92" s="96"/>
      <c r="AA92" s="47">
        <v>0</v>
      </c>
      <c r="AB92" s="47">
        <v>0</v>
      </c>
      <c r="AC92" s="47"/>
      <c r="AD92" s="47"/>
      <c r="AE92" s="47"/>
      <c r="AF92" s="47">
        <v>0</v>
      </c>
      <c r="AG92" s="47"/>
      <c r="AH92" s="47"/>
      <c r="AI92" s="47"/>
      <c r="AJ92" s="47"/>
      <c r="AK92" s="47">
        <f>P92-Q92</f>
        <v>0</v>
      </c>
      <c r="AL92" s="47">
        <f>AK92</f>
        <v>0</v>
      </c>
      <c r="AM92" s="4">
        <v>0</v>
      </c>
      <c r="AN92" s="47">
        <v>0</v>
      </c>
      <c r="AO92" s="47">
        <v>0</v>
      </c>
      <c r="AP92" s="397" t="s">
        <v>158</v>
      </c>
      <c r="AQ92" s="96"/>
    </row>
    <row r="93" spans="1:43" s="327" customFormat="1" ht="40.5" customHeight="1" x14ac:dyDescent="0.25">
      <c r="A93" s="1372" t="s">
        <v>278</v>
      </c>
      <c r="B93" s="772" t="s">
        <v>202</v>
      </c>
      <c r="C93" s="312"/>
      <c r="D93" s="312"/>
      <c r="E93" s="312"/>
      <c r="F93" s="312"/>
      <c r="G93" s="312"/>
      <c r="H93" s="957"/>
      <c r="I93" s="1326" t="s">
        <v>20</v>
      </c>
      <c r="J93" s="964"/>
      <c r="K93" s="3"/>
      <c r="L93" s="3">
        <f>L94</f>
        <v>4214.49</v>
      </c>
      <c r="M93" s="3">
        <f t="shared" ref="M93:AO94" si="71">M94</f>
        <v>0</v>
      </c>
      <c r="N93" s="3">
        <f t="shared" si="71"/>
        <v>3995.07</v>
      </c>
      <c r="O93" s="3">
        <f t="shared" si="71"/>
        <v>0</v>
      </c>
      <c r="P93" s="3">
        <v>0</v>
      </c>
      <c r="Q93" s="3">
        <v>0</v>
      </c>
      <c r="R93" s="3">
        <f t="shared" si="71"/>
        <v>0</v>
      </c>
      <c r="S93" s="3">
        <f t="shared" si="71"/>
        <v>0</v>
      </c>
      <c r="T93" s="3">
        <f t="shared" si="71"/>
        <v>219.42</v>
      </c>
      <c r="U93" s="3">
        <f t="shared" si="71"/>
        <v>537.85</v>
      </c>
      <c r="V93" s="3">
        <f t="shared" si="71"/>
        <v>0</v>
      </c>
      <c r="W93" s="3">
        <f t="shared" si="71"/>
        <v>0</v>
      </c>
      <c r="X93" s="3">
        <f t="shared" si="71"/>
        <v>0</v>
      </c>
      <c r="Y93" s="3">
        <f t="shared" si="71"/>
        <v>0</v>
      </c>
      <c r="Z93" s="95">
        <v>0</v>
      </c>
      <c r="AA93" s="3">
        <v>0</v>
      </c>
      <c r="AB93" s="3">
        <f t="shared" si="71"/>
        <v>0</v>
      </c>
      <c r="AC93" s="3">
        <f t="shared" si="71"/>
        <v>0</v>
      </c>
      <c r="AD93" s="3">
        <f t="shared" si="71"/>
        <v>537.85400000000004</v>
      </c>
      <c r="AE93" s="3">
        <f t="shared" si="71"/>
        <v>0</v>
      </c>
      <c r="AF93" s="3">
        <f t="shared" si="71"/>
        <v>0</v>
      </c>
      <c r="AG93" s="3">
        <f t="shared" si="71"/>
        <v>0</v>
      </c>
      <c r="AH93" s="3">
        <f t="shared" si="71"/>
        <v>0</v>
      </c>
      <c r="AI93" s="3">
        <f t="shared" si="71"/>
        <v>0</v>
      </c>
      <c r="AJ93" s="3">
        <f t="shared" si="71"/>
        <v>0</v>
      </c>
      <c r="AK93" s="3">
        <f t="shared" si="71"/>
        <v>0</v>
      </c>
      <c r="AL93" s="3">
        <f t="shared" si="71"/>
        <v>0</v>
      </c>
      <c r="AM93" s="3">
        <f t="shared" si="71"/>
        <v>0</v>
      </c>
      <c r="AN93" s="3">
        <f t="shared" si="71"/>
        <v>0</v>
      </c>
      <c r="AO93" s="3">
        <f t="shared" si="71"/>
        <v>0</v>
      </c>
      <c r="AP93" s="633" t="s">
        <v>244</v>
      </c>
      <c r="AQ93" s="95">
        <v>0</v>
      </c>
    </row>
    <row r="94" spans="1:43" ht="17.25" hidden="1" customHeight="1" x14ac:dyDescent="0.25">
      <c r="A94" s="1638"/>
      <c r="B94" s="42" t="s">
        <v>203</v>
      </c>
      <c r="C94" s="313"/>
      <c r="D94" s="313"/>
      <c r="E94" s="313"/>
      <c r="F94" s="313"/>
      <c r="G94" s="313"/>
      <c r="H94" s="978"/>
      <c r="I94" s="1639"/>
      <c r="J94" s="972"/>
      <c r="K94" s="47"/>
      <c r="L94" s="47">
        <v>4214.49</v>
      </c>
      <c r="M94" s="47">
        <v>0</v>
      </c>
      <c r="N94" s="47">
        <v>3995.07</v>
      </c>
      <c r="O94" s="47">
        <v>0</v>
      </c>
      <c r="P94" s="47">
        <v>219.42</v>
      </c>
      <c r="Q94" s="47">
        <f>Q95</f>
        <v>537.85</v>
      </c>
      <c r="R94" s="47">
        <f t="shared" si="71"/>
        <v>0</v>
      </c>
      <c r="S94" s="47">
        <f t="shared" si="71"/>
        <v>0</v>
      </c>
      <c r="T94" s="47">
        <f t="shared" si="71"/>
        <v>219.42</v>
      </c>
      <c r="U94" s="47">
        <f t="shared" si="71"/>
        <v>537.85</v>
      </c>
      <c r="V94" s="47">
        <f t="shared" si="71"/>
        <v>0</v>
      </c>
      <c r="W94" s="47">
        <f t="shared" si="71"/>
        <v>0</v>
      </c>
      <c r="X94" s="47">
        <f t="shared" si="71"/>
        <v>0</v>
      </c>
      <c r="Y94" s="47">
        <f t="shared" si="71"/>
        <v>0</v>
      </c>
      <c r="Z94" s="96"/>
      <c r="AA94" s="47">
        <f t="shared" si="71"/>
        <v>537.85400000000004</v>
      </c>
      <c r="AB94" s="47">
        <f t="shared" si="71"/>
        <v>0</v>
      </c>
      <c r="AC94" s="47">
        <f t="shared" si="71"/>
        <v>0</v>
      </c>
      <c r="AD94" s="47">
        <f t="shared" si="71"/>
        <v>537.85400000000004</v>
      </c>
      <c r="AE94" s="47">
        <f t="shared" si="71"/>
        <v>0</v>
      </c>
      <c r="AF94" s="47">
        <v>0</v>
      </c>
      <c r="AG94" s="47">
        <v>0</v>
      </c>
      <c r="AH94" s="47">
        <v>0</v>
      </c>
      <c r="AI94" s="47">
        <v>0</v>
      </c>
      <c r="AJ94" s="47">
        <v>0</v>
      </c>
      <c r="AK94" s="47">
        <v>0</v>
      </c>
      <c r="AL94" s="47">
        <v>0</v>
      </c>
      <c r="AM94" s="47">
        <v>0</v>
      </c>
      <c r="AN94" s="47">
        <v>0</v>
      </c>
      <c r="AO94" s="47">
        <v>0</v>
      </c>
      <c r="AP94" s="397"/>
      <c r="AQ94" s="96"/>
    </row>
    <row r="95" spans="1:43" s="266" customFormat="1" ht="28.5" hidden="1" customHeight="1" x14ac:dyDescent="0.25">
      <c r="A95" s="1639"/>
      <c r="B95" s="252" t="s">
        <v>267</v>
      </c>
      <c r="C95" s="363"/>
      <c r="D95" s="363"/>
      <c r="E95" s="363"/>
      <c r="F95" s="363"/>
      <c r="G95" s="363"/>
      <c r="H95" s="364"/>
      <c r="I95" s="539"/>
      <c r="J95" s="258"/>
      <c r="K95" s="96"/>
      <c r="L95" s="96"/>
      <c r="M95" s="96"/>
      <c r="N95" s="96"/>
      <c r="O95" s="96"/>
      <c r="P95" s="96"/>
      <c r="Q95" s="96">
        <f>S95+U95</f>
        <v>537.85</v>
      </c>
      <c r="R95" s="96"/>
      <c r="S95" s="96"/>
      <c r="T95" s="96">
        <v>219.42</v>
      </c>
      <c r="U95" s="96">
        <f>ROUND((645.425/1.2),2)</f>
        <v>537.85</v>
      </c>
      <c r="V95" s="96"/>
      <c r="W95" s="96"/>
      <c r="X95" s="96"/>
      <c r="Y95" s="96"/>
      <c r="Z95" s="96"/>
      <c r="AA95" s="96">
        <f>AD95</f>
        <v>537.85400000000004</v>
      </c>
      <c r="AB95" s="96"/>
      <c r="AC95" s="96"/>
      <c r="AD95" s="96">
        <v>537.85400000000004</v>
      </c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405"/>
      <c r="AQ95" s="96"/>
    </row>
    <row r="96" spans="1:43" s="327" customFormat="1" ht="42.75" customHeight="1" x14ac:dyDescent="0.25">
      <c r="A96" s="1372" t="s">
        <v>279</v>
      </c>
      <c r="B96" s="772" t="s">
        <v>204</v>
      </c>
      <c r="C96" s="312"/>
      <c r="D96" s="312"/>
      <c r="E96" s="312"/>
      <c r="F96" s="312"/>
      <c r="G96" s="312"/>
      <c r="H96" s="957"/>
      <c r="I96" s="1326" t="s">
        <v>20</v>
      </c>
      <c r="J96" s="964"/>
      <c r="K96" s="3"/>
      <c r="L96" s="3">
        <f>L97</f>
        <v>3214.56</v>
      </c>
      <c r="M96" s="3">
        <f t="shared" ref="M96:AO97" si="72">M97</f>
        <v>0</v>
      </c>
      <c r="N96" s="3">
        <f t="shared" si="72"/>
        <v>2956.68</v>
      </c>
      <c r="O96" s="3">
        <f t="shared" si="72"/>
        <v>0</v>
      </c>
      <c r="P96" s="3">
        <v>0</v>
      </c>
      <c r="Q96" s="3">
        <v>0</v>
      </c>
      <c r="R96" s="3">
        <f t="shared" si="72"/>
        <v>0</v>
      </c>
      <c r="S96" s="3">
        <f t="shared" si="72"/>
        <v>0</v>
      </c>
      <c r="T96" s="3">
        <f t="shared" si="72"/>
        <v>0</v>
      </c>
      <c r="U96" s="3">
        <f t="shared" si="72"/>
        <v>409.15</v>
      </c>
      <c r="V96" s="3">
        <f t="shared" si="72"/>
        <v>0</v>
      </c>
      <c r="W96" s="3">
        <f t="shared" si="72"/>
        <v>0</v>
      </c>
      <c r="X96" s="3">
        <f t="shared" si="72"/>
        <v>0</v>
      </c>
      <c r="Y96" s="3">
        <f t="shared" si="72"/>
        <v>0</v>
      </c>
      <c r="Z96" s="95">
        <v>0</v>
      </c>
      <c r="AA96" s="3">
        <v>0</v>
      </c>
      <c r="AB96" s="3">
        <f t="shared" si="72"/>
        <v>0</v>
      </c>
      <c r="AC96" s="3">
        <f t="shared" si="72"/>
        <v>0</v>
      </c>
      <c r="AD96" s="3">
        <f t="shared" si="72"/>
        <v>409.14699999999999</v>
      </c>
      <c r="AE96" s="3">
        <f t="shared" si="72"/>
        <v>0</v>
      </c>
      <c r="AF96" s="3">
        <f>AF97</f>
        <v>0</v>
      </c>
      <c r="AG96" s="3">
        <f t="shared" si="72"/>
        <v>0</v>
      </c>
      <c r="AH96" s="3">
        <f t="shared" si="72"/>
        <v>0</v>
      </c>
      <c r="AI96" s="3">
        <f t="shared" si="72"/>
        <v>0</v>
      </c>
      <c r="AJ96" s="3">
        <f t="shared" si="72"/>
        <v>0</v>
      </c>
      <c r="AK96" s="3">
        <f t="shared" si="72"/>
        <v>0</v>
      </c>
      <c r="AL96" s="3">
        <f t="shared" si="72"/>
        <v>0</v>
      </c>
      <c r="AM96" s="3">
        <f t="shared" si="72"/>
        <v>0</v>
      </c>
      <c r="AN96" s="3">
        <f t="shared" si="72"/>
        <v>0</v>
      </c>
      <c r="AO96" s="3">
        <f t="shared" si="72"/>
        <v>0</v>
      </c>
      <c r="AP96" s="633" t="s">
        <v>244</v>
      </c>
      <c r="AQ96" s="95">
        <v>0</v>
      </c>
    </row>
    <row r="97" spans="1:43" ht="17.25" hidden="1" customHeight="1" x14ac:dyDescent="0.25">
      <c r="A97" s="1382"/>
      <c r="B97" s="42" t="s">
        <v>203</v>
      </c>
      <c r="C97" s="313"/>
      <c r="D97" s="313"/>
      <c r="E97" s="313"/>
      <c r="F97" s="313"/>
      <c r="G97" s="313"/>
      <c r="H97" s="978"/>
      <c r="I97" s="1639"/>
      <c r="J97" s="972"/>
      <c r="K97" s="47"/>
      <c r="L97" s="47">
        <v>3214.56</v>
      </c>
      <c r="M97" s="47">
        <v>0</v>
      </c>
      <c r="N97" s="47">
        <v>2956.68</v>
      </c>
      <c r="O97" s="47">
        <v>0</v>
      </c>
      <c r="P97" s="47">
        <v>257.88</v>
      </c>
      <c r="Q97" s="47">
        <f>Q98</f>
        <v>409.15</v>
      </c>
      <c r="R97" s="47">
        <f t="shared" si="72"/>
        <v>0</v>
      </c>
      <c r="S97" s="47">
        <f t="shared" si="72"/>
        <v>0</v>
      </c>
      <c r="T97" s="47">
        <f t="shared" si="72"/>
        <v>0</v>
      </c>
      <c r="U97" s="47">
        <f t="shared" si="72"/>
        <v>409.15</v>
      </c>
      <c r="V97" s="47">
        <f t="shared" si="72"/>
        <v>0</v>
      </c>
      <c r="W97" s="47">
        <f t="shared" si="72"/>
        <v>0</v>
      </c>
      <c r="X97" s="47">
        <f t="shared" si="72"/>
        <v>0</v>
      </c>
      <c r="Y97" s="47">
        <f t="shared" si="72"/>
        <v>0</v>
      </c>
      <c r="Z97" s="96"/>
      <c r="AA97" s="47">
        <f t="shared" si="72"/>
        <v>409.14699999999999</v>
      </c>
      <c r="AB97" s="47">
        <f t="shared" si="72"/>
        <v>0</v>
      </c>
      <c r="AC97" s="47">
        <f t="shared" si="72"/>
        <v>0</v>
      </c>
      <c r="AD97" s="47">
        <f t="shared" si="72"/>
        <v>409.14699999999999</v>
      </c>
      <c r="AE97" s="47">
        <v>0</v>
      </c>
      <c r="AF97" s="47">
        <v>0</v>
      </c>
      <c r="AG97" s="47">
        <v>0</v>
      </c>
      <c r="AH97" s="47">
        <v>0</v>
      </c>
      <c r="AI97" s="47">
        <v>0</v>
      </c>
      <c r="AJ97" s="47">
        <v>0</v>
      </c>
      <c r="AK97" s="47">
        <v>0</v>
      </c>
      <c r="AL97" s="47">
        <v>0</v>
      </c>
      <c r="AM97" s="47">
        <v>0</v>
      </c>
      <c r="AN97" s="47">
        <v>0</v>
      </c>
      <c r="AO97" s="47">
        <v>0</v>
      </c>
      <c r="AP97" s="397"/>
      <c r="AQ97" s="96"/>
    </row>
    <row r="98" spans="1:43" s="266" customFormat="1" ht="27.75" hidden="1" customHeight="1" x14ac:dyDescent="0.25">
      <c r="A98" s="1639"/>
      <c r="B98" s="252" t="s">
        <v>267</v>
      </c>
      <c r="C98" s="363"/>
      <c r="D98" s="363"/>
      <c r="E98" s="363"/>
      <c r="F98" s="363"/>
      <c r="G98" s="363"/>
      <c r="H98" s="364"/>
      <c r="I98" s="539"/>
      <c r="J98" s="258"/>
      <c r="K98" s="96"/>
      <c r="L98" s="96"/>
      <c r="M98" s="96"/>
      <c r="N98" s="96"/>
      <c r="O98" s="96"/>
      <c r="P98" s="96"/>
      <c r="Q98" s="96">
        <f>S98+U98</f>
        <v>409.15</v>
      </c>
      <c r="R98" s="96"/>
      <c r="S98" s="96"/>
      <c r="T98" s="96"/>
      <c r="U98" s="96">
        <f>ROUND((490.979/1.2),2)</f>
        <v>409.15</v>
      </c>
      <c r="V98" s="96"/>
      <c r="W98" s="96"/>
      <c r="X98" s="96"/>
      <c r="Y98" s="96"/>
      <c r="Z98" s="96"/>
      <c r="AA98" s="96">
        <f>AD98</f>
        <v>409.14699999999999</v>
      </c>
      <c r="AB98" s="96"/>
      <c r="AC98" s="96"/>
      <c r="AD98" s="96">
        <v>409.14699999999999</v>
      </c>
      <c r="AE98" s="96"/>
      <c r="AF98" s="96"/>
      <c r="AG98" s="96"/>
      <c r="AH98" s="96"/>
      <c r="AI98" s="96"/>
      <c r="AJ98" s="96"/>
      <c r="AK98" s="96"/>
      <c r="AL98" s="96"/>
      <c r="AM98" s="268"/>
      <c r="AN98" s="96"/>
      <c r="AO98" s="96"/>
      <c r="AP98" s="405"/>
      <c r="AQ98" s="96"/>
    </row>
    <row r="99" spans="1:43" s="327" customFormat="1" ht="41.25" customHeight="1" x14ac:dyDescent="0.25">
      <c r="A99" s="1372" t="s">
        <v>159</v>
      </c>
      <c r="B99" s="772" t="s">
        <v>326</v>
      </c>
      <c r="C99" s="312"/>
      <c r="D99" s="312"/>
      <c r="E99" s="312"/>
      <c r="F99" s="312"/>
      <c r="G99" s="312"/>
      <c r="H99" s="957"/>
      <c r="I99" s="1326" t="s">
        <v>20</v>
      </c>
      <c r="J99" s="964"/>
      <c r="K99" s="3"/>
      <c r="L99" s="3">
        <f>L100</f>
        <v>372.9</v>
      </c>
      <c r="M99" s="3">
        <f>M100</f>
        <v>0</v>
      </c>
      <c r="N99" s="3">
        <f t="shared" ref="N99:AO100" si="73">N100</f>
        <v>372.9</v>
      </c>
      <c r="O99" s="3">
        <f t="shared" si="73"/>
        <v>0</v>
      </c>
      <c r="P99" s="3">
        <f t="shared" si="73"/>
        <v>0</v>
      </c>
      <c r="Q99" s="3">
        <f t="shared" si="73"/>
        <v>0</v>
      </c>
      <c r="R99" s="3">
        <f t="shared" si="73"/>
        <v>0</v>
      </c>
      <c r="S99" s="3">
        <f t="shared" si="73"/>
        <v>0</v>
      </c>
      <c r="T99" s="3">
        <f t="shared" si="73"/>
        <v>0</v>
      </c>
      <c r="U99" s="3">
        <f t="shared" si="73"/>
        <v>0</v>
      </c>
      <c r="V99" s="3">
        <f t="shared" si="73"/>
        <v>0</v>
      </c>
      <c r="W99" s="3">
        <f t="shared" si="73"/>
        <v>0</v>
      </c>
      <c r="X99" s="3">
        <f t="shared" si="73"/>
        <v>0</v>
      </c>
      <c r="Y99" s="3">
        <f t="shared" si="73"/>
        <v>0</v>
      </c>
      <c r="Z99" s="95">
        <v>0</v>
      </c>
      <c r="AA99" s="3">
        <f t="shared" si="73"/>
        <v>0</v>
      </c>
      <c r="AB99" s="3">
        <f t="shared" si="73"/>
        <v>0</v>
      </c>
      <c r="AC99" s="3">
        <f t="shared" si="73"/>
        <v>0</v>
      </c>
      <c r="AD99" s="3">
        <f t="shared" si="73"/>
        <v>0</v>
      </c>
      <c r="AE99" s="3">
        <f t="shared" si="73"/>
        <v>0</v>
      </c>
      <c r="AF99" s="3">
        <f t="shared" si="73"/>
        <v>0</v>
      </c>
      <c r="AG99" s="3">
        <f t="shared" si="73"/>
        <v>0</v>
      </c>
      <c r="AH99" s="3">
        <f t="shared" si="73"/>
        <v>0</v>
      </c>
      <c r="AI99" s="3">
        <f t="shared" si="73"/>
        <v>0</v>
      </c>
      <c r="AJ99" s="3">
        <f t="shared" si="73"/>
        <v>0</v>
      </c>
      <c r="AK99" s="3">
        <f>P99-Q99</f>
        <v>0</v>
      </c>
      <c r="AL99" s="3">
        <f t="shared" si="73"/>
        <v>0</v>
      </c>
      <c r="AM99" s="318">
        <v>0</v>
      </c>
      <c r="AN99" s="3">
        <f t="shared" si="73"/>
        <v>0</v>
      </c>
      <c r="AO99" s="3">
        <f t="shared" si="73"/>
        <v>0</v>
      </c>
      <c r="AP99" s="633" t="s">
        <v>274</v>
      </c>
      <c r="AQ99" s="95">
        <v>0</v>
      </c>
    </row>
    <row r="100" spans="1:43" ht="17.25" hidden="1" customHeight="1" x14ac:dyDescent="0.25">
      <c r="A100" s="1383"/>
      <c r="B100" s="42" t="s">
        <v>203</v>
      </c>
      <c r="C100" s="313"/>
      <c r="D100" s="313"/>
      <c r="E100" s="313"/>
      <c r="F100" s="313"/>
      <c r="G100" s="313"/>
      <c r="H100" s="978"/>
      <c r="I100" s="1639"/>
      <c r="J100" s="972"/>
      <c r="K100" s="47"/>
      <c r="L100" s="47">
        <v>372.9</v>
      </c>
      <c r="M100" s="47">
        <v>0</v>
      </c>
      <c r="N100" s="47">
        <v>372.9</v>
      </c>
      <c r="O100" s="47">
        <v>0</v>
      </c>
      <c r="P100" s="47">
        <v>0</v>
      </c>
      <c r="Q100" s="47">
        <f>Q101</f>
        <v>0</v>
      </c>
      <c r="R100" s="47">
        <f t="shared" si="73"/>
        <v>0</v>
      </c>
      <c r="S100" s="47">
        <f t="shared" si="73"/>
        <v>0</v>
      </c>
      <c r="T100" s="47">
        <f t="shared" si="73"/>
        <v>0</v>
      </c>
      <c r="U100" s="47">
        <f t="shared" si="73"/>
        <v>0</v>
      </c>
      <c r="V100" s="47">
        <f t="shared" si="73"/>
        <v>0</v>
      </c>
      <c r="W100" s="47">
        <f t="shared" si="73"/>
        <v>0</v>
      </c>
      <c r="X100" s="47">
        <f t="shared" si="73"/>
        <v>0</v>
      </c>
      <c r="Y100" s="47">
        <f t="shared" si="73"/>
        <v>0</v>
      </c>
      <c r="Z100" s="96"/>
      <c r="AA100" s="47">
        <f t="shared" si="73"/>
        <v>0</v>
      </c>
      <c r="AB100" s="47">
        <f t="shared" si="73"/>
        <v>0</v>
      </c>
      <c r="AC100" s="47">
        <f t="shared" si="73"/>
        <v>0</v>
      </c>
      <c r="AD100" s="47">
        <f t="shared" si="73"/>
        <v>0</v>
      </c>
      <c r="AE100" s="47">
        <f t="shared" si="73"/>
        <v>0</v>
      </c>
      <c r="AF100" s="47">
        <f>AF101</f>
        <v>0</v>
      </c>
      <c r="AG100" s="47">
        <f t="shared" si="73"/>
        <v>0</v>
      </c>
      <c r="AH100" s="47">
        <f t="shared" si="73"/>
        <v>0</v>
      </c>
      <c r="AI100" s="47">
        <f t="shared" si="73"/>
        <v>0</v>
      </c>
      <c r="AJ100" s="47">
        <f t="shared" si="73"/>
        <v>0</v>
      </c>
      <c r="AK100" s="47">
        <v>0</v>
      </c>
      <c r="AL100" s="47">
        <v>0</v>
      </c>
      <c r="AM100" s="47">
        <v>0</v>
      </c>
      <c r="AN100" s="47">
        <v>0</v>
      </c>
      <c r="AO100" s="47">
        <v>0</v>
      </c>
      <c r="AP100" s="397"/>
      <c r="AQ100" s="96"/>
    </row>
    <row r="101" spans="1:43" s="266" customFormat="1" ht="17.25" hidden="1" customHeight="1" x14ac:dyDescent="0.25">
      <c r="A101" s="362"/>
      <c r="B101" s="252" t="s">
        <v>224</v>
      </c>
      <c r="C101" s="363"/>
      <c r="D101" s="363"/>
      <c r="E101" s="363"/>
      <c r="F101" s="363"/>
      <c r="G101" s="363"/>
      <c r="H101" s="364"/>
      <c r="I101" s="539"/>
      <c r="J101" s="258"/>
      <c r="K101" s="96"/>
      <c r="L101" s="96"/>
      <c r="M101" s="96"/>
      <c r="N101" s="96"/>
      <c r="O101" s="96"/>
      <c r="P101" s="47"/>
      <c r="Q101" s="96">
        <f>Y101</f>
        <v>0</v>
      </c>
      <c r="R101" s="96"/>
      <c r="S101" s="96"/>
      <c r="T101" s="96"/>
      <c r="U101" s="96"/>
      <c r="V101" s="96"/>
      <c r="W101" s="96"/>
      <c r="X101" s="96">
        <v>0</v>
      </c>
      <c r="Y101" s="96">
        <v>0</v>
      </c>
      <c r="Z101" s="96"/>
      <c r="AA101" s="96">
        <v>0</v>
      </c>
      <c r="AB101" s="96">
        <v>0</v>
      </c>
      <c r="AC101" s="96"/>
      <c r="AD101" s="96"/>
      <c r="AE101" s="96"/>
      <c r="AF101" s="96">
        <f>SUM(AG101:AG101)</f>
        <v>0</v>
      </c>
      <c r="AG101" s="96"/>
      <c r="AH101" s="96"/>
      <c r="AI101" s="96"/>
      <c r="AJ101" s="96"/>
      <c r="AK101" s="96"/>
      <c r="AL101" s="96"/>
      <c r="AM101" s="96"/>
      <c r="AN101" s="96"/>
      <c r="AO101" s="96"/>
      <c r="AP101" s="405"/>
      <c r="AQ101" s="96"/>
    </row>
    <row r="102" spans="1:43" s="327" customFormat="1" ht="41.25" customHeight="1" x14ac:dyDescent="0.25">
      <c r="A102" s="1372" t="s">
        <v>160</v>
      </c>
      <c r="B102" s="772" t="s">
        <v>163</v>
      </c>
      <c r="C102" s="312"/>
      <c r="D102" s="312"/>
      <c r="E102" s="312"/>
      <c r="F102" s="312"/>
      <c r="G102" s="312"/>
      <c r="H102" s="957"/>
      <c r="I102" s="1326" t="s">
        <v>20</v>
      </c>
      <c r="J102" s="964"/>
      <c r="K102" s="3"/>
      <c r="L102" s="3">
        <f>L103+L107</f>
        <v>5513.9</v>
      </c>
      <c r="M102" s="3">
        <f t="shared" ref="M102:AO102" si="74">M103+M107</f>
        <v>297.18</v>
      </c>
      <c r="N102" s="3">
        <f t="shared" si="74"/>
        <v>1639.84</v>
      </c>
      <c r="O102" s="3">
        <f t="shared" si="74"/>
        <v>0</v>
      </c>
      <c r="P102" s="3">
        <f t="shared" si="74"/>
        <v>0</v>
      </c>
      <c r="Q102" s="3">
        <f t="shared" si="74"/>
        <v>0</v>
      </c>
      <c r="R102" s="3">
        <f t="shared" si="74"/>
        <v>0</v>
      </c>
      <c r="S102" s="3">
        <f t="shared" si="74"/>
        <v>0</v>
      </c>
      <c r="T102" s="3">
        <f t="shared" si="74"/>
        <v>0</v>
      </c>
      <c r="U102" s="3">
        <f t="shared" si="74"/>
        <v>0</v>
      </c>
      <c r="V102" s="3">
        <f t="shared" si="74"/>
        <v>0</v>
      </c>
      <c r="W102" s="3">
        <f t="shared" si="74"/>
        <v>0</v>
      </c>
      <c r="X102" s="3">
        <f t="shared" si="74"/>
        <v>0</v>
      </c>
      <c r="Y102" s="3">
        <f t="shared" si="74"/>
        <v>0</v>
      </c>
      <c r="Z102" s="95">
        <v>0</v>
      </c>
      <c r="AA102" s="3">
        <f t="shared" si="74"/>
        <v>0</v>
      </c>
      <c r="AB102" s="3">
        <f t="shared" si="74"/>
        <v>0</v>
      </c>
      <c r="AC102" s="3">
        <f t="shared" si="74"/>
        <v>0</v>
      </c>
      <c r="AD102" s="3">
        <f t="shared" si="74"/>
        <v>0</v>
      </c>
      <c r="AE102" s="3">
        <f t="shared" si="74"/>
        <v>0</v>
      </c>
      <c r="AF102" s="3">
        <f t="shared" si="74"/>
        <v>0</v>
      </c>
      <c r="AG102" s="3">
        <f t="shared" si="74"/>
        <v>0</v>
      </c>
      <c r="AH102" s="3">
        <f>AH103+AH107</f>
        <v>0</v>
      </c>
      <c r="AI102" s="3">
        <f>AI103+AI107</f>
        <v>0</v>
      </c>
      <c r="AJ102" s="3">
        <f>AJ103+AJ107</f>
        <v>0</v>
      </c>
      <c r="AK102" s="3">
        <f>P102-Q102</f>
        <v>0</v>
      </c>
      <c r="AL102" s="3">
        <f t="shared" si="74"/>
        <v>0</v>
      </c>
      <c r="AM102" s="318">
        <v>0</v>
      </c>
      <c r="AN102" s="3">
        <f t="shared" si="74"/>
        <v>0</v>
      </c>
      <c r="AO102" s="3">
        <f t="shared" si="74"/>
        <v>0</v>
      </c>
      <c r="AP102" s="633" t="s">
        <v>256</v>
      </c>
      <c r="AQ102" s="95">
        <v>0</v>
      </c>
    </row>
    <row r="103" spans="1:43" ht="17.25" hidden="1" customHeight="1" x14ac:dyDescent="0.25">
      <c r="A103" s="1382"/>
      <c r="B103" s="42" t="s">
        <v>15</v>
      </c>
      <c r="C103" s="313"/>
      <c r="D103" s="313"/>
      <c r="E103" s="313"/>
      <c r="F103" s="313"/>
      <c r="G103" s="313"/>
      <c r="H103" s="978"/>
      <c r="I103" s="1638"/>
      <c r="J103" s="972"/>
      <c r="K103" s="47"/>
      <c r="L103" s="47">
        <v>594.36</v>
      </c>
      <c r="M103" s="47">
        <v>297.18</v>
      </c>
      <c r="N103" s="47">
        <v>0</v>
      </c>
      <c r="O103" s="47">
        <v>0</v>
      </c>
      <c r="P103" s="47">
        <f>N103</f>
        <v>0</v>
      </c>
      <c r="Q103" s="47">
        <f>SUM(Q104:Q106)</f>
        <v>0</v>
      </c>
      <c r="R103" s="47">
        <f t="shared" ref="R103:AJ103" si="75">SUM(R104:R106)</f>
        <v>0</v>
      </c>
      <c r="S103" s="47">
        <f>SUM(S104:S106)</f>
        <v>0</v>
      </c>
      <c r="T103" s="47">
        <f t="shared" si="75"/>
        <v>0</v>
      </c>
      <c r="U103" s="47">
        <f t="shared" si="75"/>
        <v>0</v>
      </c>
      <c r="V103" s="47">
        <f t="shared" si="75"/>
        <v>0</v>
      </c>
      <c r="W103" s="47">
        <f t="shared" si="75"/>
        <v>0</v>
      </c>
      <c r="X103" s="47">
        <v>0</v>
      </c>
      <c r="Y103" s="47">
        <f t="shared" si="75"/>
        <v>0</v>
      </c>
      <c r="Z103" s="96"/>
      <c r="AA103" s="47">
        <f t="shared" si="75"/>
        <v>0</v>
      </c>
      <c r="AB103" s="47">
        <f t="shared" si="75"/>
        <v>0</v>
      </c>
      <c r="AC103" s="47">
        <f t="shared" si="75"/>
        <v>0</v>
      </c>
      <c r="AD103" s="47">
        <f t="shared" si="75"/>
        <v>0</v>
      </c>
      <c r="AE103" s="47">
        <f t="shared" si="75"/>
        <v>0</v>
      </c>
      <c r="AF103" s="47">
        <f>SUM(AF104:AF106)</f>
        <v>0</v>
      </c>
      <c r="AG103" s="47">
        <f t="shared" si="75"/>
        <v>0</v>
      </c>
      <c r="AH103" s="47">
        <f t="shared" si="75"/>
        <v>0</v>
      </c>
      <c r="AI103" s="47">
        <f t="shared" si="75"/>
        <v>0</v>
      </c>
      <c r="AJ103" s="47">
        <f t="shared" si="75"/>
        <v>0</v>
      </c>
      <c r="AK103" s="47">
        <v>0</v>
      </c>
      <c r="AL103" s="47">
        <v>0</v>
      </c>
      <c r="AM103" s="47">
        <v>0</v>
      </c>
      <c r="AN103" s="47">
        <v>0</v>
      </c>
      <c r="AO103" s="47">
        <v>0</v>
      </c>
      <c r="AP103" s="397">
        <v>159.434</v>
      </c>
      <c r="AQ103" s="96"/>
    </row>
    <row r="104" spans="1:43" s="266" customFormat="1" ht="17.25" hidden="1" customHeight="1" x14ac:dyDescent="0.25">
      <c r="A104" s="1382"/>
      <c r="B104" s="252" t="s">
        <v>225</v>
      </c>
      <c r="C104" s="363"/>
      <c r="D104" s="363"/>
      <c r="E104" s="363"/>
      <c r="F104" s="363"/>
      <c r="G104" s="363"/>
      <c r="H104" s="364"/>
      <c r="I104" s="1638"/>
      <c r="J104" s="258"/>
      <c r="K104" s="96"/>
      <c r="L104" s="96"/>
      <c r="M104" s="96"/>
      <c r="N104" s="96"/>
      <c r="O104" s="96"/>
      <c r="P104" s="47"/>
      <c r="Q104" s="96">
        <f>Y104</f>
        <v>0</v>
      </c>
      <c r="R104" s="96"/>
      <c r="S104" s="96"/>
      <c r="T104" s="96"/>
      <c r="U104" s="96"/>
      <c r="V104" s="96"/>
      <c r="W104" s="96"/>
      <c r="X104" s="96">
        <v>0</v>
      </c>
      <c r="Y104" s="96">
        <v>0</v>
      </c>
      <c r="Z104" s="96"/>
      <c r="AA104" s="96">
        <v>0</v>
      </c>
      <c r="AB104" s="96">
        <v>0</v>
      </c>
      <c r="AC104" s="96"/>
      <c r="AD104" s="96"/>
      <c r="AE104" s="96"/>
      <c r="AF104" s="96">
        <f>SUM(AG104:AG104)</f>
        <v>0</v>
      </c>
      <c r="AG104" s="96"/>
      <c r="AH104" s="96"/>
      <c r="AI104" s="96"/>
      <c r="AJ104" s="96"/>
      <c r="AK104" s="96"/>
      <c r="AL104" s="96"/>
      <c r="AM104" s="96"/>
      <c r="AN104" s="96"/>
      <c r="AO104" s="96"/>
      <c r="AP104" s="405"/>
      <c r="AQ104" s="96"/>
    </row>
    <row r="105" spans="1:43" s="266" customFormat="1" ht="17.25" hidden="1" customHeight="1" x14ac:dyDescent="0.25">
      <c r="A105" s="1382"/>
      <c r="B105" s="252" t="s">
        <v>226</v>
      </c>
      <c r="C105" s="363"/>
      <c r="D105" s="363"/>
      <c r="E105" s="363"/>
      <c r="F105" s="363"/>
      <c r="G105" s="363"/>
      <c r="H105" s="364"/>
      <c r="I105" s="1638"/>
      <c r="J105" s="258"/>
      <c r="K105" s="96"/>
      <c r="L105" s="96"/>
      <c r="M105" s="96"/>
      <c r="N105" s="96"/>
      <c r="O105" s="96"/>
      <c r="P105" s="47"/>
      <c r="Q105" s="96">
        <f>S105</f>
        <v>0</v>
      </c>
      <c r="R105" s="96">
        <f>S105</f>
        <v>0</v>
      </c>
      <c r="S105" s="96">
        <v>0</v>
      </c>
      <c r="T105" s="96"/>
      <c r="U105" s="96"/>
      <c r="V105" s="96"/>
      <c r="W105" s="96"/>
      <c r="X105" s="96">
        <v>0</v>
      </c>
      <c r="Y105" s="96">
        <v>0</v>
      </c>
      <c r="Z105" s="96"/>
      <c r="AA105" s="96">
        <f>AB105</f>
        <v>0</v>
      </c>
      <c r="AB105" s="96">
        <v>0</v>
      </c>
      <c r="AC105" s="96"/>
      <c r="AD105" s="96"/>
      <c r="AE105" s="96"/>
      <c r="AF105" s="96">
        <f>SUM(AG105:AG105)</f>
        <v>0</v>
      </c>
      <c r="AG105" s="96"/>
      <c r="AH105" s="96"/>
      <c r="AI105" s="96"/>
      <c r="AJ105" s="96"/>
      <c r="AK105" s="96"/>
      <c r="AL105" s="96"/>
      <c r="AM105" s="96"/>
      <c r="AN105" s="96"/>
      <c r="AO105" s="96"/>
      <c r="AP105" s="405"/>
      <c r="AQ105" s="96"/>
    </row>
    <row r="106" spans="1:43" s="266" customFormat="1" ht="17.25" hidden="1" customHeight="1" x14ac:dyDescent="0.25">
      <c r="A106" s="1382"/>
      <c r="B106" s="252" t="s">
        <v>227</v>
      </c>
      <c r="C106" s="363"/>
      <c r="D106" s="363"/>
      <c r="E106" s="363"/>
      <c r="F106" s="363"/>
      <c r="G106" s="363"/>
      <c r="H106" s="364"/>
      <c r="I106" s="1638"/>
      <c r="J106" s="258"/>
      <c r="K106" s="96"/>
      <c r="L106" s="96"/>
      <c r="M106" s="96"/>
      <c r="N106" s="96"/>
      <c r="O106" s="96"/>
      <c r="P106" s="47"/>
      <c r="Q106" s="96">
        <f>Y106</f>
        <v>0</v>
      </c>
      <c r="R106" s="96"/>
      <c r="S106" s="96"/>
      <c r="T106" s="96"/>
      <c r="U106" s="96"/>
      <c r="V106" s="96"/>
      <c r="W106" s="96"/>
      <c r="X106" s="96">
        <v>0</v>
      </c>
      <c r="Y106" s="96">
        <v>0</v>
      </c>
      <c r="Z106" s="96"/>
      <c r="AA106" s="96">
        <v>0</v>
      </c>
      <c r="AB106" s="96">
        <v>0</v>
      </c>
      <c r="AC106" s="96"/>
      <c r="AD106" s="96"/>
      <c r="AE106" s="96"/>
      <c r="AF106" s="96">
        <f>SUM(AG106:AG106)</f>
        <v>0</v>
      </c>
      <c r="AG106" s="96"/>
      <c r="AH106" s="96"/>
      <c r="AI106" s="96"/>
      <c r="AJ106" s="96"/>
      <c r="AK106" s="96"/>
      <c r="AL106" s="96"/>
      <c r="AM106" s="96"/>
      <c r="AN106" s="96"/>
      <c r="AO106" s="96"/>
      <c r="AP106" s="405"/>
      <c r="AQ106" s="96"/>
    </row>
    <row r="107" spans="1:43" ht="16.5" hidden="1" customHeight="1" x14ac:dyDescent="0.25">
      <c r="A107" s="1383"/>
      <c r="B107" s="42" t="s">
        <v>32</v>
      </c>
      <c r="C107" s="313"/>
      <c r="D107" s="313"/>
      <c r="E107" s="313"/>
      <c r="F107" s="313"/>
      <c r="G107" s="313"/>
      <c r="H107" s="978"/>
      <c r="I107" s="1639"/>
      <c r="J107" s="972"/>
      <c r="K107" s="47"/>
      <c r="L107" s="47">
        <v>4919.54</v>
      </c>
      <c r="M107" s="47">
        <v>0</v>
      </c>
      <c r="N107" s="47">
        <v>1639.84</v>
      </c>
      <c r="O107" s="47">
        <v>0</v>
      </c>
      <c r="P107" s="47">
        <v>0</v>
      </c>
      <c r="Q107" s="47">
        <v>0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47">
        <v>0</v>
      </c>
      <c r="X107" s="47">
        <v>0</v>
      </c>
      <c r="Y107" s="47">
        <v>0</v>
      </c>
      <c r="Z107" s="96"/>
      <c r="AA107" s="47">
        <v>0</v>
      </c>
      <c r="AB107" s="47">
        <v>0</v>
      </c>
      <c r="AC107" s="47">
        <v>0</v>
      </c>
      <c r="AD107" s="47">
        <v>0</v>
      </c>
      <c r="AE107" s="47">
        <v>0</v>
      </c>
      <c r="AF107" s="47">
        <v>0</v>
      </c>
      <c r="AG107" s="47">
        <v>0</v>
      </c>
      <c r="AH107" s="47">
        <v>0</v>
      </c>
      <c r="AI107" s="47">
        <v>0</v>
      </c>
      <c r="AJ107" s="47">
        <v>0</v>
      </c>
      <c r="AK107" s="47">
        <v>0</v>
      </c>
      <c r="AL107" s="47">
        <v>0</v>
      </c>
      <c r="AM107" s="47">
        <v>0</v>
      </c>
      <c r="AN107" s="47">
        <v>0</v>
      </c>
      <c r="AO107" s="47">
        <v>0</v>
      </c>
      <c r="AP107" s="397">
        <v>1639.8466699999999</v>
      </c>
      <c r="AQ107" s="96"/>
    </row>
    <row r="108" spans="1:43" s="327" customFormat="1" ht="40.5" customHeight="1" x14ac:dyDescent="0.25">
      <c r="A108" s="1372" t="s">
        <v>162</v>
      </c>
      <c r="B108" s="772" t="s">
        <v>166</v>
      </c>
      <c r="C108" s="312"/>
      <c r="D108" s="312"/>
      <c r="E108" s="312"/>
      <c r="F108" s="312"/>
      <c r="G108" s="312"/>
      <c r="H108" s="957"/>
      <c r="I108" s="1326" t="s">
        <v>20</v>
      </c>
      <c r="J108" s="964"/>
      <c r="K108" s="3"/>
      <c r="L108" s="3">
        <f>L109+L112</f>
        <v>94875.549999999988</v>
      </c>
      <c r="M108" s="3">
        <f t="shared" ref="M108:AO108" si="76">M109+M112</f>
        <v>2761.44</v>
      </c>
      <c r="N108" s="3">
        <f t="shared" si="76"/>
        <v>9629.67</v>
      </c>
      <c r="O108" s="3">
        <f t="shared" si="76"/>
        <v>22469.279999999999</v>
      </c>
      <c r="P108" s="3">
        <f>P109+P111</f>
        <v>18622.57</v>
      </c>
      <c r="Q108" s="3">
        <f t="shared" si="76"/>
        <v>0</v>
      </c>
      <c r="R108" s="3">
        <f t="shared" si="76"/>
        <v>646.03</v>
      </c>
      <c r="S108" s="3">
        <f t="shared" si="76"/>
        <v>646.02599999999995</v>
      </c>
      <c r="T108" s="3">
        <f t="shared" si="76"/>
        <v>872.63599999999997</v>
      </c>
      <c r="U108" s="3">
        <f t="shared" si="76"/>
        <v>872.63599999999997</v>
      </c>
      <c r="V108" s="3">
        <f t="shared" si="76"/>
        <v>0</v>
      </c>
      <c r="W108" s="3">
        <f t="shared" si="76"/>
        <v>0</v>
      </c>
      <c r="X108" s="3">
        <f t="shared" si="76"/>
        <v>0</v>
      </c>
      <c r="Y108" s="3">
        <f t="shared" si="76"/>
        <v>0</v>
      </c>
      <c r="Z108" s="95">
        <v>0</v>
      </c>
      <c r="AA108" s="3">
        <f t="shared" si="76"/>
        <v>0</v>
      </c>
      <c r="AB108" s="3">
        <f t="shared" si="76"/>
        <v>0</v>
      </c>
      <c r="AC108" s="3">
        <f t="shared" si="76"/>
        <v>0</v>
      </c>
      <c r="AD108" s="3">
        <f t="shared" si="76"/>
        <v>0</v>
      </c>
      <c r="AE108" s="3">
        <f t="shared" si="76"/>
        <v>0</v>
      </c>
      <c r="AF108" s="3">
        <f t="shared" si="76"/>
        <v>0</v>
      </c>
      <c r="AG108" s="3">
        <f t="shared" si="76"/>
        <v>0</v>
      </c>
      <c r="AH108" s="3">
        <f t="shared" si="76"/>
        <v>0</v>
      </c>
      <c r="AI108" s="3">
        <f t="shared" si="76"/>
        <v>0</v>
      </c>
      <c r="AJ108" s="3">
        <f t="shared" si="76"/>
        <v>0</v>
      </c>
      <c r="AK108" s="3">
        <f>P108-Q108</f>
        <v>18622.57</v>
      </c>
      <c r="AL108" s="3">
        <f t="shared" si="76"/>
        <v>0</v>
      </c>
      <c r="AM108" s="318">
        <f>ROUND((Q108*100%/P108*100),2)</f>
        <v>0</v>
      </c>
      <c r="AN108" s="3">
        <f t="shared" si="76"/>
        <v>0</v>
      </c>
      <c r="AO108" s="3">
        <f t="shared" si="76"/>
        <v>0</v>
      </c>
      <c r="AP108" s="633" t="s">
        <v>256</v>
      </c>
      <c r="AQ108" s="95">
        <v>0</v>
      </c>
    </row>
    <row r="109" spans="1:43" ht="16.5" customHeight="1" x14ac:dyDescent="0.25">
      <c r="A109" s="1382"/>
      <c r="B109" s="42" t="s">
        <v>15</v>
      </c>
      <c r="C109" s="313"/>
      <c r="D109" s="313"/>
      <c r="E109" s="313"/>
      <c r="F109" s="313"/>
      <c r="G109" s="313"/>
      <c r="H109" s="978"/>
      <c r="I109" s="1638"/>
      <c r="J109" s="972"/>
      <c r="K109" s="47"/>
      <c r="L109" s="47">
        <v>5734.87</v>
      </c>
      <c r="M109" s="47">
        <v>2761.44</v>
      </c>
      <c r="N109" s="47">
        <v>105.99</v>
      </c>
      <c r="O109" s="47">
        <v>0</v>
      </c>
      <c r="P109" s="47">
        <v>0</v>
      </c>
      <c r="Q109" s="47">
        <v>0</v>
      </c>
      <c r="R109" s="47">
        <v>646.03</v>
      </c>
      <c r="S109" s="47">
        <f t="shared" ref="S109:AJ109" si="77">SUM(S110:S111)</f>
        <v>646.02599999999995</v>
      </c>
      <c r="T109" s="47">
        <f t="shared" si="77"/>
        <v>872.63599999999997</v>
      </c>
      <c r="U109" s="47">
        <f t="shared" si="77"/>
        <v>872.63599999999997</v>
      </c>
      <c r="V109" s="47">
        <f t="shared" si="77"/>
        <v>0</v>
      </c>
      <c r="W109" s="47">
        <f t="shared" si="77"/>
        <v>0</v>
      </c>
      <c r="X109" s="47">
        <v>0</v>
      </c>
      <c r="Y109" s="47">
        <f t="shared" si="77"/>
        <v>0</v>
      </c>
      <c r="Z109" s="96"/>
      <c r="AA109" s="47">
        <f t="shared" si="77"/>
        <v>0</v>
      </c>
      <c r="AB109" s="47">
        <f t="shared" si="77"/>
        <v>0</v>
      </c>
      <c r="AC109" s="47">
        <f t="shared" si="77"/>
        <v>0</v>
      </c>
      <c r="AD109" s="47">
        <f t="shared" si="77"/>
        <v>0</v>
      </c>
      <c r="AE109" s="47">
        <f t="shared" si="77"/>
        <v>0</v>
      </c>
      <c r="AF109" s="47">
        <f t="shared" si="77"/>
        <v>0</v>
      </c>
      <c r="AG109" s="47">
        <f t="shared" si="77"/>
        <v>0</v>
      </c>
      <c r="AH109" s="47">
        <f t="shared" si="77"/>
        <v>0</v>
      </c>
      <c r="AI109" s="47">
        <f t="shared" si="77"/>
        <v>0</v>
      </c>
      <c r="AJ109" s="47">
        <f t="shared" si="77"/>
        <v>0</v>
      </c>
      <c r="AK109" s="47">
        <v>0</v>
      </c>
      <c r="AL109" s="47">
        <v>0</v>
      </c>
      <c r="AM109" s="47">
        <v>0</v>
      </c>
      <c r="AN109" s="47">
        <v>0</v>
      </c>
      <c r="AO109" s="47">
        <v>0</v>
      </c>
      <c r="AP109" s="397"/>
      <c r="AQ109" s="96"/>
    </row>
    <row r="110" spans="1:43" s="266" customFormat="1" ht="16.5" hidden="1" customHeight="1" x14ac:dyDescent="0.25">
      <c r="A110" s="1382"/>
      <c r="B110" s="252" t="s">
        <v>268</v>
      </c>
      <c r="C110" s="363"/>
      <c r="D110" s="363"/>
      <c r="E110" s="363"/>
      <c r="F110" s="363"/>
      <c r="G110" s="363"/>
      <c r="H110" s="364"/>
      <c r="I110" s="1638"/>
      <c r="J110" s="258"/>
      <c r="K110" s="96"/>
      <c r="L110" s="47">
        <f>SUM(M110:O110)</f>
        <v>0</v>
      </c>
      <c r="M110" s="96"/>
      <c r="N110" s="96"/>
      <c r="O110" s="96"/>
      <c r="P110" s="47"/>
      <c r="Q110" s="96">
        <f>S110+U110</f>
        <v>1518.6619999999998</v>
      </c>
      <c r="R110" s="96">
        <v>0</v>
      </c>
      <c r="S110" s="96">
        <v>646.02599999999995</v>
      </c>
      <c r="T110" s="96">
        <f>U110</f>
        <v>872.63599999999997</v>
      </c>
      <c r="U110" s="96">
        <v>872.63599999999997</v>
      </c>
      <c r="V110" s="96"/>
      <c r="W110" s="96"/>
      <c r="X110" s="96">
        <v>0</v>
      </c>
      <c r="Y110" s="96">
        <v>0</v>
      </c>
      <c r="Z110" s="96"/>
      <c r="AA110" s="96">
        <v>0</v>
      </c>
      <c r="AB110" s="96">
        <v>0</v>
      </c>
      <c r="AC110" s="96"/>
      <c r="AD110" s="96"/>
      <c r="AE110" s="96">
        <v>0</v>
      </c>
      <c r="AF110" s="96">
        <f>SUM(AG110:AG110)</f>
        <v>0</v>
      </c>
      <c r="AG110" s="96"/>
      <c r="AH110" s="96"/>
      <c r="AI110" s="96"/>
      <c r="AJ110" s="96"/>
      <c r="AK110" s="96">
        <v>0</v>
      </c>
      <c r="AL110" s="96">
        <v>0</v>
      </c>
      <c r="AM110" s="96">
        <v>0</v>
      </c>
      <c r="AN110" s="96">
        <v>0</v>
      </c>
      <c r="AO110" s="96">
        <v>0</v>
      </c>
      <c r="AP110" s="405"/>
      <c r="AQ110" s="96"/>
    </row>
    <row r="111" spans="1:43" ht="16.5" customHeight="1" x14ac:dyDescent="0.25">
      <c r="A111" s="1382"/>
      <c r="B111" s="42" t="s">
        <v>32</v>
      </c>
      <c r="C111" s="313"/>
      <c r="D111" s="313"/>
      <c r="E111" s="313"/>
      <c r="F111" s="313"/>
      <c r="G111" s="313"/>
      <c r="H111" s="978"/>
      <c r="I111" s="1638"/>
      <c r="J111" s="972"/>
      <c r="K111" s="47"/>
      <c r="L111" s="47">
        <f>SUM(M111:O111)</f>
        <v>0</v>
      </c>
      <c r="M111" s="47"/>
      <c r="N111" s="47"/>
      <c r="O111" s="47"/>
      <c r="P111" s="47">
        <v>18622.57</v>
      </c>
      <c r="Q111" s="47">
        <v>0</v>
      </c>
      <c r="R111" s="47"/>
      <c r="S111" s="47"/>
      <c r="T111" s="47">
        <f>U111</f>
        <v>0</v>
      </c>
      <c r="U111" s="47">
        <v>0</v>
      </c>
      <c r="V111" s="47"/>
      <c r="W111" s="47"/>
      <c r="X111" s="47"/>
      <c r="Y111" s="47"/>
      <c r="Z111" s="47"/>
      <c r="AA111" s="47">
        <f>SUM(AB111:AD111)</f>
        <v>0</v>
      </c>
      <c r="AB111" s="47"/>
      <c r="AC111" s="47">
        <v>0</v>
      </c>
      <c r="AD111" s="47">
        <v>0</v>
      </c>
      <c r="AE111" s="47"/>
      <c r="AF111" s="47">
        <f>SUM(AG111:AG111)</f>
        <v>0</v>
      </c>
      <c r="AG111" s="47"/>
      <c r="AH111" s="47"/>
      <c r="AI111" s="47"/>
      <c r="AJ111" s="47"/>
      <c r="AK111" s="47"/>
      <c r="AL111" s="47"/>
      <c r="AM111" s="47"/>
      <c r="AN111" s="47"/>
      <c r="AO111" s="47"/>
      <c r="AP111" s="397"/>
      <c r="AQ111" s="47"/>
    </row>
    <row r="112" spans="1:43" ht="0.75" customHeight="1" x14ac:dyDescent="0.25">
      <c r="A112" s="1383"/>
      <c r="B112" s="42" t="s">
        <v>32</v>
      </c>
      <c r="C112" s="313"/>
      <c r="D112" s="313"/>
      <c r="E112" s="313"/>
      <c r="F112" s="313"/>
      <c r="G112" s="313"/>
      <c r="H112" s="978"/>
      <c r="I112" s="1639"/>
      <c r="J112" s="972"/>
      <c r="K112" s="47"/>
      <c r="L112" s="47">
        <v>89140.68</v>
      </c>
      <c r="M112" s="47">
        <v>0</v>
      </c>
      <c r="N112" s="47">
        <v>9523.68</v>
      </c>
      <c r="O112" s="47">
        <v>22469.279999999999</v>
      </c>
      <c r="P112" s="47">
        <v>2605.9899999999998</v>
      </c>
      <c r="Q112" s="47">
        <v>0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47">
        <v>0</v>
      </c>
      <c r="X112" s="47">
        <v>0</v>
      </c>
      <c r="Y112" s="47">
        <v>0</v>
      </c>
      <c r="Z112" s="96"/>
      <c r="AA112" s="47">
        <v>0</v>
      </c>
      <c r="AB112" s="47">
        <v>0</v>
      </c>
      <c r="AC112" s="47">
        <v>0</v>
      </c>
      <c r="AD112" s="47">
        <v>0</v>
      </c>
      <c r="AE112" s="47">
        <v>0</v>
      </c>
      <c r="AF112" s="47">
        <v>0</v>
      </c>
      <c r="AG112" s="47">
        <v>0</v>
      </c>
      <c r="AH112" s="47">
        <v>0</v>
      </c>
      <c r="AI112" s="47">
        <v>0</v>
      </c>
      <c r="AJ112" s="47">
        <v>0</v>
      </c>
      <c r="AK112" s="47">
        <v>0</v>
      </c>
      <c r="AL112" s="47">
        <v>0</v>
      </c>
      <c r="AM112" s="47">
        <v>0</v>
      </c>
      <c r="AN112" s="47">
        <v>0</v>
      </c>
      <c r="AO112" s="47">
        <v>0</v>
      </c>
      <c r="AP112" s="397"/>
      <c r="AQ112" s="96"/>
    </row>
    <row r="113" spans="1:45" s="327" customFormat="1" ht="52.5" customHeight="1" x14ac:dyDescent="0.25">
      <c r="A113" s="1372" t="s">
        <v>165</v>
      </c>
      <c r="B113" s="780" t="s">
        <v>280</v>
      </c>
      <c r="C113" s="312"/>
      <c r="D113" s="312"/>
      <c r="E113" s="312"/>
      <c r="F113" s="312"/>
      <c r="G113" s="312"/>
      <c r="H113" s="957"/>
      <c r="I113" s="1326" t="s">
        <v>20</v>
      </c>
      <c r="J113" s="964"/>
      <c r="K113" s="3"/>
      <c r="L113" s="3">
        <f>L114</f>
        <v>10177.64</v>
      </c>
      <c r="M113" s="3">
        <f>M114</f>
        <v>0</v>
      </c>
      <c r="N113" s="3">
        <f t="shared" ref="N113:AO117" si="78">N114</f>
        <v>0</v>
      </c>
      <c r="O113" s="3">
        <f t="shared" si="78"/>
        <v>0</v>
      </c>
      <c r="P113" s="3">
        <v>7317.14</v>
      </c>
      <c r="Q113" s="3">
        <v>0</v>
      </c>
      <c r="R113" s="3">
        <f t="shared" si="78"/>
        <v>40.5</v>
      </c>
      <c r="S113" s="3">
        <f t="shared" si="78"/>
        <v>40.5</v>
      </c>
      <c r="T113" s="3">
        <f t="shared" si="78"/>
        <v>0</v>
      </c>
      <c r="U113" s="3">
        <f t="shared" si="78"/>
        <v>0</v>
      </c>
      <c r="V113" s="3">
        <f t="shared" si="78"/>
        <v>0</v>
      </c>
      <c r="W113" s="3">
        <f t="shared" si="78"/>
        <v>0</v>
      </c>
      <c r="X113" s="3">
        <f t="shared" si="78"/>
        <v>0</v>
      </c>
      <c r="Y113" s="3">
        <f t="shared" si="78"/>
        <v>0</v>
      </c>
      <c r="Z113" s="95">
        <v>0</v>
      </c>
      <c r="AA113" s="3">
        <v>0</v>
      </c>
      <c r="AB113" s="3">
        <f t="shared" si="78"/>
        <v>40.5</v>
      </c>
      <c r="AC113" s="3">
        <f t="shared" si="78"/>
        <v>0</v>
      </c>
      <c r="AD113" s="3">
        <f t="shared" si="78"/>
        <v>0</v>
      </c>
      <c r="AE113" s="3">
        <f t="shared" si="78"/>
        <v>0</v>
      </c>
      <c r="AF113" s="3">
        <f t="shared" si="78"/>
        <v>0</v>
      </c>
      <c r="AG113" s="3">
        <f t="shared" si="78"/>
        <v>0</v>
      </c>
      <c r="AH113" s="3">
        <f t="shared" si="78"/>
        <v>0</v>
      </c>
      <c r="AI113" s="3">
        <f t="shared" si="78"/>
        <v>0</v>
      </c>
      <c r="AJ113" s="3">
        <f t="shared" si="78"/>
        <v>0</v>
      </c>
      <c r="AK113" s="3">
        <f>P113-Q113</f>
        <v>7317.14</v>
      </c>
      <c r="AL113" s="3">
        <f t="shared" si="78"/>
        <v>0</v>
      </c>
      <c r="AM113" s="3">
        <f t="shared" si="78"/>
        <v>0</v>
      </c>
      <c r="AN113" s="3">
        <f t="shared" si="78"/>
        <v>0</v>
      </c>
      <c r="AO113" s="3">
        <f t="shared" si="78"/>
        <v>0</v>
      </c>
      <c r="AP113" s="633"/>
      <c r="AQ113" s="95">
        <v>0</v>
      </c>
    </row>
    <row r="114" spans="1:45" ht="17.25" hidden="1" customHeight="1" x14ac:dyDescent="0.25">
      <c r="A114" s="1639"/>
      <c r="B114" s="42" t="s">
        <v>203</v>
      </c>
      <c r="C114" s="313"/>
      <c r="D114" s="313"/>
      <c r="E114" s="313"/>
      <c r="F114" s="313"/>
      <c r="G114" s="313"/>
      <c r="H114" s="978"/>
      <c r="I114" s="1639"/>
      <c r="J114" s="972"/>
      <c r="K114" s="47"/>
      <c r="L114" s="47">
        <v>10177.64</v>
      </c>
      <c r="M114" s="47">
        <v>0</v>
      </c>
      <c r="N114" s="47">
        <v>0</v>
      </c>
      <c r="O114" s="47">
        <v>0</v>
      </c>
      <c r="P114" s="47">
        <v>2591.96</v>
      </c>
      <c r="Q114" s="47">
        <f>Q115</f>
        <v>40.5</v>
      </c>
      <c r="R114" s="47">
        <f t="shared" si="78"/>
        <v>40.5</v>
      </c>
      <c r="S114" s="47">
        <f t="shared" si="78"/>
        <v>40.5</v>
      </c>
      <c r="T114" s="47">
        <f t="shared" si="78"/>
        <v>0</v>
      </c>
      <c r="U114" s="47">
        <f t="shared" si="78"/>
        <v>0</v>
      </c>
      <c r="V114" s="47">
        <f t="shared" si="78"/>
        <v>0</v>
      </c>
      <c r="W114" s="47">
        <f t="shared" si="78"/>
        <v>0</v>
      </c>
      <c r="X114" s="47">
        <f t="shared" si="78"/>
        <v>0</v>
      </c>
      <c r="Y114" s="47">
        <f t="shared" si="78"/>
        <v>0</v>
      </c>
      <c r="Z114" s="96"/>
      <c r="AA114" s="47">
        <f t="shared" si="78"/>
        <v>40.5</v>
      </c>
      <c r="AB114" s="47">
        <f t="shared" si="78"/>
        <v>40.5</v>
      </c>
      <c r="AC114" s="47">
        <f t="shared" si="78"/>
        <v>0</v>
      </c>
      <c r="AD114" s="47">
        <f t="shared" si="78"/>
        <v>0</v>
      </c>
      <c r="AE114" s="47">
        <f t="shared" si="78"/>
        <v>0</v>
      </c>
      <c r="AF114" s="47">
        <f t="shared" si="78"/>
        <v>0</v>
      </c>
      <c r="AG114" s="47">
        <f t="shared" si="78"/>
        <v>0</v>
      </c>
      <c r="AH114" s="47">
        <f t="shared" si="78"/>
        <v>0</v>
      </c>
      <c r="AI114" s="47">
        <f t="shared" si="78"/>
        <v>0</v>
      </c>
      <c r="AJ114" s="47">
        <f t="shared" si="78"/>
        <v>0</v>
      </c>
      <c r="AK114" s="47">
        <v>0</v>
      </c>
      <c r="AL114" s="47">
        <v>0</v>
      </c>
      <c r="AM114" s="47">
        <v>0</v>
      </c>
      <c r="AN114" s="47">
        <v>0</v>
      </c>
      <c r="AO114" s="47">
        <v>0</v>
      </c>
      <c r="AP114" s="397"/>
      <c r="AQ114" s="96"/>
    </row>
    <row r="115" spans="1:45" s="266" customFormat="1" ht="17.25" hidden="1" customHeight="1" x14ac:dyDescent="0.25">
      <c r="A115" s="539"/>
      <c r="B115" s="252" t="s">
        <v>298</v>
      </c>
      <c r="C115" s="363"/>
      <c r="D115" s="363"/>
      <c r="E115" s="363"/>
      <c r="F115" s="363"/>
      <c r="G115" s="363"/>
      <c r="H115" s="364"/>
      <c r="I115" s="539"/>
      <c r="J115" s="258"/>
      <c r="K115" s="96"/>
      <c r="L115" s="96"/>
      <c r="M115" s="96"/>
      <c r="N115" s="96"/>
      <c r="O115" s="96"/>
      <c r="P115" s="96"/>
      <c r="Q115" s="96">
        <f>S115</f>
        <v>40.5</v>
      </c>
      <c r="R115" s="96">
        <f>S115</f>
        <v>40.5</v>
      </c>
      <c r="S115" s="96">
        <v>40.5</v>
      </c>
      <c r="T115" s="96"/>
      <c r="U115" s="96"/>
      <c r="V115" s="96"/>
      <c r="W115" s="96"/>
      <c r="X115" s="96"/>
      <c r="Y115" s="96"/>
      <c r="Z115" s="96"/>
      <c r="AA115" s="96">
        <f>AB115</f>
        <v>40.5</v>
      </c>
      <c r="AB115" s="96">
        <v>40.5</v>
      </c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268"/>
      <c r="AN115" s="96"/>
      <c r="AO115" s="96"/>
      <c r="AP115" s="405"/>
      <c r="AQ115" s="96"/>
    </row>
    <row r="116" spans="1:45" s="327" customFormat="1" ht="27.75" customHeight="1" x14ac:dyDescent="0.25">
      <c r="A116" s="1372" t="s">
        <v>281</v>
      </c>
      <c r="B116" s="772" t="s">
        <v>284</v>
      </c>
      <c r="C116" s="312"/>
      <c r="D116" s="312"/>
      <c r="E116" s="312"/>
      <c r="F116" s="312"/>
      <c r="G116" s="312"/>
      <c r="H116" s="957"/>
      <c r="I116" s="1326" t="s">
        <v>20</v>
      </c>
      <c r="J116" s="964"/>
      <c r="K116" s="3"/>
      <c r="L116" s="3">
        <f>SUM(L117:L119)</f>
        <v>12294.88</v>
      </c>
      <c r="M116" s="3">
        <f>SUM(M117:M119)</f>
        <v>0</v>
      </c>
      <c r="N116" s="3">
        <f>SUM(N117:N119)</f>
        <v>0</v>
      </c>
      <c r="O116" s="3">
        <f>SUM(O117:O119)</f>
        <v>0</v>
      </c>
      <c r="P116" s="3">
        <f>SUM(P117:P119)</f>
        <v>11314.88</v>
      </c>
      <c r="Q116" s="3">
        <f t="shared" si="78"/>
        <v>0</v>
      </c>
      <c r="R116" s="3">
        <f t="shared" si="78"/>
        <v>686</v>
      </c>
      <c r="S116" s="3">
        <f t="shared" si="78"/>
        <v>686</v>
      </c>
      <c r="T116" s="3">
        <f t="shared" si="78"/>
        <v>294</v>
      </c>
      <c r="U116" s="3">
        <f t="shared" si="78"/>
        <v>294</v>
      </c>
      <c r="V116" s="3">
        <f t="shared" si="78"/>
        <v>0</v>
      </c>
      <c r="W116" s="3">
        <f t="shared" si="78"/>
        <v>0</v>
      </c>
      <c r="X116" s="3">
        <f t="shared" si="78"/>
        <v>0</v>
      </c>
      <c r="Y116" s="3">
        <f t="shared" si="78"/>
        <v>0</v>
      </c>
      <c r="Z116" s="95">
        <v>0</v>
      </c>
      <c r="AA116" s="3">
        <f t="shared" si="78"/>
        <v>0</v>
      </c>
      <c r="AB116" s="3">
        <f t="shared" si="78"/>
        <v>0</v>
      </c>
      <c r="AC116" s="3">
        <f t="shared" si="78"/>
        <v>0</v>
      </c>
      <c r="AD116" s="3">
        <f t="shared" si="78"/>
        <v>0</v>
      </c>
      <c r="AE116" s="3">
        <f t="shared" si="78"/>
        <v>0</v>
      </c>
      <c r="AF116" s="3">
        <f t="shared" si="78"/>
        <v>0</v>
      </c>
      <c r="AG116" s="3">
        <f t="shared" si="78"/>
        <v>0</v>
      </c>
      <c r="AH116" s="3">
        <f t="shared" si="78"/>
        <v>0</v>
      </c>
      <c r="AI116" s="3">
        <f t="shared" si="78"/>
        <v>0</v>
      </c>
      <c r="AJ116" s="3">
        <f t="shared" si="78"/>
        <v>0</v>
      </c>
      <c r="AK116" s="3">
        <f>P116-Q116</f>
        <v>11314.88</v>
      </c>
      <c r="AL116" s="3">
        <f>AL119</f>
        <v>0</v>
      </c>
      <c r="AM116" s="318">
        <v>0</v>
      </c>
      <c r="AN116" s="3">
        <f>AN119</f>
        <v>0</v>
      </c>
      <c r="AO116" s="3">
        <f>AO119</f>
        <v>0</v>
      </c>
      <c r="AP116" s="633" t="s">
        <v>256</v>
      </c>
      <c r="AQ116" s="95">
        <v>0</v>
      </c>
    </row>
    <row r="117" spans="1:45" ht="20.25" customHeight="1" x14ac:dyDescent="0.25">
      <c r="A117" s="1382"/>
      <c r="B117" s="42" t="s">
        <v>285</v>
      </c>
      <c r="C117" s="313"/>
      <c r="D117" s="313"/>
      <c r="E117" s="313"/>
      <c r="F117" s="313"/>
      <c r="G117" s="313"/>
      <c r="H117" s="978"/>
      <c r="I117" s="1327"/>
      <c r="J117" s="972"/>
      <c r="K117" s="47"/>
      <c r="L117" s="47">
        <v>980</v>
      </c>
      <c r="M117" s="47"/>
      <c r="N117" s="47">
        <v>0</v>
      </c>
      <c r="O117" s="47"/>
      <c r="P117" s="47">
        <v>0</v>
      </c>
      <c r="Q117" s="47">
        <v>0</v>
      </c>
      <c r="R117" s="47">
        <f t="shared" si="78"/>
        <v>686</v>
      </c>
      <c r="S117" s="47">
        <f t="shared" si="78"/>
        <v>686</v>
      </c>
      <c r="T117" s="47">
        <f t="shared" si="78"/>
        <v>294</v>
      </c>
      <c r="U117" s="47">
        <f t="shared" si="78"/>
        <v>294</v>
      </c>
      <c r="V117" s="47">
        <f t="shared" si="78"/>
        <v>0</v>
      </c>
      <c r="W117" s="47">
        <f t="shared" si="78"/>
        <v>0</v>
      </c>
      <c r="X117" s="47">
        <f t="shared" si="78"/>
        <v>0</v>
      </c>
      <c r="Y117" s="47">
        <f t="shared" si="78"/>
        <v>0</v>
      </c>
      <c r="Z117" s="96"/>
      <c r="AA117" s="47">
        <f t="shared" si="78"/>
        <v>0</v>
      </c>
      <c r="AB117" s="47">
        <f t="shared" si="78"/>
        <v>0</v>
      </c>
      <c r="AC117" s="47">
        <f t="shared" si="78"/>
        <v>0</v>
      </c>
      <c r="AD117" s="47">
        <f t="shared" si="78"/>
        <v>0</v>
      </c>
      <c r="AE117" s="47">
        <f t="shared" si="78"/>
        <v>0</v>
      </c>
      <c r="AF117" s="47">
        <f t="shared" si="78"/>
        <v>0</v>
      </c>
      <c r="AG117" s="47">
        <f t="shared" si="78"/>
        <v>0</v>
      </c>
      <c r="AH117" s="47">
        <f t="shared" si="78"/>
        <v>0</v>
      </c>
      <c r="AI117" s="47">
        <f t="shared" si="78"/>
        <v>0</v>
      </c>
      <c r="AJ117" s="47">
        <f t="shared" si="78"/>
        <v>0</v>
      </c>
      <c r="AK117" s="47">
        <v>0</v>
      </c>
      <c r="AL117" s="47"/>
      <c r="AM117" s="47"/>
      <c r="AN117" s="47"/>
      <c r="AO117" s="47"/>
      <c r="AP117" s="397"/>
      <c r="AQ117" s="96"/>
    </row>
    <row r="118" spans="1:45" s="266" customFormat="1" ht="20.25" hidden="1" customHeight="1" x14ac:dyDescent="0.25">
      <c r="A118" s="1382"/>
      <c r="B118" s="252" t="s">
        <v>299</v>
      </c>
      <c r="C118" s="363"/>
      <c r="D118" s="363"/>
      <c r="E118" s="363"/>
      <c r="F118" s="363"/>
      <c r="G118" s="363"/>
      <c r="H118" s="364"/>
      <c r="I118" s="1327"/>
      <c r="J118" s="258"/>
      <c r="K118" s="96"/>
      <c r="L118" s="96"/>
      <c r="M118" s="96"/>
      <c r="N118" s="96"/>
      <c r="O118" s="96"/>
      <c r="P118" s="96"/>
      <c r="Q118" s="96">
        <f>S118+U118</f>
        <v>980</v>
      </c>
      <c r="R118" s="96">
        <f>S118</f>
        <v>686</v>
      </c>
      <c r="S118" s="96">
        <v>686</v>
      </c>
      <c r="T118" s="96">
        <v>294</v>
      </c>
      <c r="U118" s="96">
        <v>294</v>
      </c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405"/>
      <c r="AQ118" s="96"/>
    </row>
    <row r="119" spans="1:45" ht="17.25" customHeight="1" x14ac:dyDescent="0.25">
      <c r="A119" s="1639"/>
      <c r="B119" s="42" t="s">
        <v>287</v>
      </c>
      <c r="C119" s="313"/>
      <c r="D119" s="313"/>
      <c r="E119" s="313"/>
      <c r="F119" s="313"/>
      <c r="G119" s="313"/>
      <c r="H119" s="978"/>
      <c r="I119" s="1639"/>
      <c r="J119" s="972"/>
      <c r="K119" s="47"/>
      <c r="L119" s="47">
        <v>11314.88</v>
      </c>
      <c r="M119" s="47">
        <v>0</v>
      </c>
      <c r="N119" s="47">
        <v>0</v>
      </c>
      <c r="O119" s="47">
        <v>0</v>
      </c>
      <c r="P119" s="47">
        <v>11314.88</v>
      </c>
      <c r="Q119" s="47">
        <v>0</v>
      </c>
      <c r="R119" s="47">
        <v>0</v>
      </c>
      <c r="S119" s="47">
        <v>0</v>
      </c>
      <c r="T119" s="47">
        <f t="shared" ref="T119:Y119" si="79">T129</f>
        <v>980</v>
      </c>
      <c r="U119" s="47">
        <v>0</v>
      </c>
      <c r="V119" s="47">
        <f t="shared" si="79"/>
        <v>0</v>
      </c>
      <c r="W119" s="47">
        <f t="shared" si="79"/>
        <v>0</v>
      </c>
      <c r="X119" s="47">
        <f t="shared" si="79"/>
        <v>0</v>
      </c>
      <c r="Y119" s="47">
        <f t="shared" si="79"/>
        <v>0</v>
      </c>
      <c r="Z119" s="96"/>
      <c r="AA119" s="47">
        <v>0</v>
      </c>
      <c r="AB119" s="47">
        <v>0</v>
      </c>
      <c r="AC119" s="47">
        <f t="shared" ref="AC119:AJ119" si="80">AC129</f>
        <v>0</v>
      </c>
      <c r="AD119" s="47">
        <f t="shared" si="80"/>
        <v>0</v>
      </c>
      <c r="AE119" s="47">
        <f t="shared" si="80"/>
        <v>0</v>
      </c>
      <c r="AF119" s="47">
        <f t="shared" si="80"/>
        <v>0</v>
      </c>
      <c r="AG119" s="47">
        <f t="shared" si="80"/>
        <v>0</v>
      </c>
      <c r="AH119" s="47">
        <f t="shared" si="80"/>
        <v>0</v>
      </c>
      <c r="AI119" s="47">
        <f t="shared" si="80"/>
        <v>0</v>
      </c>
      <c r="AJ119" s="47">
        <f t="shared" si="80"/>
        <v>0</v>
      </c>
      <c r="AK119" s="47">
        <v>0</v>
      </c>
      <c r="AL119" s="47">
        <v>0</v>
      </c>
      <c r="AM119" s="47">
        <v>0</v>
      </c>
      <c r="AN119" s="47">
        <v>0</v>
      </c>
      <c r="AO119" s="47">
        <v>0</v>
      </c>
      <c r="AP119" s="397"/>
      <c r="AQ119" s="96"/>
    </row>
    <row r="120" spans="1:45" s="327" customFormat="1" ht="24.75" customHeight="1" x14ac:dyDescent="0.25">
      <c r="A120" s="1372" t="s">
        <v>282</v>
      </c>
      <c r="B120" s="772" t="s">
        <v>286</v>
      </c>
      <c r="C120" s="312"/>
      <c r="D120" s="312"/>
      <c r="E120" s="312"/>
      <c r="F120" s="312"/>
      <c r="G120" s="312"/>
      <c r="H120" s="957"/>
      <c r="I120" s="1326" t="s">
        <v>20</v>
      </c>
      <c r="J120" s="964"/>
      <c r="K120" s="3"/>
      <c r="L120" s="3">
        <f>SUM(L121:L124)</f>
        <v>2085.84</v>
      </c>
      <c r="M120" s="3">
        <f>SUM(M121:M124)</f>
        <v>0</v>
      </c>
      <c r="N120" s="3">
        <f>SUM(N121:N124)</f>
        <v>0</v>
      </c>
      <c r="O120" s="3">
        <f>SUM(O121:O124)</f>
        <v>0</v>
      </c>
      <c r="P120" s="3">
        <f>SUM(P121:P124)</f>
        <v>86.18</v>
      </c>
      <c r="Q120" s="3">
        <f>Q121+Q124</f>
        <v>0</v>
      </c>
      <c r="R120" s="3">
        <f t="shared" ref="R120:AD120" si="81">R121+R124</f>
        <v>0</v>
      </c>
      <c r="S120" s="3">
        <f t="shared" si="81"/>
        <v>0</v>
      </c>
      <c r="T120" s="3">
        <f t="shared" si="81"/>
        <v>1066.18</v>
      </c>
      <c r="U120" s="3">
        <f t="shared" si="81"/>
        <v>86.18</v>
      </c>
      <c r="V120" s="3">
        <f t="shared" si="81"/>
        <v>1597.7769999999998</v>
      </c>
      <c r="W120" s="3">
        <f t="shared" si="81"/>
        <v>1597.7769999999998</v>
      </c>
      <c r="X120" s="3">
        <f t="shared" si="81"/>
        <v>0</v>
      </c>
      <c r="Y120" s="3">
        <f t="shared" si="81"/>
        <v>0</v>
      </c>
      <c r="Z120" s="95">
        <v>0</v>
      </c>
      <c r="AA120" s="3">
        <v>0</v>
      </c>
      <c r="AB120" s="3">
        <f t="shared" si="81"/>
        <v>0</v>
      </c>
      <c r="AC120" s="3">
        <f t="shared" si="81"/>
        <v>0</v>
      </c>
      <c r="AD120" s="3">
        <f t="shared" si="81"/>
        <v>1550</v>
      </c>
      <c r="AE120" s="3">
        <f t="shared" ref="AE120:AJ120" si="82">AE124</f>
        <v>0</v>
      </c>
      <c r="AF120" s="3">
        <f t="shared" si="82"/>
        <v>0</v>
      </c>
      <c r="AG120" s="3">
        <f t="shared" si="82"/>
        <v>0</v>
      </c>
      <c r="AH120" s="3">
        <f t="shared" si="82"/>
        <v>0</v>
      </c>
      <c r="AI120" s="3">
        <f t="shared" si="82"/>
        <v>0</v>
      </c>
      <c r="AJ120" s="3">
        <f t="shared" si="82"/>
        <v>0</v>
      </c>
      <c r="AK120" s="3">
        <f>P120-Q120</f>
        <v>86.18</v>
      </c>
      <c r="AL120" s="3">
        <f>AL124</f>
        <v>0</v>
      </c>
      <c r="AM120" s="3">
        <f>AM124</f>
        <v>0</v>
      </c>
      <c r="AN120" s="3">
        <f>AN124</f>
        <v>0</v>
      </c>
      <c r="AO120" s="3">
        <f>AO124</f>
        <v>0</v>
      </c>
      <c r="AP120" s="633" t="s">
        <v>244</v>
      </c>
      <c r="AQ120" s="95">
        <v>0</v>
      </c>
      <c r="AS120" s="3"/>
    </row>
    <row r="121" spans="1:45" ht="20.25" customHeight="1" x14ac:dyDescent="0.25">
      <c r="A121" s="1382"/>
      <c r="B121" s="42" t="s">
        <v>285</v>
      </c>
      <c r="C121" s="313"/>
      <c r="D121" s="313"/>
      <c r="E121" s="313"/>
      <c r="F121" s="313"/>
      <c r="G121" s="313"/>
      <c r="H121" s="978"/>
      <c r="I121" s="1327"/>
      <c r="J121" s="972"/>
      <c r="K121" s="47"/>
      <c r="L121" s="47">
        <v>2085.84</v>
      </c>
      <c r="M121" s="47"/>
      <c r="N121" s="47">
        <v>0</v>
      </c>
      <c r="O121" s="47"/>
      <c r="P121" s="47">
        <v>86.18</v>
      </c>
      <c r="Q121" s="47">
        <v>0</v>
      </c>
      <c r="R121" s="47">
        <f t="shared" ref="R121:AD121" si="83">R123+R122</f>
        <v>0</v>
      </c>
      <c r="S121" s="47">
        <f t="shared" si="83"/>
        <v>0</v>
      </c>
      <c r="T121" s="47">
        <f t="shared" si="83"/>
        <v>86.18</v>
      </c>
      <c r="U121" s="47">
        <f t="shared" si="83"/>
        <v>86.18</v>
      </c>
      <c r="V121" s="47">
        <f t="shared" si="83"/>
        <v>1597.7769999999998</v>
      </c>
      <c r="W121" s="47">
        <f t="shared" si="83"/>
        <v>1597.7769999999998</v>
      </c>
      <c r="X121" s="47">
        <f t="shared" si="83"/>
        <v>0</v>
      </c>
      <c r="Y121" s="47">
        <f t="shared" si="83"/>
        <v>0</v>
      </c>
      <c r="Z121" s="96"/>
      <c r="AA121" s="47">
        <v>0</v>
      </c>
      <c r="AB121" s="47">
        <f t="shared" si="83"/>
        <v>0</v>
      </c>
      <c r="AC121" s="47">
        <f t="shared" si="83"/>
        <v>0</v>
      </c>
      <c r="AD121" s="47">
        <f t="shared" si="83"/>
        <v>1550</v>
      </c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397"/>
      <c r="AQ121" s="96"/>
    </row>
    <row r="122" spans="1:45" s="266" customFormat="1" ht="38.25" hidden="1" customHeight="1" x14ac:dyDescent="0.25">
      <c r="A122" s="1382"/>
      <c r="B122" s="252" t="s">
        <v>321</v>
      </c>
      <c r="C122" s="363"/>
      <c r="D122" s="363"/>
      <c r="E122" s="363"/>
      <c r="F122" s="363"/>
      <c r="G122" s="363"/>
      <c r="H122" s="364"/>
      <c r="I122" s="1327"/>
      <c r="J122" s="258"/>
      <c r="K122" s="96"/>
      <c r="L122" s="96"/>
      <c r="M122" s="96"/>
      <c r="N122" s="96"/>
      <c r="O122" s="96"/>
      <c r="P122" s="96"/>
      <c r="Q122" s="96">
        <f>W122</f>
        <v>1511.6</v>
      </c>
      <c r="R122" s="96"/>
      <c r="S122" s="96"/>
      <c r="T122" s="96"/>
      <c r="U122" s="96"/>
      <c r="V122" s="96">
        <f>W122</f>
        <v>1511.6</v>
      </c>
      <c r="W122" s="96">
        <v>1511.6</v>
      </c>
      <c r="X122" s="96"/>
      <c r="Y122" s="96"/>
      <c r="Z122" s="96"/>
      <c r="AA122" s="96">
        <f>AD122</f>
        <v>1550</v>
      </c>
      <c r="AB122" s="96"/>
      <c r="AC122" s="96"/>
      <c r="AD122" s="96">
        <v>1550</v>
      </c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405"/>
      <c r="AQ122" s="96"/>
    </row>
    <row r="123" spans="1:45" s="266" customFormat="1" ht="27" hidden="1" customHeight="1" x14ac:dyDescent="0.25">
      <c r="A123" s="1382"/>
      <c r="B123" s="252" t="s">
        <v>313</v>
      </c>
      <c r="C123" s="363"/>
      <c r="D123" s="363"/>
      <c r="E123" s="363"/>
      <c r="F123" s="363"/>
      <c r="G123" s="363"/>
      <c r="H123" s="364"/>
      <c r="I123" s="1327"/>
      <c r="J123" s="258"/>
      <c r="K123" s="96"/>
      <c r="L123" s="96"/>
      <c r="M123" s="96"/>
      <c r="N123" s="96"/>
      <c r="O123" s="96"/>
      <c r="P123" s="96"/>
      <c r="Q123" s="96">
        <f>S123+U123</f>
        <v>86.18</v>
      </c>
      <c r="R123" s="96"/>
      <c r="S123" s="96"/>
      <c r="T123" s="96">
        <f>U123</f>
        <v>86.18</v>
      </c>
      <c r="U123" s="96">
        <f>ROUND((103.412/1.2),2)</f>
        <v>86.18</v>
      </c>
      <c r="V123" s="96">
        <f>W123</f>
        <v>86.177000000000007</v>
      </c>
      <c r="W123" s="96">
        <v>86.177000000000007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405"/>
      <c r="AQ123" s="96"/>
    </row>
    <row r="124" spans="1:45" ht="17.25" customHeight="1" x14ac:dyDescent="0.25">
      <c r="A124" s="1639"/>
      <c r="B124" s="42" t="s">
        <v>287</v>
      </c>
      <c r="C124" s="313"/>
      <c r="D124" s="313"/>
      <c r="E124" s="313"/>
      <c r="F124" s="313"/>
      <c r="G124" s="313"/>
      <c r="H124" s="978"/>
      <c r="I124" s="1639"/>
      <c r="J124" s="972"/>
      <c r="K124" s="47"/>
      <c r="L124" s="47">
        <v>0</v>
      </c>
      <c r="M124" s="47">
        <v>0</v>
      </c>
      <c r="N124" s="47">
        <v>0</v>
      </c>
      <c r="O124" s="47">
        <v>0</v>
      </c>
      <c r="P124" s="47">
        <f>N124</f>
        <v>0</v>
      </c>
      <c r="Q124" s="47">
        <v>0</v>
      </c>
      <c r="R124" s="47">
        <v>0</v>
      </c>
      <c r="S124" s="47">
        <v>0</v>
      </c>
      <c r="T124" s="47">
        <f t="shared" ref="T124:Y124" si="84">T138</f>
        <v>980</v>
      </c>
      <c r="U124" s="47">
        <v>0</v>
      </c>
      <c r="V124" s="47">
        <f t="shared" si="84"/>
        <v>0</v>
      </c>
      <c r="W124" s="47">
        <f t="shared" si="84"/>
        <v>0</v>
      </c>
      <c r="X124" s="47">
        <f t="shared" si="84"/>
        <v>0</v>
      </c>
      <c r="Y124" s="47">
        <f t="shared" si="84"/>
        <v>0</v>
      </c>
      <c r="Z124" s="96"/>
      <c r="AA124" s="47">
        <v>0</v>
      </c>
      <c r="AB124" s="47">
        <v>0</v>
      </c>
      <c r="AC124" s="47">
        <f t="shared" ref="AC124:AJ124" si="85">AC138</f>
        <v>0</v>
      </c>
      <c r="AD124" s="47">
        <f t="shared" si="85"/>
        <v>0</v>
      </c>
      <c r="AE124" s="47">
        <f t="shared" si="85"/>
        <v>0</v>
      </c>
      <c r="AF124" s="47">
        <f t="shared" si="85"/>
        <v>0</v>
      </c>
      <c r="AG124" s="47">
        <f t="shared" si="85"/>
        <v>0</v>
      </c>
      <c r="AH124" s="47">
        <f t="shared" si="85"/>
        <v>0</v>
      </c>
      <c r="AI124" s="47">
        <f t="shared" si="85"/>
        <v>0</v>
      </c>
      <c r="AJ124" s="47">
        <f t="shared" si="85"/>
        <v>0</v>
      </c>
      <c r="AK124" s="47">
        <v>0</v>
      </c>
      <c r="AL124" s="47">
        <v>0</v>
      </c>
      <c r="AM124" s="47">
        <v>0</v>
      </c>
      <c r="AN124" s="47">
        <v>0</v>
      </c>
      <c r="AO124" s="47">
        <v>0</v>
      </c>
      <c r="AP124" s="397"/>
      <c r="AQ124" s="96"/>
    </row>
    <row r="125" spans="1:45" s="327" customFormat="1" ht="31.5" customHeight="1" x14ac:dyDescent="0.25">
      <c r="A125" s="1372" t="s">
        <v>283</v>
      </c>
      <c r="B125" s="772" t="s">
        <v>288</v>
      </c>
      <c r="C125" s="312"/>
      <c r="D125" s="312"/>
      <c r="E125" s="312"/>
      <c r="F125" s="312"/>
      <c r="G125" s="312"/>
      <c r="H125" s="957"/>
      <c r="I125" s="1326" t="s">
        <v>20</v>
      </c>
      <c r="J125" s="964"/>
      <c r="K125" s="3"/>
      <c r="L125" s="3">
        <f t="shared" ref="L125:AJ126" si="86">L126</f>
        <v>28990</v>
      </c>
      <c r="M125" s="3">
        <f t="shared" si="86"/>
        <v>0</v>
      </c>
      <c r="N125" s="3">
        <f t="shared" si="86"/>
        <v>10150</v>
      </c>
      <c r="O125" s="3">
        <f t="shared" si="86"/>
        <v>0</v>
      </c>
      <c r="P125" s="3">
        <v>0</v>
      </c>
      <c r="Q125" s="3">
        <v>0</v>
      </c>
      <c r="R125" s="3">
        <f t="shared" si="86"/>
        <v>10000</v>
      </c>
      <c r="S125" s="3">
        <f t="shared" si="86"/>
        <v>10000</v>
      </c>
      <c r="T125" s="3">
        <f t="shared" si="86"/>
        <v>14158.333000000001</v>
      </c>
      <c r="U125" s="3">
        <f t="shared" si="86"/>
        <v>14158.333000000001</v>
      </c>
      <c r="V125" s="3">
        <f t="shared" si="86"/>
        <v>0</v>
      </c>
      <c r="W125" s="3">
        <f t="shared" si="86"/>
        <v>0</v>
      </c>
      <c r="X125" s="3">
        <f t="shared" si="86"/>
        <v>0</v>
      </c>
      <c r="Y125" s="3">
        <f t="shared" si="86"/>
        <v>0</v>
      </c>
      <c r="Z125" s="95">
        <v>0</v>
      </c>
      <c r="AA125" s="3">
        <f t="shared" si="86"/>
        <v>0</v>
      </c>
      <c r="AB125" s="3">
        <f t="shared" si="86"/>
        <v>0</v>
      </c>
      <c r="AC125" s="3">
        <f t="shared" si="86"/>
        <v>0</v>
      </c>
      <c r="AD125" s="3">
        <f t="shared" si="86"/>
        <v>0</v>
      </c>
      <c r="AE125" s="3">
        <f t="shared" si="86"/>
        <v>0</v>
      </c>
      <c r="AF125" s="3">
        <f t="shared" si="86"/>
        <v>0</v>
      </c>
      <c r="AG125" s="3">
        <f t="shared" si="86"/>
        <v>0</v>
      </c>
      <c r="AH125" s="3">
        <f t="shared" si="86"/>
        <v>0</v>
      </c>
      <c r="AI125" s="3">
        <f t="shared" si="86"/>
        <v>0</v>
      </c>
      <c r="AJ125" s="3">
        <f t="shared" si="86"/>
        <v>0</v>
      </c>
      <c r="AK125" s="3">
        <f>P125-Q125</f>
        <v>0</v>
      </c>
      <c r="AL125" s="3">
        <f>AL126</f>
        <v>0</v>
      </c>
      <c r="AM125" s="318" t="e">
        <f>ROUND((Q125*100%/P125*100),2)</f>
        <v>#DIV/0!</v>
      </c>
      <c r="AN125" s="3">
        <f>AN126</f>
        <v>0</v>
      </c>
      <c r="AO125" s="3">
        <f>AO126</f>
        <v>0</v>
      </c>
      <c r="AP125" s="633" t="s">
        <v>295</v>
      </c>
      <c r="AQ125" s="95">
        <v>0</v>
      </c>
    </row>
    <row r="126" spans="1:45" ht="17.25" hidden="1" customHeight="1" x14ac:dyDescent="0.25">
      <c r="A126" s="1639"/>
      <c r="B126" s="42" t="s">
        <v>201</v>
      </c>
      <c r="C126" s="313"/>
      <c r="D126" s="313"/>
      <c r="E126" s="313"/>
      <c r="F126" s="313"/>
      <c r="G126" s="313"/>
      <c r="H126" s="978"/>
      <c r="I126" s="1639"/>
      <c r="J126" s="972"/>
      <c r="K126" s="47"/>
      <c r="L126" s="47">
        <v>28990</v>
      </c>
      <c r="M126" s="47">
        <v>0</v>
      </c>
      <c r="N126" s="47">
        <v>10150</v>
      </c>
      <c r="O126" s="47">
        <v>0</v>
      </c>
      <c r="P126" s="47">
        <v>18840</v>
      </c>
      <c r="Q126" s="47">
        <f>Q127</f>
        <v>24158.332999999999</v>
      </c>
      <c r="R126" s="47">
        <f t="shared" si="86"/>
        <v>10000</v>
      </c>
      <c r="S126" s="47">
        <f t="shared" si="86"/>
        <v>10000</v>
      </c>
      <c r="T126" s="47">
        <f t="shared" si="86"/>
        <v>14158.333000000001</v>
      </c>
      <c r="U126" s="47">
        <f t="shared" si="86"/>
        <v>14158.333000000001</v>
      </c>
      <c r="V126" s="47">
        <f t="shared" si="86"/>
        <v>0</v>
      </c>
      <c r="W126" s="47">
        <f t="shared" si="86"/>
        <v>0</v>
      </c>
      <c r="X126" s="47">
        <f t="shared" si="86"/>
        <v>0</v>
      </c>
      <c r="Y126" s="47">
        <f t="shared" si="86"/>
        <v>0</v>
      </c>
      <c r="Z126" s="96"/>
      <c r="AA126" s="47">
        <f t="shared" si="86"/>
        <v>0</v>
      </c>
      <c r="AB126" s="47">
        <f t="shared" si="86"/>
        <v>0</v>
      </c>
      <c r="AC126" s="47">
        <f t="shared" si="86"/>
        <v>0</v>
      </c>
      <c r="AD126" s="47">
        <f t="shared" si="86"/>
        <v>0</v>
      </c>
      <c r="AE126" s="47">
        <f>AE127</f>
        <v>0</v>
      </c>
      <c r="AF126" s="47">
        <f>AF141+AJ126</f>
        <v>0</v>
      </c>
      <c r="AG126" s="47">
        <f>AG141</f>
        <v>0</v>
      </c>
      <c r="AH126" s="47">
        <f>AH141</f>
        <v>0</v>
      </c>
      <c r="AI126" s="47">
        <f>AI141</f>
        <v>0</v>
      </c>
      <c r="AJ126" s="47">
        <v>0</v>
      </c>
      <c r="AK126" s="47">
        <v>0</v>
      </c>
      <c r="AL126" s="47">
        <v>0</v>
      </c>
      <c r="AM126" s="47">
        <v>0</v>
      </c>
      <c r="AN126" s="47">
        <v>0</v>
      </c>
      <c r="AO126" s="47">
        <v>0</v>
      </c>
      <c r="AP126" s="397"/>
      <c r="AQ126" s="96"/>
    </row>
    <row r="127" spans="1:45" s="266" customFormat="1" ht="24.75" hidden="1" customHeight="1" x14ac:dyDescent="0.25">
      <c r="A127" s="539"/>
      <c r="B127" s="252" t="s">
        <v>290</v>
      </c>
      <c r="C127" s="363"/>
      <c r="D127" s="363"/>
      <c r="E127" s="363"/>
      <c r="F127" s="363"/>
      <c r="G127" s="363"/>
      <c r="H127" s="364"/>
      <c r="I127" s="614"/>
      <c r="J127" s="258"/>
      <c r="K127" s="96"/>
      <c r="L127" s="96"/>
      <c r="M127" s="96"/>
      <c r="N127" s="96"/>
      <c r="O127" s="96"/>
      <c r="P127" s="96"/>
      <c r="Q127" s="96">
        <f>S127+U127</f>
        <v>24158.332999999999</v>
      </c>
      <c r="R127" s="96">
        <f>S127</f>
        <v>10000</v>
      </c>
      <c r="S127" s="96">
        <v>10000</v>
      </c>
      <c r="T127" s="96">
        <f>U127</f>
        <v>14158.333000000001</v>
      </c>
      <c r="U127" s="96">
        <v>14158.333000000001</v>
      </c>
      <c r="V127" s="96"/>
      <c r="W127" s="96"/>
      <c r="X127" s="96"/>
      <c r="Y127" s="96"/>
      <c r="Z127" s="96"/>
      <c r="AA127" s="96">
        <f>SUM(AB127:AE127)</f>
        <v>0</v>
      </c>
      <c r="AB127" s="96"/>
      <c r="AC127" s="96"/>
      <c r="AD127" s="96"/>
      <c r="AE127" s="96">
        <v>0</v>
      </c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405"/>
      <c r="AQ127" s="96"/>
    </row>
    <row r="128" spans="1:45" ht="54" hidden="1" customHeight="1" x14ac:dyDescent="0.25">
      <c r="A128" s="1332" t="s">
        <v>60</v>
      </c>
      <c r="B128" s="1613" t="s">
        <v>45</v>
      </c>
      <c r="C128" s="1614"/>
      <c r="D128" s="1614"/>
      <c r="E128" s="1614"/>
      <c r="F128" s="1614"/>
      <c r="G128" s="1614"/>
      <c r="H128" s="1615"/>
      <c r="I128" s="23" t="s">
        <v>19</v>
      </c>
      <c r="J128" s="47">
        <v>0</v>
      </c>
      <c r="K128" s="47">
        <f>K131</f>
        <v>0</v>
      </c>
      <c r="L128" s="47">
        <f>M128+N128+O128</f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0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47">
        <v>0</v>
      </c>
      <c r="X128" s="47">
        <v>0</v>
      </c>
      <c r="Y128" s="47">
        <v>0</v>
      </c>
      <c r="Z128" s="96"/>
      <c r="AA128" s="47">
        <v>0</v>
      </c>
      <c r="AB128" s="47">
        <v>0</v>
      </c>
      <c r="AC128" s="47">
        <v>0</v>
      </c>
      <c r="AD128" s="47">
        <v>0</v>
      </c>
      <c r="AE128" s="47">
        <v>0</v>
      </c>
      <c r="AF128" s="47">
        <v>0</v>
      </c>
      <c r="AG128" s="47">
        <v>0</v>
      </c>
      <c r="AH128" s="47">
        <v>0</v>
      </c>
      <c r="AI128" s="47">
        <v>0</v>
      </c>
      <c r="AJ128" s="47">
        <v>0</v>
      </c>
      <c r="AK128" s="47">
        <v>0</v>
      </c>
      <c r="AL128" s="47">
        <v>0</v>
      </c>
      <c r="AM128" s="47">
        <v>0</v>
      </c>
      <c r="AN128" s="47">
        <v>0</v>
      </c>
      <c r="AO128" s="47">
        <v>0</v>
      </c>
      <c r="AP128" s="397"/>
      <c r="AQ128" s="96"/>
    </row>
    <row r="129" spans="1:43" ht="42.75" hidden="1" customHeight="1" x14ac:dyDescent="0.25">
      <c r="A129" s="1333"/>
      <c r="B129" s="1616"/>
      <c r="C129" s="1617"/>
      <c r="D129" s="1617"/>
      <c r="E129" s="1617"/>
      <c r="F129" s="1617"/>
      <c r="G129" s="1617"/>
      <c r="H129" s="1618"/>
      <c r="I129" s="23" t="s">
        <v>20</v>
      </c>
      <c r="J129" s="47">
        <f>J138</f>
        <v>4106.3500000000004</v>
      </c>
      <c r="K129" s="47">
        <v>0</v>
      </c>
      <c r="L129" s="47">
        <f>L138</f>
        <v>6022.96</v>
      </c>
      <c r="M129" s="47">
        <f>M138</f>
        <v>0</v>
      </c>
      <c r="N129" s="47">
        <f t="shared" ref="N129:AO129" si="87">N138</f>
        <v>980</v>
      </c>
      <c r="O129" s="47">
        <f t="shared" si="87"/>
        <v>0</v>
      </c>
      <c r="P129" s="47">
        <f t="shared" si="87"/>
        <v>420.48</v>
      </c>
      <c r="Q129" s="47">
        <f t="shared" si="87"/>
        <v>0</v>
      </c>
      <c r="R129" s="47">
        <f t="shared" si="87"/>
        <v>0</v>
      </c>
      <c r="S129" s="47">
        <f t="shared" si="87"/>
        <v>0</v>
      </c>
      <c r="T129" s="47">
        <f t="shared" si="87"/>
        <v>980</v>
      </c>
      <c r="U129" s="47">
        <f t="shared" si="87"/>
        <v>980</v>
      </c>
      <c r="V129" s="47">
        <f t="shared" si="87"/>
        <v>0</v>
      </c>
      <c r="W129" s="47">
        <f t="shared" si="87"/>
        <v>0</v>
      </c>
      <c r="X129" s="47">
        <f t="shared" si="87"/>
        <v>0</v>
      </c>
      <c r="Y129" s="47">
        <f t="shared" si="87"/>
        <v>0</v>
      </c>
      <c r="Z129" s="96"/>
      <c r="AA129" s="47">
        <f t="shared" si="87"/>
        <v>0</v>
      </c>
      <c r="AB129" s="47">
        <f t="shared" si="87"/>
        <v>0</v>
      </c>
      <c r="AC129" s="47">
        <f t="shared" si="87"/>
        <v>0</v>
      </c>
      <c r="AD129" s="47">
        <f t="shared" si="87"/>
        <v>0</v>
      </c>
      <c r="AE129" s="47">
        <f t="shared" si="87"/>
        <v>0</v>
      </c>
      <c r="AF129" s="47">
        <f t="shared" si="87"/>
        <v>0</v>
      </c>
      <c r="AG129" s="47">
        <f t="shared" si="87"/>
        <v>0</v>
      </c>
      <c r="AH129" s="47">
        <f t="shared" si="87"/>
        <v>0</v>
      </c>
      <c r="AI129" s="47">
        <f t="shared" si="87"/>
        <v>0</v>
      </c>
      <c r="AJ129" s="47">
        <f t="shared" si="87"/>
        <v>0</v>
      </c>
      <c r="AK129" s="47">
        <f t="shared" si="87"/>
        <v>420.48</v>
      </c>
      <c r="AL129" s="47">
        <f t="shared" si="87"/>
        <v>420.48</v>
      </c>
      <c r="AM129" s="47">
        <f t="shared" si="87"/>
        <v>0</v>
      </c>
      <c r="AN129" s="47">
        <f t="shared" si="87"/>
        <v>0</v>
      </c>
      <c r="AO129" s="47">
        <f t="shared" si="87"/>
        <v>0</v>
      </c>
      <c r="AP129" s="397"/>
      <c r="AQ129" s="96"/>
    </row>
    <row r="130" spans="1:43" ht="25.5" hidden="1" x14ac:dyDescent="0.25">
      <c r="A130" s="1333"/>
      <c r="B130" s="1616"/>
      <c r="C130" s="1617"/>
      <c r="D130" s="1617"/>
      <c r="E130" s="1617"/>
      <c r="F130" s="1617"/>
      <c r="G130" s="1617"/>
      <c r="H130" s="1618"/>
      <c r="I130" s="23" t="s">
        <v>10</v>
      </c>
      <c r="J130" s="47">
        <v>0</v>
      </c>
      <c r="K130" s="47">
        <v>0</v>
      </c>
      <c r="L130" s="47">
        <f>M130+N130+O130</f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47">
        <v>0</v>
      </c>
      <c r="X130" s="47">
        <v>0</v>
      </c>
      <c r="Y130" s="47">
        <v>0</v>
      </c>
      <c r="Z130" s="96"/>
      <c r="AA130" s="47">
        <v>0</v>
      </c>
      <c r="AB130" s="47">
        <v>0</v>
      </c>
      <c r="AC130" s="47">
        <v>0</v>
      </c>
      <c r="AD130" s="47">
        <v>0</v>
      </c>
      <c r="AE130" s="47">
        <v>0</v>
      </c>
      <c r="AF130" s="47">
        <v>0</v>
      </c>
      <c r="AG130" s="47">
        <v>0</v>
      </c>
      <c r="AH130" s="47">
        <v>0</v>
      </c>
      <c r="AI130" s="47">
        <v>0</v>
      </c>
      <c r="AJ130" s="47">
        <v>0</v>
      </c>
      <c r="AK130" s="47">
        <v>0</v>
      </c>
      <c r="AL130" s="47">
        <v>0</v>
      </c>
      <c r="AM130" s="47">
        <v>0</v>
      </c>
      <c r="AN130" s="47">
        <v>0</v>
      </c>
      <c r="AO130" s="47">
        <v>0</v>
      </c>
      <c r="AP130" s="397"/>
      <c r="AQ130" s="96"/>
    </row>
    <row r="131" spans="1:43" ht="129" hidden="1" customHeight="1" x14ac:dyDescent="0.25">
      <c r="A131" s="1334"/>
      <c r="B131" s="1619"/>
      <c r="C131" s="1620"/>
      <c r="D131" s="1620"/>
      <c r="E131" s="1620"/>
      <c r="F131" s="1620"/>
      <c r="G131" s="1620"/>
      <c r="H131" s="1621"/>
      <c r="I131" s="23" t="s">
        <v>9</v>
      </c>
      <c r="J131" s="47">
        <v>0</v>
      </c>
      <c r="K131" s="47"/>
      <c r="L131" s="47">
        <f>M131+N131+O131</f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0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47">
        <v>0</v>
      </c>
      <c r="X131" s="47">
        <v>0</v>
      </c>
      <c r="Y131" s="47">
        <v>0</v>
      </c>
      <c r="Z131" s="96"/>
      <c r="AA131" s="47">
        <v>0</v>
      </c>
      <c r="AB131" s="47">
        <v>0</v>
      </c>
      <c r="AC131" s="47">
        <v>0</v>
      </c>
      <c r="AD131" s="47">
        <v>0</v>
      </c>
      <c r="AE131" s="47">
        <v>0</v>
      </c>
      <c r="AF131" s="47">
        <v>0</v>
      </c>
      <c r="AG131" s="47">
        <v>0</v>
      </c>
      <c r="AH131" s="47">
        <v>0</v>
      </c>
      <c r="AI131" s="47">
        <v>0</v>
      </c>
      <c r="AJ131" s="47">
        <v>0</v>
      </c>
      <c r="AK131" s="47">
        <v>0</v>
      </c>
      <c r="AL131" s="47">
        <v>0</v>
      </c>
      <c r="AM131" s="47">
        <v>0</v>
      </c>
      <c r="AN131" s="47">
        <v>0</v>
      </c>
      <c r="AO131" s="47">
        <v>0</v>
      </c>
      <c r="AP131" s="397"/>
      <c r="AQ131" s="96"/>
    </row>
    <row r="132" spans="1:43" s="327" customFormat="1" ht="31.5" customHeight="1" x14ac:dyDescent="0.25">
      <c r="A132" s="789"/>
      <c r="B132" s="772" t="s">
        <v>405</v>
      </c>
      <c r="C132" s="312"/>
      <c r="D132" s="312"/>
      <c r="E132" s="312"/>
      <c r="F132" s="312"/>
      <c r="G132" s="312"/>
      <c r="H132" s="957"/>
      <c r="I132" s="983"/>
      <c r="J132" s="964"/>
      <c r="K132" s="3"/>
      <c r="L132" s="3"/>
      <c r="M132" s="3"/>
      <c r="N132" s="3"/>
      <c r="O132" s="3"/>
      <c r="P132" s="3">
        <f>SUM(P133:P134)</f>
        <v>2820.43</v>
      </c>
      <c r="Q132" s="3">
        <f t="shared" ref="Q132:AA132" si="88">SUM(Q133:Q134)</f>
        <v>0</v>
      </c>
      <c r="R132" s="3">
        <f t="shared" si="88"/>
        <v>0</v>
      </c>
      <c r="S132" s="3">
        <f t="shared" si="88"/>
        <v>0</v>
      </c>
      <c r="T132" s="3">
        <f t="shared" si="88"/>
        <v>0</v>
      </c>
      <c r="U132" s="3">
        <f t="shared" si="88"/>
        <v>0</v>
      </c>
      <c r="V132" s="3">
        <f t="shared" si="88"/>
        <v>0</v>
      </c>
      <c r="W132" s="3">
        <f t="shared" si="88"/>
        <v>0</v>
      </c>
      <c r="X132" s="3">
        <f t="shared" si="88"/>
        <v>0</v>
      </c>
      <c r="Y132" s="3">
        <f t="shared" si="88"/>
        <v>0</v>
      </c>
      <c r="Z132" s="3">
        <f t="shared" si="88"/>
        <v>0</v>
      </c>
      <c r="AA132" s="3">
        <f t="shared" si="88"/>
        <v>0</v>
      </c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18"/>
      <c r="AN132" s="3"/>
      <c r="AO132" s="3"/>
      <c r="AP132" s="633"/>
      <c r="AQ132" s="95"/>
    </row>
    <row r="133" spans="1:43" ht="15.75" x14ac:dyDescent="0.25">
      <c r="A133" s="942"/>
      <c r="B133" s="42" t="s">
        <v>285</v>
      </c>
      <c r="C133" s="976"/>
      <c r="D133" s="976"/>
      <c r="E133" s="976"/>
      <c r="F133" s="976"/>
      <c r="G133" s="976"/>
      <c r="H133" s="977"/>
      <c r="I133" s="943"/>
      <c r="J133" s="4"/>
      <c r="K133" s="47"/>
      <c r="L133" s="47"/>
      <c r="M133" s="47"/>
      <c r="N133" s="47"/>
      <c r="O133" s="47"/>
      <c r="P133" s="47">
        <v>508</v>
      </c>
      <c r="Q133" s="47">
        <v>0</v>
      </c>
      <c r="R133" s="47"/>
      <c r="S133" s="47"/>
      <c r="T133" s="47"/>
      <c r="U133" s="47"/>
      <c r="V133" s="47"/>
      <c r="W133" s="47"/>
      <c r="X133" s="47"/>
      <c r="Y133" s="47"/>
      <c r="Z133" s="96"/>
      <c r="AA133" s="47">
        <v>0</v>
      </c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"/>
      <c r="AN133" s="47"/>
      <c r="AO133" s="47"/>
      <c r="AP133" s="397"/>
      <c r="AQ133" s="96"/>
    </row>
    <row r="134" spans="1:43" ht="17.25" customHeight="1" x14ac:dyDescent="0.25">
      <c r="A134" s="942"/>
      <c r="B134" s="42" t="s">
        <v>213</v>
      </c>
      <c r="C134" s="313"/>
      <c r="D134" s="313"/>
      <c r="E134" s="313"/>
      <c r="F134" s="313"/>
      <c r="G134" s="313"/>
      <c r="H134" s="978"/>
      <c r="I134" s="943"/>
      <c r="J134" s="972"/>
      <c r="K134" s="47"/>
      <c r="L134" s="47"/>
      <c r="M134" s="47"/>
      <c r="N134" s="47"/>
      <c r="O134" s="47"/>
      <c r="P134" s="47">
        <v>2312.4299999999998</v>
      </c>
      <c r="Q134" s="47">
        <v>0</v>
      </c>
      <c r="R134" s="47"/>
      <c r="S134" s="47"/>
      <c r="T134" s="47"/>
      <c r="U134" s="47"/>
      <c r="V134" s="47"/>
      <c r="W134" s="47"/>
      <c r="X134" s="47"/>
      <c r="Y134" s="47"/>
      <c r="Z134" s="96"/>
      <c r="AA134" s="47">
        <v>0</v>
      </c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397"/>
      <c r="AQ134" s="96"/>
    </row>
    <row r="135" spans="1:43" s="327" customFormat="1" ht="31.5" customHeight="1" x14ac:dyDescent="0.25">
      <c r="A135" s="789"/>
      <c r="B135" s="772" t="s">
        <v>406</v>
      </c>
      <c r="C135" s="312"/>
      <c r="D135" s="312"/>
      <c r="E135" s="312"/>
      <c r="F135" s="312"/>
      <c r="G135" s="312"/>
      <c r="H135" s="957"/>
      <c r="I135" s="983"/>
      <c r="J135" s="964"/>
      <c r="K135" s="3"/>
      <c r="L135" s="3"/>
      <c r="M135" s="3"/>
      <c r="N135" s="3"/>
      <c r="O135" s="3"/>
      <c r="P135" s="3">
        <f>SUM(P136:P137)</f>
        <v>3423.47</v>
      </c>
      <c r="Q135" s="3">
        <f t="shared" ref="Q135:AA135" si="89">SUM(Q136:Q137)</f>
        <v>0</v>
      </c>
      <c r="R135" s="3">
        <f t="shared" si="89"/>
        <v>0</v>
      </c>
      <c r="S135" s="3">
        <f t="shared" si="89"/>
        <v>0</v>
      </c>
      <c r="T135" s="3">
        <f t="shared" si="89"/>
        <v>0</v>
      </c>
      <c r="U135" s="3">
        <f t="shared" si="89"/>
        <v>0</v>
      </c>
      <c r="V135" s="3">
        <f t="shared" si="89"/>
        <v>0</v>
      </c>
      <c r="W135" s="3">
        <f t="shared" si="89"/>
        <v>0</v>
      </c>
      <c r="X135" s="3">
        <f t="shared" si="89"/>
        <v>0</v>
      </c>
      <c r="Y135" s="3">
        <f t="shared" si="89"/>
        <v>0</v>
      </c>
      <c r="Z135" s="3">
        <f t="shared" si="89"/>
        <v>0</v>
      </c>
      <c r="AA135" s="3">
        <f t="shared" si="89"/>
        <v>0</v>
      </c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18"/>
      <c r="AN135" s="3"/>
      <c r="AO135" s="3"/>
      <c r="AP135" s="633"/>
      <c r="AQ135" s="95"/>
    </row>
    <row r="136" spans="1:43" ht="15.75" x14ac:dyDescent="0.25">
      <c r="A136" s="942"/>
      <c r="B136" s="42" t="s">
        <v>285</v>
      </c>
      <c r="C136" s="976"/>
      <c r="D136" s="976"/>
      <c r="E136" s="976"/>
      <c r="F136" s="976"/>
      <c r="G136" s="976"/>
      <c r="H136" s="977"/>
      <c r="I136" s="943"/>
      <c r="J136" s="4"/>
      <c r="K136" s="47"/>
      <c r="L136" s="47"/>
      <c r="M136" s="47"/>
      <c r="N136" s="47"/>
      <c r="O136" s="47"/>
      <c r="P136" s="47">
        <v>489</v>
      </c>
      <c r="Q136" s="47">
        <v>0</v>
      </c>
      <c r="R136" s="47"/>
      <c r="S136" s="47"/>
      <c r="T136" s="47"/>
      <c r="U136" s="47"/>
      <c r="V136" s="47"/>
      <c r="W136" s="47"/>
      <c r="X136" s="47"/>
      <c r="Y136" s="47"/>
      <c r="Z136" s="96"/>
      <c r="AA136" s="47">
        <v>0</v>
      </c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"/>
      <c r="AN136" s="47"/>
      <c r="AO136" s="47"/>
      <c r="AP136" s="397"/>
      <c r="AQ136" s="96"/>
    </row>
    <row r="137" spans="1:43" ht="17.25" customHeight="1" x14ac:dyDescent="0.25">
      <c r="A137" s="942"/>
      <c r="B137" s="42" t="s">
        <v>213</v>
      </c>
      <c r="C137" s="313"/>
      <c r="D137" s="313"/>
      <c r="E137" s="313"/>
      <c r="F137" s="313"/>
      <c r="G137" s="313"/>
      <c r="H137" s="978"/>
      <c r="I137" s="943"/>
      <c r="J137" s="972"/>
      <c r="K137" s="47"/>
      <c r="L137" s="47"/>
      <c r="M137" s="47"/>
      <c r="N137" s="47"/>
      <c r="O137" s="47"/>
      <c r="P137" s="47">
        <v>2934.47</v>
      </c>
      <c r="Q137" s="47">
        <v>0</v>
      </c>
      <c r="R137" s="47"/>
      <c r="S137" s="47"/>
      <c r="T137" s="47"/>
      <c r="U137" s="47"/>
      <c r="V137" s="47"/>
      <c r="W137" s="47"/>
      <c r="X137" s="47"/>
      <c r="Y137" s="47"/>
      <c r="Z137" s="96"/>
      <c r="AA137" s="47">
        <v>0</v>
      </c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397"/>
      <c r="AQ137" s="96"/>
    </row>
    <row r="138" spans="1:43" s="327" customFormat="1" ht="30" customHeight="1" x14ac:dyDescent="0.25">
      <c r="A138" s="1372" t="s">
        <v>61</v>
      </c>
      <c r="B138" s="609" t="s">
        <v>88</v>
      </c>
      <c r="C138" s="790"/>
      <c r="D138" s="790"/>
      <c r="E138" s="790"/>
      <c r="F138" s="790"/>
      <c r="G138" s="790"/>
      <c r="H138" s="790"/>
      <c r="I138" s="1463" t="s">
        <v>20</v>
      </c>
      <c r="J138" s="1622">
        <v>4106.3500000000004</v>
      </c>
      <c r="K138" s="3">
        <v>0</v>
      </c>
      <c r="L138" s="3">
        <f>L139+L142</f>
        <v>6022.96</v>
      </c>
      <c r="M138" s="3">
        <f>M139+M142</f>
        <v>0</v>
      </c>
      <c r="N138" s="3">
        <f>N139+N142</f>
        <v>980</v>
      </c>
      <c r="O138" s="3">
        <f>O139+O142</f>
        <v>0</v>
      </c>
      <c r="P138" s="3">
        <f>P139+P142</f>
        <v>420.48</v>
      </c>
      <c r="Q138" s="3">
        <f t="shared" ref="Q138:AO138" si="90">Q139+Q142</f>
        <v>0</v>
      </c>
      <c r="R138" s="3">
        <f t="shared" si="90"/>
        <v>0</v>
      </c>
      <c r="S138" s="3">
        <f t="shared" si="90"/>
        <v>0</v>
      </c>
      <c r="T138" s="3">
        <f t="shared" si="90"/>
        <v>980</v>
      </c>
      <c r="U138" s="3">
        <f t="shared" si="90"/>
        <v>980</v>
      </c>
      <c r="V138" s="3">
        <f t="shared" si="90"/>
        <v>0</v>
      </c>
      <c r="W138" s="3">
        <f t="shared" si="90"/>
        <v>0</v>
      </c>
      <c r="X138" s="3">
        <f t="shared" si="90"/>
        <v>0</v>
      </c>
      <c r="Y138" s="3">
        <f t="shared" si="90"/>
        <v>0</v>
      </c>
      <c r="Z138" s="95">
        <v>0</v>
      </c>
      <c r="AA138" s="3">
        <f t="shared" si="90"/>
        <v>0</v>
      </c>
      <c r="AB138" s="3">
        <f>AB139+AB142</f>
        <v>0</v>
      </c>
      <c r="AC138" s="3">
        <f>AC139+AC142</f>
        <v>0</v>
      </c>
      <c r="AD138" s="3">
        <f>AD139+AD142</f>
        <v>0</v>
      </c>
      <c r="AE138" s="3">
        <f>AE139+AE142</f>
        <v>0</v>
      </c>
      <c r="AF138" s="3">
        <f t="shared" si="90"/>
        <v>0</v>
      </c>
      <c r="AG138" s="3">
        <f t="shared" si="90"/>
        <v>0</v>
      </c>
      <c r="AH138" s="3">
        <f t="shared" si="90"/>
        <v>0</v>
      </c>
      <c r="AI138" s="3">
        <f t="shared" si="90"/>
        <v>0</v>
      </c>
      <c r="AJ138" s="3">
        <f t="shared" si="90"/>
        <v>0</v>
      </c>
      <c r="AK138" s="3">
        <f>P138-Q138</f>
        <v>420.48</v>
      </c>
      <c r="AL138" s="3">
        <f>AK138</f>
        <v>420.48</v>
      </c>
      <c r="AM138" s="318">
        <f>ROUND((Q138*100%/P138*100),2)</f>
        <v>0</v>
      </c>
      <c r="AN138" s="3">
        <f t="shared" si="90"/>
        <v>0</v>
      </c>
      <c r="AO138" s="3">
        <f t="shared" si="90"/>
        <v>0</v>
      </c>
      <c r="AP138" s="633" t="s">
        <v>256</v>
      </c>
      <c r="AQ138" s="95">
        <v>0</v>
      </c>
    </row>
    <row r="139" spans="1:43" x14ac:dyDescent="0.25">
      <c r="A139" s="1382"/>
      <c r="B139" s="23" t="s">
        <v>15</v>
      </c>
      <c r="C139" s="46"/>
      <c r="D139" s="46"/>
      <c r="E139" s="46"/>
      <c r="F139" s="46"/>
      <c r="G139" s="945">
        <v>2019</v>
      </c>
      <c r="H139" s="945">
        <v>2019</v>
      </c>
      <c r="I139" s="1464"/>
      <c r="J139" s="1623"/>
      <c r="K139" s="47"/>
      <c r="L139" s="47">
        <v>1000</v>
      </c>
      <c r="M139" s="47">
        <v>0</v>
      </c>
      <c r="N139" s="47">
        <v>980</v>
      </c>
      <c r="O139" s="47">
        <v>0</v>
      </c>
      <c r="P139" s="47">
        <v>0</v>
      </c>
      <c r="Q139" s="47">
        <v>0</v>
      </c>
      <c r="R139" s="47">
        <f t="shared" ref="R139:AA139" si="91">R140+R141</f>
        <v>0</v>
      </c>
      <c r="S139" s="47">
        <f t="shared" si="91"/>
        <v>0</v>
      </c>
      <c r="T139" s="47">
        <f t="shared" si="91"/>
        <v>980</v>
      </c>
      <c r="U139" s="47">
        <f t="shared" si="91"/>
        <v>980</v>
      </c>
      <c r="V139" s="47">
        <f t="shared" si="91"/>
        <v>0</v>
      </c>
      <c r="W139" s="47">
        <f t="shared" si="91"/>
        <v>0</v>
      </c>
      <c r="X139" s="47">
        <f t="shared" si="91"/>
        <v>0</v>
      </c>
      <c r="Y139" s="47">
        <f t="shared" si="91"/>
        <v>0</v>
      </c>
      <c r="Z139" s="96"/>
      <c r="AA139" s="47">
        <f t="shared" si="91"/>
        <v>0</v>
      </c>
      <c r="AB139" s="47">
        <f>AB140+AB141</f>
        <v>0</v>
      </c>
      <c r="AC139" s="47">
        <f>AC140+AC141</f>
        <v>0</v>
      </c>
      <c r="AD139" s="47">
        <f>AD140+AD141</f>
        <v>0</v>
      </c>
      <c r="AE139" s="47">
        <f>AE140+AE141</f>
        <v>0</v>
      </c>
      <c r="AF139" s="47">
        <v>0</v>
      </c>
      <c r="AG139" s="47">
        <v>0</v>
      </c>
      <c r="AH139" s="47">
        <v>0</v>
      </c>
      <c r="AI139" s="47">
        <v>0</v>
      </c>
      <c r="AJ139" s="47">
        <v>0</v>
      </c>
      <c r="AK139" s="47">
        <v>0</v>
      </c>
      <c r="AL139" s="47">
        <v>0</v>
      </c>
      <c r="AM139" s="47">
        <v>0</v>
      </c>
      <c r="AN139" s="47">
        <v>0</v>
      </c>
      <c r="AO139" s="47">
        <v>0</v>
      </c>
      <c r="AP139" s="397"/>
      <c r="AQ139" s="96"/>
    </row>
    <row r="140" spans="1:43" s="266" customFormat="1" hidden="1" x14ac:dyDescent="0.25">
      <c r="A140" s="1382"/>
      <c r="B140" s="443" t="s">
        <v>251</v>
      </c>
      <c r="C140" s="444"/>
      <c r="D140" s="444"/>
      <c r="E140" s="444"/>
      <c r="F140" s="444"/>
      <c r="G140" s="262"/>
      <c r="H140" s="262"/>
      <c r="I140" s="1464"/>
      <c r="J140" s="1623"/>
      <c r="K140" s="96"/>
      <c r="L140" s="96"/>
      <c r="M140" s="96"/>
      <c r="N140" s="96"/>
      <c r="O140" s="96"/>
      <c r="P140" s="96">
        <v>0</v>
      </c>
      <c r="Q140" s="96">
        <f>S140+U140</f>
        <v>980</v>
      </c>
      <c r="R140" s="96">
        <v>0</v>
      </c>
      <c r="S140" s="96">
        <v>0</v>
      </c>
      <c r="T140" s="96">
        <f>U140</f>
        <v>980</v>
      </c>
      <c r="U140" s="96">
        <v>980</v>
      </c>
      <c r="V140" s="96"/>
      <c r="W140" s="96"/>
      <c r="X140" s="96"/>
      <c r="Y140" s="96"/>
      <c r="Z140" s="96"/>
      <c r="AA140" s="96">
        <f>AB140</f>
        <v>0</v>
      </c>
      <c r="AB140" s="96">
        <v>0</v>
      </c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405"/>
      <c r="AQ140" s="96"/>
    </row>
    <row r="141" spans="1:43" s="266" customFormat="1" hidden="1" x14ac:dyDescent="0.25">
      <c r="A141" s="1382"/>
      <c r="B141" s="443" t="s">
        <v>252</v>
      </c>
      <c r="C141" s="444"/>
      <c r="D141" s="444"/>
      <c r="E141" s="444"/>
      <c r="F141" s="444"/>
      <c r="G141" s="262"/>
      <c r="H141" s="262"/>
      <c r="I141" s="1464"/>
      <c r="J141" s="1623"/>
      <c r="K141" s="96"/>
      <c r="L141" s="96"/>
      <c r="M141" s="96"/>
      <c r="N141" s="96"/>
      <c r="O141" s="96"/>
      <c r="P141" s="96"/>
      <c r="Q141" s="96">
        <f>S141</f>
        <v>0</v>
      </c>
      <c r="R141" s="96">
        <f>S141</f>
        <v>0</v>
      </c>
      <c r="S141" s="96">
        <v>0</v>
      </c>
      <c r="T141" s="96"/>
      <c r="U141" s="96"/>
      <c r="V141" s="96"/>
      <c r="W141" s="96"/>
      <c r="X141" s="96"/>
      <c r="Y141" s="96"/>
      <c r="Z141" s="96"/>
      <c r="AA141" s="96">
        <f>AB141</f>
        <v>0</v>
      </c>
      <c r="AB141" s="96">
        <v>0</v>
      </c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405"/>
      <c r="AQ141" s="96"/>
    </row>
    <row r="142" spans="1:43" x14ac:dyDescent="0.25">
      <c r="A142" s="1383"/>
      <c r="B142" s="23" t="s">
        <v>16</v>
      </c>
      <c r="C142" s="46"/>
      <c r="D142" s="46"/>
      <c r="E142" s="46"/>
      <c r="F142" s="46"/>
      <c r="G142" s="945">
        <v>2020</v>
      </c>
      <c r="H142" s="945">
        <v>2021</v>
      </c>
      <c r="I142" s="1465"/>
      <c r="J142" s="1624"/>
      <c r="K142" s="47"/>
      <c r="L142" s="47">
        <v>5022.96</v>
      </c>
      <c r="M142" s="47">
        <v>0</v>
      </c>
      <c r="N142" s="47">
        <v>0</v>
      </c>
      <c r="O142" s="47">
        <v>0</v>
      </c>
      <c r="P142" s="47">
        <v>420.48</v>
      </c>
      <c r="Q142" s="47">
        <v>0</v>
      </c>
      <c r="R142" s="47">
        <v>0</v>
      </c>
      <c r="S142" s="47">
        <v>0</v>
      </c>
      <c r="T142" s="47">
        <v>0</v>
      </c>
      <c r="U142" s="47">
        <v>0</v>
      </c>
      <c r="V142" s="47">
        <v>0</v>
      </c>
      <c r="W142" s="47">
        <v>0</v>
      </c>
      <c r="X142" s="96">
        <v>0</v>
      </c>
      <c r="Y142" s="96">
        <v>0</v>
      </c>
      <c r="Z142" s="96"/>
      <c r="AA142" s="47">
        <v>0</v>
      </c>
      <c r="AB142" s="47">
        <v>0</v>
      </c>
      <c r="AC142" s="47">
        <v>0</v>
      </c>
      <c r="AD142" s="47">
        <v>0</v>
      </c>
      <c r="AE142" s="47">
        <v>0</v>
      </c>
      <c r="AF142" s="47">
        <v>0</v>
      </c>
      <c r="AG142" s="47">
        <v>0</v>
      </c>
      <c r="AH142" s="47">
        <v>0</v>
      </c>
      <c r="AI142" s="47">
        <v>0</v>
      </c>
      <c r="AJ142" s="47">
        <v>0</v>
      </c>
      <c r="AK142" s="47">
        <v>0</v>
      </c>
      <c r="AL142" s="47">
        <v>0</v>
      </c>
      <c r="AM142" s="47">
        <v>0</v>
      </c>
      <c r="AN142" s="47">
        <v>0</v>
      </c>
      <c r="AO142" s="47">
        <v>0</v>
      </c>
      <c r="AP142" s="397"/>
      <c r="AQ142" s="96"/>
    </row>
    <row r="143" spans="1:43" s="327" customFormat="1" ht="30" customHeight="1" x14ac:dyDescent="0.25">
      <c r="A143" s="1372" t="s">
        <v>61</v>
      </c>
      <c r="B143" s="609" t="s">
        <v>407</v>
      </c>
      <c r="C143" s="790"/>
      <c r="D143" s="790"/>
      <c r="E143" s="790"/>
      <c r="F143" s="790"/>
      <c r="G143" s="790"/>
      <c r="H143" s="790"/>
      <c r="I143" s="1463" t="s">
        <v>20</v>
      </c>
      <c r="J143" s="1622">
        <v>4106.3500000000004</v>
      </c>
      <c r="K143" s="3">
        <v>0</v>
      </c>
      <c r="L143" s="3">
        <f>L144+L147</f>
        <v>6022.96</v>
      </c>
      <c r="M143" s="3">
        <f>M144+M147</f>
        <v>0</v>
      </c>
      <c r="N143" s="3">
        <f>N144+N147</f>
        <v>980</v>
      </c>
      <c r="O143" s="3">
        <f>O144+O147</f>
        <v>0</v>
      </c>
      <c r="P143" s="3">
        <f>P144+P147</f>
        <v>1281.25</v>
      </c>
      <c r="Q143" s="3">
        <f t="shared" ref="Q143:Y143" si="92">Q144+Q147</f>
        <v>0</v>
      </c>
      <c r="R143" s="3">
        <f t="shared" si="92"/>
        <v>0</v>
      </c>
      <c r="S143" s="3">
        <f t="shared" si="92"/>
        <v>0</v>
      </c>
      <c r="T143" s="3">
        <f t="shared" si="92"/>
        <v>980</v>
      </c>
      <c r="U143" s="3">
        <f t="shared" si="92"/>
        <v>980</v>
      </c>
      <c r="V143" s="3">
        <f t="shared" si="92"/>
        <v>0</v>
      </c>
      <c r="W143" s="3">
        <f t="shared" si="92"/>
        <v>0</v>
      </c>
      <c r="X143" s="3">
        <f t="shared" si="92"/>
        <v>0</v>
      </c>
      <c r="Y143" s="3">
        <f t="shared" si="92"/>
        <v>0</v>
      </c>
      <c r="Z143" s="95">
        <v>0</v>
      </c>
      <c r="AA143" s="3">
        <f t="shared" ref="AA143" si="93">AA144+AA147</f>
        <v>0</v>
      </c>
      <c r="AB143" s="3">
        <f>AB144+AB147</f>
        <v>0</v>
      </c>
      <c r="AC143" s="3">
        <f>AC144+AC147</f>
        <v>0</v>
      </c>
      <c r="AD143" s="3">
        <f>AD144+AD147</f>
        <v>0</v>
      </c>
      <c r="AE143" s="3">
        <f>AE144+AE147</f>
        <v>0</v>
      </c>
      <c r="AF143" s="3">
        <f t="shared" ref="AF143:AJ143" si="94">AF144+AF147</f>
        <v>0</v>
      </c>
      <c r="AG143" s="3">
        <f t="shared" si="94"/>
        <v>0</v>
      </c>
      <c r="AH143" s="3">
        <f t="shared" si="94"/>
        <v>0</v>
      </c>
      <c r="AI143" s="3">
        <f t="shared" si="94"/>
        <v>0</v>
      </c>
      <c r="AJ143" s="3">
        <f t="shared" si="94"/>
        <v>0</v>
      </c>
      <c r="AK143" s="3">
        <f>P143-Q143</f>
        <v>1281.25</v>
      </c>
      <c r="AL143" s="3">
        <f>AK143</f>
        <v>1281.25</v>
      </c>
      <c r="AM143" s="318">
        <f>ROUND((Q143*100%/P143*100),2)</f>
        <v>0</v>
      </c>
      <c r="AN143" s="3">
        <f t="shared" ref="AN143:AO143" si="95">AN144+AN147</f>
        <v>0</v>
      </c>
      <c r="AO143" s="3">
        <f t="shared" si="95"/>
        <v>0</v>
      </c>
      <c r="AP143" s="633" t="s">
        <v>256</v>
      </c>
      <c r="AQ143" s="95">
        <v>0</v>
      </c>
    </row>
    <row r="144" spans="1:43" x14ac:dyDescent="0.25">
      <c r="A144" s="1382"/>
      <c r="B144" s="23" t="s">
        <v>15</v>
      </c>
      <c r="C144" s="46"/>
      <c r="D144" s="46"/>
      <c r="E144" s="46"/>
      <c r="F144" s="46"/>
      <c r="G144" s="945">
        <v>2019</v>
      </c>
      <c r="H144" s="945">
        <v>2019</v>
      </c>
      <c r="I144" s="1464"/>
      <c r="J144" s="1623"/>
      <c r="K144" s="47"/>
      <c r="L144" s="47">
        <v>1000</v>
      </c>
      <c r="M144" s="47">
        <v>0</v>
      </c>
      <c r="N144" s="47">
        <v>980</v>
      </c>
      <c r="O144" s="47">
        <v>0</v>
      </c>
      <c r="P144" s="47">
        <v>377.91</v>
      </c>
      <c r="Q144" s="47">
        <v>0</v>
      </c>
      <c r="R144" s="47">
        <f t="shared" ref="R144:Y144" si="96">R145+R146</f>
        <v>0</v>
      </c>
      <c r="S144" s="47">
        <f t="shared" si="96"/>
        <v>0</v>
      </c>
      <c r="T144" s="47">
        <f t="shared" si="96"/>
        <v>980</v>
      </c>
      <c r="U144" s="47">
        <f t="shared" si="96"/>
        <v>980</v>
      </c>
      <c r="V144" s="47">
        <f t="shared" si="96"/>
        <v>0</v>
      </c>
      <c r="W144" s="47">
        <f t="shared" si="96"/>
        <v>0</v>
      </c>
      <c r="X144" s="47">
        <f t="shared" si="96"/>
        <v>0</v>
      </c>
      <c r="Y144" s="47">
        <f t="shared" si="96"/>
        <v>0</v>
      </c>
      <c r="Z144" s="96"/>
      <c r="AA144" s="47">
        <f t="shared" ref="AA144" si="97">AA145+AA146</f>
        <v>0</v>
      </c>
      <c r="AB144" s="47">
        <f>AB145+AB146</f>
        <v>0</v>
      </c>
      <c r="AC144" s="47">
        <f>AC145+AC146</f>
        <v>0</v>
      </c>
      <c r="AD144" s="47">
        <f>AD145+AD146</f>
        <v>0</v>
      </c>
      <c r="AE144" s="47">
        <f>AE145+AE146</f>
        <v>0</v>
      </c>
      <c r="AF144" s="47">
        <v>0</v>
      </c>
      <c r="AG144" s="47">
        <v>0</v>
      </c>
      <c r="AH144" s="47">
        <v>0</v>
      </c>
      <c r="AI144" s="47">
        <v>0</v>
      </c>
      <c r="AJ144" s="47">
        <v>0</v>
      </c>
      <c r="AK144" s="47">
        <v>0</v>
      </c>
      <c r="AL144" s="47">
        <v>0</v>
      </c>
      <c r="AM144" s="47">
        <v>0</v>
      </c>
      <c r="AN144" s="47">
        <v>0</v>
      </c>
      <c r="AO144" s="47">
        <v>0</v>
      </c>
      <c r="AP144" s="397"/>
      <c r="AQ144" s="96"/>
    </row>
    <row r="145" spans="1:43" s="266" customFormat="1" hidden="1" x14ac:dyDescent="0.25">
      <c r="A145" s="1382"/>
      <c r="B145" s="443" t="s">
        <v>251</v>
      </c>
      <c r="C145" s="444"/>
      <c r="D145" s="444"/>
      <c r="E145" s="444"/>
      <c r="F145" s="444"/>
      <c r="G145" s="262"/>
      <c r="H145" s="262"/>
      <c r="I145" s="1464"/>
      <c r="J145" s="1623"/>
      <c r="K145" s="96"/>
      <c r="L145" s="96"/>
      <c r="M145" s="96"/>
      <c r="N145" s="96"/>
      <c r="O145" s="96"/>
      <c r="P145" s="96">
        <v>0</v>
      </c>
      <c r="Q145" s="96">
        <f>S145+U145</f>
        <v>980</v>
      </c>
      <c r="R145" s="96">
        <v>0</v>
      </c>
      <c r="S145" s="96">
        <v>0</v>
      </c>
      <c r="T145" s="96">
        <f>U145</f>
        <v>980</v>
      </c>
      <c r="U145" s="96">
        <v>980</v>
      </c>
      <c r="V145" s="96"/>
      <c r="W145" s="96"/>
      <c r="X145" s="96"/>
      <c r="Y145" s="96"/>
      <c r="Z145" s="96"/>
      <c r="AA145" s="96">
        <f>AB145</f>
        <v>0</v>
      </c>
      <c r="AB145" s="96">
        <v>0</v>
      </c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405"/>
      <c r="AQ145" s="96"/>
    </row>
    <row r="146" spans="1:43" s="266" customFormat="1" hidden="1" x14ac:dyDescent="0.25">
      <c r="A146" s="1382"/>
      <c r="B146" s="443" t="s">
        <v>252</v>
      </c>
      <c r="C146" s="444"/>
      <c r="D146" s="444"/>
      <c r="E146" s="444"/>
      <c r="F146" s="444"/>
      <c r="G146" s="262"/>
      <c r="H146" s="262"/>
      <c r="I146" s="1464"/>
      <c r="J146" s="1623"/>
      <c r="K146" s="96"/>
      <c r="L146" s="96"/>
      <c r="M146" s="96"/>
      <c r="N146" s="96"/>
      <c r="O146" s="96"/>
      <c r="P146" s="96"/>
      <c r="Q146" s="96">
        <f>S146</f>
        <v>0</v>
      </c>
      <c r="R146" s="96">
        <f>S146</f>
        <v>0</v>
      </c>
      <c r="S146" s="96">
        <v>0</v>
      </c>
      <c r="T146" s="96"/>
      <c r="U146" s="96"/>
      <c r="V146" s="96"/>
      <c r="W146" s="96"/>
      <c r="X146" s="96"/>
      <c r="Y146" s="96"/>
      <c r="Z146" s="96"/>
      <c r="AA146" s="96">
        <f>AB146</f>
        <v>0</v>
      </c>
      <c r="AB146" s="96">
        <v>0</v>
      </c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405"/>
      <c r="AQ146" s="96"/>
    </row>
    <row r="147" spans="1:43" x14ac:dyDescent="0.25">
      <c r="A147" s="1383"/>
      <c r="B147" s="23" t="s">
        <v>16</v>
      </c>
      <c r="C147" s="46"/>
      <c r="D147" s="46"/>
      <c r="E147" s="46"/>
      <c r="F147" s="46"/>
      <c r="G147" s="945">
        <v>2020</v>
      </c>
      <c r="H147" s="945">
        <v>2021</v>
      </c>
      <c r="I147" s="1465"/>
      <c r="J147" s="1624"/>
      <c r="K147" s="47"/>
      <c r="L147" s="47">
        <v>5022.96</v>
      </c>
      <c r="M147" s="47">
        <v>0</v>
      </c>
      <c r="N147" s="47">
        <v>0</v>
      </c>
      <c r="O147" s="47">
        <v>0</v>
      </c>
      <c r="P147" s="47">
        <v>903.34</v>
      </c>
      <c r="Q147" s="47">
        <v>0</v>
      </c>
      <c r="R147" s="47">
        <v>0</v>
      </c>
      <c r="S147" s="47">
        <v>0</v>
      </c>
      <c r="T147" s="47">
        <v>0</v>
      </c>
      <c r="U147" s="47">
        <v>0</v>
      </c>
      <c r="V147" s="47">
        <v>0</v>
      </c>
      <c r="W147" s="47">
        <v>0</v>
      </c>
      <c r="X147" s="96">
        <v>0</v>
      </c>
      <c r="Y147" s="96">
        <v>0</v>
      </c>
      <c r="Z147" s="96"/>
      <c r="AA147" s="47">
        <v>0</v>
      </c>
      <c r="AB147" s="47">
        <v>0</v>
      </c>
      <c r="AC147" s="47">
        <v>0</v>
      </c>
      <c r="AD147" s="47">
        <v>0</v>
      </c>
      <c r="AE147" s="47">
        <v>0</v>
      </c>
      <c r="AF147" s="47">
        <v>0</v>
      </c>
      <c r="AG147" s="47">
        <v>0</v>
      </c>
      <c r="AH147" s="47">
        <v>0</v>
      </c>
      <c r="AI147" s="47">
        <v>0</v>
      </c>
      <c r="AJ147" s="47">
        <v>0</v>
      </c>
      <c r="AK147" s="47">
        <v>0</v>
      </c>
      <c r="AL147" s="47">
        <v>0</v>
      </c>
      <c r="AM147" s="47">
        <v>0</v>
      </c>
      <c r="AN147" s="47">
        <v>0</v>
      </c>
      <c r="AO147" s="47">
        <v>0</v>
      </c>
      <c r="AP147" s="397"/>
      <c r="AQ147" s="96"/>
    </row>
    <row r="148" spans="1:43" s="327" customFormat="1" ht="30" customHeight="1" x14ac:dyDescent="0.25">
      <c r="A148" s="1372" t="s">
        <v>61</v>
      </c>
      <c r="B148" s="609" t="s">
        <v>408</v>
      </c>
      <c r="C148" s="790"/>
      <c r="D148" s="790"/>
      <c r="E148" s="790"/>
      <c r="F148" s="790"/>
      <c r="G148" s="790"/>
      <c r="H148" s="790"/>
      <c r="I148" s="1463" t="s">
        <v>20</v>
      </c>
      <c r="J148" s="1622">
        <v>4106.3500000000004</v>
      </c>
      <c r="K148" s="3">
        <v>0</v>
      </c>
      <c r="L148" s="3">
        <f>L149+L152</f>
        <v>6022.96</v>
      </c>
      <c r="M148" s="3">
        <f>M149+M152</f>
        <v>0</v>
      </c>
      <c r="N148" s="3">
        <f>N149+N152</f>
        <v>980</v>
      </c>
      <c r="O148" s="3">
        <f>O149+O152</f>
        <v>0</v>
      </c>
      <c r="P148" s="3">
        <f>P149+P152</f>
        <v>1281.2539999999999</v>
      </c>
      <c r="Q148" s="3">
        <f t="shared" ref="Q148:Y148" si="98">Q149+Q152</f>
        <v>0</v>
      </c>
      <c r="R148" s="3">
        <f t="shared" si="98"/>
        <v>0</v>
      </c>
      <c r="S148" s="3">
        <f t="shared" si="98"/>
        <v>0</v>
      </c>
      <c r="T148" s="3">
        <f t="shared" si="98"/>
        <v>980</v>
      </c>
      <c r="U148" s="3">
        <f t="shared" si="98"/>
        <v>980</v>
      </c>
      <c r="V148" s="3">
        <f t="shared" si="98"/>
        <v>0</v>
      </c>
      <c r="W148" s="3">
        <f t="shared" si="98"/>
        <v>0</v>
      </c>
      <c r="X148" s="3">
        <f t="shared" si="98"/>
        <v>0</v>
      </c>
      <c r="Y148" s="3">
        <f t="shared" si="98"/>
        <v>0</v>
      </c>
      <c r="Z148" s="95">
        <v>0</v>
      </c>
      <c r="AA148" s="3">
        <f t="shared" ref="AA148" si="99">AA149+AA152</f>
        <v>0</v>
      </c>
      <c r="AB148" s="3">
        <f>AB149+AB152</f>
        <v>0</v>
      </c>
      <c r="AC148" s="3">
        <f>AC149+AC152</f>
        <v>0</v>
      </c>
      <c r="AD148" s="3">
        <f>AD149+AD152</f>
        <v>0</v>
      </c>
      <c r="AE148" s="3">
        <f>AE149+AE152</f>
        <v>0</v>
      </c>
      <c r="AF148" s="3">
        <f t="shared" ref="AF148:AJ148" si="100">AF149+AF152</f>
        <v>0</v>
      </c>
      <c r="AG148" s="3">
        <f t="shared" si="100"/>
        <v>0</v>
      </c>
      <c r="AH148" s="3">
        <f t="shared" si="100"/>
        <v>0</v>
      </c>
      <c r="AI148" s="3">
        <f t="shared" si="100"/>
        <v>0</v>
      </c>
      <c r="AJ148" s="3">
        <f t="shared" si="100"/>
        <v>0</v>
      </c>
      <c r="AK148" s="3">
        <f>P148-Q148</f>
        <v>1281.2539999999999</v>
      </c>
      <c r="AL148" s="3">
        <f>AK148</f>
        <v>1281.2539999999999</v>
      </c>
      <c r="AM148" s="318">
        <f>ROUND((Q148*100%/P148*100),2)</f>
        <v>0</v>
      </c>
      <c r="AN148" s="3">
        <f t="shared" ref="AN148:AO148" si="101">AN149+AN152</f>
        <v>0</v>
      </c>
      <c r="AO148" s="3">
        <f t="shared" si="101"/>
        <v>0</v>
      </c>
      <c r="AP148" s="633" t="s">
        <v>256</v>
      </c>
      <c r="AQ148" s="95">
        <v>0</v>
      </c>
    </row>
    <row r="149" spans="1:43" x14ac:dyDescent="0.25">
      <c r="A149" s="1382"/>
      <c r="B149" s="23" t="s">
        <v>15</v>
      </c>
      <c r="C149" s="46"/>
      <c r="D149" s="46"/>
      <c r="E149" s="46"/>
      <c r="F149" s="46"/>
      <c r="G149" s="945">
        <v>2019</v>
      </c>
      <c r="H149" s="945">
        <v>2019</v>
      </c>
      <c r="I149" s="1464"/>
      <c r="J149" s="1623"/>
      <c r="K149" s="47"/>
      <c r="L149" s="47">
        <v>1000</v>
      </c>
      <c r="M149" s="47">
        <v>0</v>
      </c>
      <c r="N149" s="47">
        <v>980</v>
      </c>
      <c r="O149" s="47">
        <v>0</v>
      </c>
      <c r="P149" s="47">
        <v>377.91399999999999</v>
      </c>
      <c r="Q149" s="47">
        <v>0</v>
      </c>
      <c r="R149" s="47">
        <f t="shared" ref="R149:Y149" si="102">R150+R151</f>
        <v>0</v>
      </c>
      <c r="S149" s="47">
        <f t="shared" si="102"/>
        <v>0</v>
      </c>
      <c r="T149" s="47">
        <f t="shared" si="102"/>
        <v>980</v>
      </c>
      <c r="U149" s="47">
        <f t="shared" si="102"/>
        <v>980</v>
      </c>
      <c r="V149" s="47">
        <f t="shared" si="102"/>
        <v>0</v>
      </c>
      <c r="W149" s="47">
        <f t="shared" si="102"/>
        <v>0</v>
      </c>
      <c r="X149" s="47">
        <f t="shared" si="102"/>
        <v>0</v>
      </c>
      <c r="Y149" s="47">
        <f t="shared" si="102"/>
        <v>0</v>
      </c>
      <c r="Z149" s="96"/>
      <c r="AA149" s="47">
        <f t="shared" ref="AA149" si="103">AA150+AA151</f>
        <v>0</v>
      </c>
      <c r="AB149" s="47">
        <f>AB150+AB151</f>
        <v>0</v>
      </c>
      <c r="AC149" s="47">
        <f>AC150+AC151</f>
        <v>0</v>
      </c>
      <c r="AD149" s="47">
        <f>AD150+AD151</f>
        <v>0</v>
      </c>
      <c r="AE149" s="47">
        <f>AE150+AE151</f>
        <v>0</v>
      </c>
      <c r="AF149" s="47">
        <v>0</v>
      </c>
      <c r="AG149" s="47">
        <v>0</v>
      </c>
      <c r="AH149" s="47">
        <v>0</v>
      </c>
      <c r="AI149" s="47">
        <v>0</v>
      </c>
      <c r="AJ149" s="47">
        <v>0</v>
      </c>
      <c r="AK149" s="47">
        <v>0</v>
      </c>
      <c r="AL149" s="47">
        <v>0</v>
      </c>
      <c r="AM149" s="47">
        <v>0</v>
      </c>
      <c r="AN149" s="47">
        <v>0</v>
      </c>
      <c r="AO149" s="47">
        <v>0</v>
      </c>
      <c r="AP149" s="397"/>
      <c r="AQ149" s="96"/>
    </row>
    <row r="150" spans="1:43" s="266" customFormat="1" hidden="1" x14ac:dyDescent="0.25">
      <c r="A150" s="1382"/>
      <c r="B150" s="443" t="s">
        <v>251</v>
      </c>
      <c r="C150" s="444"/>
      <c r="D150" s="444"/>
      <c r="E150" s="444"/>
      <c r="F150" s="444"/>
      <c r="G150" s="262"/>
      <c r="H150" s="262"/>
      <c r="I150" s="1464"/>
      <c r="J150" s="1623"/>
      <c r="K150" s="96"/>
      <c r="L150" s="96"/>
      <c r="M150" s="96"/>
      <c r="N150" s="96"/>
      <c r="O150" s="96"/>
      <c r="P150" s="96">
        <v>0</v>
      </c>
      <c r="Q150" s="96">
        <f>S150+U150</f>
        <v>980</v>
      </c>
      <c r="R150" s="96">
        <v>0</v>
      </c>
      <c r="S150" s="96">
        <v>0</v>
      </c>
      <c r="T150" s="96">
        <f>U150</f>
        <v>980</v>
      </c>
      <c r="U150" s="96">
        <v>980</v>
      </c>
      <c r="V150" s="96"/>
      <c r="W150" s="96"/>
      <c r="X150" s="96"/>
      <c r="Y150" s="96"/>
      <c r="Z150" s="96"/>
      <c r="AA150" s="96">
        <f>AB150</f>
        <v>0</v>
      </c>
      <c r="AB150" s="96">
        <v>0</v>
      </c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405"/>
      <c r="AQ150" s="96"/>
    </row>
    <row r="151" spans="1:43" s="266" customFormat="1" hidden="1" x14ac:dyDescent="0.25">
      <c r="A151" s="1382"/>
      <c r="B151" s="443" t="s">
        <v>252</v>
      </c>
      <c r="C151" s="444"/>
      <c r="D151" s="444"/>
      <c r="E151" s="444"/>
      <c r="F151" s="444"/>
      <c r="G151" s="262"/>
      <c r="H151" s="262"/>
      <c r="I151" s="1464"/>
      <c r="J151" s="1623"/>
      <c r="K151" s="96"/>
      <c r="L151" s="96"/>
      <c r="M151" s="96"/>
      <c r="N151" s="96"/>
      <c r="O151" s="96"/>
      <c r="P151" s="96"/>
      <c r="Q151" s="96">
        <f>S151</f>
        <v>0</v>
      </c>
      <c r="R151" s="96">
        <f>S151</f>
        <v>0</v>
      </c>
      <c r="S151" s="96">
        <v>0</v>
      </c>
      <c r="T151" s="96"/>
      <c r="U151" s="96"/>
      <c r="V151" s="96"/>
      <c r="W151" s="96"/>
      <c r="X151" s="96"/>
      <c r="Y151" s="96"/>
      <c r="Z151" s="96"/>
      <c r="AA151" s="96">
        <f>AB151</f>
        <v>0</v>
      </c>
      <c r="AB151" s="96">
        <v>0</v>
      </c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405"/>
      <c r="AQ151" s="96"/>
    </row>
    <row r="152" spans="1:43" x14ac:dyDescent="0.25">
      <c r="A152" s="1383"/>
      <c r="B152" s="23" t="s">
        <v>16</v>
      </c>
      <c r="C152" s="46"/>
      <c r="D152" s="46"/>
      <c r="E152" s="46"/>
      <c r="F152" s="46"/>
      <c r="G152" s="945">
        <v>2020</v>
      </c>
      <c r="H152" s="945">
        <v>2021</v>
      </c>
      <c r="I152" s="1465"/>
      <c r="J152" s="1624"/>
      <c r="K152" s="47"/>
      <c r="L152" s="47">
        <v>5022.96</v>
      </c>
      <c r="M152" s="47">
        <v>0</v>
      </c>
      <c r="N152" s="47">
        <v>0</v>
      </c>
      <c r="O152" s="47">
        <v>0</v>
      </c>
      <c r="P152" s="47">
        <v>903.34</v>
      </c>
      <c r="Q152" s="47">
        <v>0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47">
        <v>0</v>
      </c>
      <c r="X152" s="96">
        <v>0</v>
      </c>
      <c r="Y152" s="96">
        <v>0</v>
      </c>
      <c r="Z152" s="96"/>
      <c r="AA152" s="47">
        <v>0</v>
      </c>
      <c r="AB152" s="47">
        <v>0</v>
      </c>
      <c r="AC152" s="47">
        <v>0</v>
      </c>
      <c r="AD152" s="47">
        <v>0</v>
      </c>
      <c r="AE152" s="47">
        <v>0</v>
      </c>
      <c r="AF152" s="47">
        <v>0</v>
      </c>
      <c r="AG152" s="47">
        <v>0</v>
      </c>
      <c r="AH152" s="47">
        <v>0</v>
      </c>
      <c r="AI152" s="47">
        <v>0</v>
      </c>
      <c r="AJ152" s="47">
        <v>0</v>
      </c>
      <c r="AK152" s="47">
        <v>0</v>
      </c>
      <c r="AL152" s="47">
        <v>0</v>
      </c>
      <c r="AM152" s="47">
        <v>0</v>
      </c>
      <c r="AN152" s="47">
        <v>0</v>
      </c>
      <c r="AO152" s="47">
        <v>0</v>
      </c>
      <c r="AP152" s="397"/>
      <c r="AQ152" s="96"/>
    </row>
    <row r="153" spans="1:43" ht="15.75" x14ac:dyDescent="0.25">
      <c r="A153" s="949"/>
      <c r="B153" s="791"/>
      <c r="C153" s="792"/>
      <c r="D153" s="792"/>
      <c r="E153" s="792"/>
      <c r="F153" s="792"/>
      <c r="G153" s="313"/>
      <c r="H153" s="313"/>
      <c r="I153" s="793"/>
      <c r="J153" s="794"/>
      <c r="K153" s="795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7"/>
      <c r="Y153" s="797"/>
      <c r="Z153" s="797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8"/>
      <c r="AQ153" s="797"/>
    </row>
    <row r="154" spans="1:43" s="925" customFormat="1" ht="15.75" x14ac:dyDescent="0.25">
      <c r="A154" s="929" t="s">
        <v>13</v>
      </c>
      <c r="B154" s="926"/>
      <c r="C154" s="927"/>
      <c r="D154" s="927"/>
      <c r="E154" s="927"/>
      <c r="F154" s="927"/>
      <c r="G154" s="927"/>
      <c r="H154" s="927"/>
      <c r="I154" s="927"/>
      <c r="J154" s="927"/>
      <c r="K154" s="927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30"/>
      <c r="AQ154" s="928"/>
    </row>
    <row r="155" spans="1:43" s="934" customFormat="1" ht="12.75" x14ac:dyDescent="0.2">
      <c r="A155" s="1604" t="s">
        <v>443</v>
      </c>
      <c r="B155" s="1605"/>
      <c r="C155" s="1605"/>
      <c r="D155" s="1605"/>
      <c r="E155" s="1605"/>
      <c r="F155" s="1605"/>
      <c r="G155" s="1605"/>
      <c r="H155" s="1606"/>
      <c r="I155" s="931" t="s">
        <v>21</v>
      </c>
      <c r="J155" s="932">
        <f t="shared" ref="J155:AO155" si="104">J156+J157+J158+J159</f>
        <v>165965.11999999997</v>
      </c>
      <c r="K155" s="932">
        <f t="shared" si="104"/>
        <v>25354.1</v>
      </c>
      <c r="L155" s="932">
        <f t="shared" si="104"/>
        <v>1042119.19</v>
      </c>
      <c r="M155" s="932">
        <f t="shared" si="104"/>
        <v>571026.48</v>
      </c>
      <c r="N155" s="932">
        <f t="shared" si="104"/>
        <v>616839.18000000005</v>
      </c>
      <c r="O155" s="932">
        <f t="shared" si="104"/>
        <v>381271.67000000004</v>
      </c>
      <c r="P155" s="932">
        <f>P164+P167+P171+P180+P184+P187+P208+P213+P219+P225+P227+P238+P249+P252+P257+P260+P267+P269+P273+P278+P285+P288+P195+P198+P201+P229+P235+P242+P298+P308+P311</f>
        <v>292742.20000000007</v>
      </c>
      <c r="Q155" s="932">
        <f>Q164+Q167+Q171+Q180+Q184+Q187+Q208+Q213+Q219+Q225+Q227+Q238+Q249+Q252+Q257+Q260+Q267+Q269+Q273+Q278+Q285+Q288+Q195+Q198+Q201+Q229+Q235+Q242+Q298+Q308+Q311</f>
        <v>31323.775440000001</v>
      </c>
      <c r="R155" s="932">
        <f t="shared" ref="R155:AA155" si="105">R164+R167+R171+R180+R184+R187+R208+R213+R219+R225+R227+R238+R249+R252+R257+R260+R267+R269+R273+R278+R285+R288+R195+R198+R201+R229+R235+R242+R298+R308+R311</f>
        <v>23233.600000000002</v>
      </c>
      <c r="S155" s="932">
        <f t="shared" si="105"/>
        <v>26233.599999999999</v>
      </c>
      <c r="T155" s="932">
        <f t="shared" si="105"/>
        <v>25740.546000000002</v>
      </c>
      <c r="U155" s="932">
        <f t="shared" si="105"/>
        <v>27949.284000000003</v>
      </c>
      <c r="V155" s="932">
        <f t="shared" si="105"/>
        <v>54714.664999999994</v>
      </c>
      <c r="W155" s="932">
        <f t="shared" si="105"/>
        <v>55653.578999999998</v>
      </c>
      <c r="X155" s="932">
        <f t="shared" si="105"/>
        <v>21705.95</v>
      </c>
      <c r="Y155" s="932">
        <f t="shared" si="105"/>
        <v>21705.95</v>
      </c>
      <c r="Z155" s="932">
        <f t="shared" si="105"/>
        <v>21705.95</v>
      </c>
      <c r="AA155" s="932">
        <f t="shared" si="105"/>
        <v>46751.057910000003</v>
      </c>
      <c r="AB155" s="932">
        <f t="shared" si="104"/>
        <v>20471.075000000001</v>
      </c>
      <c r="AC155" s="932">
        <f t="shared" si="104"/>
        <v>35341.406000000003</v>
      </c>
      <c r="AD155" s="932">
        <f t="shared" si="104"/>
        <v>69790.480890000006</v>
      </c>
      <c r="AE155" s="932">
        <f t="shared" si="104"/>
        <v>0</v>
      </c>
      <c r="AF155" s="932">
        <f t="shared" si="104"/>
        <v>0</v>
      </c>
      <c r="AG155" s="932">
        <f t="shared" si="104"/>
        <v>0</v>
      </c>
      <c r="AH155" s="932">
        <f t="shared" si="104"/>
        <v>0</v>
      </c>
      <c r="AI155" s="932">
        <f t="shared" si="104"/>
        <v>0</v>
      </c>
      <c r="AJ155" s="932">
        <f t="shared" si="104"/>
        <v>0</v>
      </c>
      <c r="AK155" s="932">
        <f t="shared" si="104"/>
        <v>147648.24</v>
      </c>
      <c r="AL155" s="932">
        <f t="shared" si="104"/>
        <v>147648.24</v>
      </c>
      <c r="AM155" s="932" t="e">
        <f t="shared" si="104"/>
        <v>#DIV/0!</v>
      </c>
      <c r="AN155" s="932">
        <f t="shared" si="104"/>
        <v>0</v>
      </c>
      <c r="AO155" s="932">
        <f t="shared" si="104"/>
        <v>0</v>
      </c>
      <c r="AP155" s="933"/>
      <c r="AQ155" s="932">
        <f>AQ164+AQ167+AQ171+AQ180+AQ184+AQ187+AQ208+AQ213+AQ219+AQ225+AQ227+AQ238+AQ249+AQ252+AQ257+AQ260+AQ267+AQ269+AQ273+AQ278+AQ285+AQ288</f>
        <v>4894.7240000000002</v>
      </c>
    </row>
    <row r="156" spans="1:43" s="615" customFormat="1" ht="58.5" hidden="1" customHeight="1" x14ac:dyDescent="0.2">
      <c r="A156" s="1607"/>
      <c r="B156" s="1608"/>
      <c r="C156" s="1608"/>
      <c r="D156" s="1608"/>
      <c r="E156" s="1608"/>
      <c r="F156" s="1608"/>
      <c r="G156" s="1608"/>
      <c r="H156" s="1609"/>
      <c r="I156" s="23" t="s">
        <v>19</v>
      </c>
      <c r="J156" s="71">
        <f t="shared" ref="J156:AO159" si="106">J160+J204+J231</f>
        <v>152888.53999999998</v>
      </c>
      <c r="K156" s="71">
        <f t="shared" si="106"/>
        <v>25354.1</v>
      </c>
      <c r="L156" s="47">
        <f t="shared" si="106"/>
        <v>193023.18</v>
      </c>
      <c r="M156" s="47">
        <f t="shared" si="106"/>
        <v>42443.12</v>
      </c>
      <c r="N156" s="47">
        <f t="shared" si="106"/>
        <v>35331.160000000003</v>
      </c>
      <c r="O156" s="47">
        <f t="shared" si="106"/>
        <v>29531.94</v>
      </c>
      <c r="P156" s="47">
        <f t="shared" si="106"/>
        <v>100162.01</v>
      </c>
      <c r="Q156" s="47">
        <f t="shared" si="106"/>
        <v>0</v>
      </c>
      <c r="R156" s="47">
        <f t="shared" si="106"/>
        <v>743.47199999999998</v>
      </c>
      <c r="S156" s="47">
        <f t="shared" si="106"/>
        <v>3743.4719999999998</v>
      </c>
      <c r="T156" s="47">
        <f t="shared" si="106"/>
        <v>31.5</v>
      </c>
      <c r="U156" s="47">
        <f t="shared" si="106"/>
        <v>2236.8380000000002</v>
      </c>
      <c r="V156" s="47">
        <f t="shared" si="106"/>
        <v>0</v>
      </c>
      <c r="W156" s="47">
        <f t="shared" si="106"/>
        <v>0</v>
      </c>
      <c r="X156" s="47">
        <f t="shared" si="106"/>
        <v>0</v>
      </c>
      <c r="Y156" s="47">
        <f t="shared" si="106"/>
        <v>0</v>
      </c>
      <c r="Z156" s="96"/>
      <c r="AA156" s="47">
        <f t="shared" si="106"/>
        <v>0</v>
      </c>
      <c r="AB156" s="47">
        <f t="shared" si="106"/>
        <v>2948.8069999999998</v>
      </c>
      <c r="AC156" s="47">
        <f t="shared" si="106"/>
        <v>0</v>
      </c>
      <c r="AD156" s="47">
        <f t="shared" si="106"/>
        <v>31.5</v>
      </c>
      <c r="AE156" s="47">
        <f t="shared" si="106"/>
        <v>0</v>
      </c>
      <c r="AF156" s="47">
        <f t="shared" si="106"/>
        <v>0</v>
      </c>
      <c r="AG156" s="47">
        <f t="shared" si="106"/>
        <v>0</v>
      </c>
      <c r="AH156" s="47">
        <f t="shared" si="106"/>
        <v>0</v>
      </c>
      <c r="AI156" s="47">
        <f t="shared" si="106"/>
        <v>0</v>
      </c>
      <c r="AJ156" s="47">
        <f t="shared" si="106"/>
        <v>0</v>
      </c>
      <c r="AK156" s="47">
        <f t="shared" si="106"/>
        <v>28946.75</v>
      </c>
      <c r="AL156" s="47">
        <f t="shared" si="106"/>
        <v>28946.75</v>
      </c>
      <c r="AM156" s="47" t="e">
        <f t="shared" si="106"/>
        <v>#DIV/0!</v>
      </c>
      <c r="AN156" s="47">
        <f t="shared" si="106"/>
        <v>0</v>
      </c>
      <c r="AO156" s="47">
        <f t="shared" si="106"/>
        <v>0</v>
      </c>
      <c r="AP156" s="397"/>
      <c r="AQ156" s="96"/>
    </row>
    <row r="157" spans="1:43" s="615" customFormat="1" ht="45.75" hidden="1" customHeight="1" x14ac:dyDescent="0.2">
      <c r="A157" s="1607"/>
      <c r="B157" s="1608"/>
      <c r="C157" s="1608"/>
      <c r="D157" s="1608"/>
      <c r="E157" s="1608"/>
      <c r="F157" s="1608"/>
      <c r="G157" s="1608"/>
      <c r="H157" s="1609"/>
      <c r="I157" s="23" t="s">
        <v>20</v>
      </c>
      <c r="J157" s="71">
        <f t="shared" si="106"/>
        <v>13076.579999999998</v>
      </c>
      <c r="K157" s="71">
        <f t="shared" si="106"/>
        <v>0</v>
      </c>
      <c r="L157" s="47">
        <f t="shared" ref="L157:Y158" si="107">L161+L205+L232+L246</f>
        <v>353562.91999999993</v>
      </c>
      <c r="M157" s="47">
        <f t="shared" si="107"/>
        <v>36205.620000000003</v>
      </c>
      <c r="N157" s="47">
        <f t="shared" si="107"/>
        <v>88280.380000000019</v>
      </c>
      <c r="O157" s="47">
        <f t="shared" si="107"/>
        <v>53996.09</v>
      </c>
      <c r="P157" s="47">
        <f t="shared" si="107"/>
        <v>132010.46000000002</v>
      </c>
      <c r="Q157" s="47">
        <f t="shared" si="107"/>
        <v>1290.4000000000001</v>
      </c>
      <c r="R157" s="47">
        <f t="shared" si="107"/>
        <v>784.17799999999988</v>
      </c>
      <c r="S157" s="47">
        <f t="shared" si="107"/>
        <v>784.17799999999988</v>
      </c>
      <c r="T157" s="47">
        <f t="shared" si="107"/>
        <v>4003.096</v>
      </c>
      <c r="U157" s="47">
        <f t="shared" si="107"/>
        <v>4006.4960000000001</v>
      </c>
      <c r="V157" s="47">
        <f t="shared" si="107"/>
        <v>4331.41</v>
      </c>
      <c r="W157" s="47">
        <f t="shared" si="107"/>
        <v>5270.3239999999996</v>
      </c>
      <c r="X157" s="47">
        <f t="shared" si="107"/>
        <v>0</v>
      </c>
      <c r="Y157" s="47">
        <f t="shared" si="107"/>
        <v>0</v>
      </c>
      <c r="Z157" s="96"/>
      <c r="AA157" s="47">
        <f>AA161+AA205+AA232+AA246</f>
        <v>1945</v>
      </c>
      <c r="AB157" s="47">
        <f>AB161+AB205+AB232+AB246</f>
        <v>0</v>
      </c>
      <c r="AC157" s="47">
        <f>AC161+AC205+AC232+AC246</f>
        <v>3241.61</v>
      </c>
      <c r="AD157" s="47">
        <f>AD161+AD205+AD232+AD246</f>
        <v>69758.980890000006</v>
      </c>
      <c r="AE157" s="47">
        <f>AE161+AE205+AE232+AE246</f>
        <v>0</v>
      </c>
      <c r="AF157" s="47">
        <f t="shared" si="106"/>
        <v>0</v>
      </c>
      <c r="AG157" s="47">
        <f t="shared" si="106"/>
        <v>0</v>
      </c>
      <c r="AH157" s="47">
        <f t="shared" si="106"/>
        <v>0</v>
      </c>
      <c r="AI157" s="47">
        <f t="shared" si="106"/>
        <v>0</v>
      </c>
      <c r="AJ157" s="47">
        <f t="shared" si="106"/>
        <v>0</v>
      </c>
      <c r="AK157" s="47">
        <f t="shared" si="106"/>
        <v>118701.49</v>
      </c>
      <c r="AL157" s="47">
        <f t="shared" si="106"/>
        <v>118701.49</v>
      </c>
      <c r="AM157" s="47" t="e">
        <f t="shared" si="106"/>
        <v>#DIV/0!</v>
      </c>
      <c r="AN157" s="47">
        <f t="shared" si="106"/>
        <v>0</v>
      </c>
      <c r="AO157" s="47">
        <f t="shared" si="106"/>
        <v>0</v>
      </c>
      <c r="AP157" s="397"/>
      <c r="AQ157" s="96"/>
    </row>
    <row r="158" spans="1:43" s="615" customFormat="1" ht="28.5" hidden="1" customHeight="1" x14ac:dyDescent="0.2">
      <c r="A158" s="1607"/>
      <c r="B158" s="1608"/>
      <c r="C158" s="1608"/>
      <c r="D158" s="1608"/>
      <c r="E158" s="1608"/>
      <c r="F158" s="1608"/>
      <c r="G158" s="1608"/>
      <c r="H158" s="1609"/>
      <c r="I158" s="23" t="s">
        <v>10</v>
      </c>
      <c r="J158" s="71">
        <f t="shared" si="106"/>
        <v>0</v>
      </c>
      <c r="K158" s="71">
        <f t="shared" si="106"/>
        <v>0</v>
      </c>
      <c r="L158" s="47">
        <f t="shared" si="107"/>
        <v>495533.09</v>
      </c>
      <c r="M158" s="47">
        <f t="shared" si="107"/>
        <v>492377.74</v>
      </c>
      <c r="N158" s="47">
        <f t="shared" si="107"/>
        <v>493227.64</v>
      </c>
      <c r="O158" s="47">
        <f t="shared" si="107"/>
        <v>297742.64</v>
      </c>
      <c r="P158" s="47">
        <f t="shared" si="107"/>
        <v>0</v>
      </c>
      <c r="Q158" s="47">
        <f t="shared" si="107"/>
        <v>30033.375440000003</v>
      </c>
      <c r="R158" s="47">
        <f t="shared" si="107"/>
        <v>21705.95</v>
      </c>
      <c r="S158" s="47">
        <f t="shared" si="107"/>
        <v>21705.95</v>
      </c>
      <c r="T158" s="47">
        <f t="shared" si="107"/>
        <v>21705.95</v>
      </c>
      <c r="U158" s="47">
        <f t="shared" si="107"/>
        <v>21705.95</v>
      </c>
      <c r="V158" s="47">
        <f t="shared" si="107"/>
        <v>50383.255000000005</v>
      </c>
      <c r="W158" s="47">
        <f t="shared" si="107"/>
        <v>50383.255000000005</v>
      </c>
      <c r="X158" s="47">
        <f t="shared" si="107"/>
        <v>21705.95</v>
      </c>
      <c r="Y158" s="47">
        <f t="shared" si="107"/>
        <v>21705.95</v>
      </c>
      <c r="Z158" s="96"/>
      <c r="AA158" s="47">
        <f>AA162+AA206+AA233+AA247</f>
        <v>44806.057910000003</v>
      </c>
      <c r="AB158" s="47">
        <f>AB162+AB206+AB233+AB247</f>
        <v>17522.268</v>
      </c>
      <c r="AC158" s="47">
        <f>AC162+AC206+AC233+AC247</f>
        <v>32099.796000000002</v>
      </c>
      <c r="AD158" s="47">
        <f>AD162+AD206+AD233</f>
        <v>0</v>
      </c>
      <c r="AE158" s="47">
        <f>AE162+AE206+AE233</f>
        <v>0</v>
      </c>
      <c r="AF158" s="47">
        <f t="shared" si="106"/>
        <v>0</v>
      </c>
      <c r="AG158" s="47">
        <f t="shared" si="106"/>
        <v>0</v>
      </c>
      <c r="AH158" s="47">
        <f t="shared" si="106"/>
        <v>0</v>
      </c>
      <c r="AI158" s="47">
        <f t="shared" si="106"/>
        <v>0</v>
      </c>
      <c r="AJ158" s="47">
        <f t="shared" si="106"/>
        <v>0</v>
      </c>
      <c r="AK158" s="47">
        <f t="shared" si="106"/>
        <v>0</v>
      </c>
      <c r="AL158" s="47">
        <f t="shared" si="106"/>
        <v>0</v>
      </c>
      <c r="AM158" s="47">
        <f t="shared" si="106"/>
        <v>0</v>
      </c>
      <c r="AN158" s="47">
        <f t="shared" si="106"/>
        <v>0</v>
      </c>
      <c r="AO158" s="47">
        <f t="shared" si="106"/>
        <v>0</v>
      </c>
      <c r="AP158" s="397"/>
      <c r="AQ158" s="96"/>
    </row>
    <row r="159" spans="1:43" s="615" customFormat="1" ht="25.5" hidden="1" customHeight="1" x14ac:dyDescent="0.2">
      <c r="A159" s="1610"/>
      <c r="B159" s="1611"/>
      <c r="C159" s="1611"/>
      <c r="D159" s="1611"/>
      <c r="E159" s="1611"/>
      <c r="F159" s="1611"/>
      <c r="G159" s="1611"/>
      <c r="H159" s="1612"/>
      <c r="I159" s="23" t="s">
        <v>9</v>
      </c>
      <c r="J159" s="71">
        <f t="shared" si="106"/>
        <v>0</v>
      </c>
      <c r="K159" s="71">
        <f t="shared" si="106"/>
        <v>0</v>
      </c>
      <c r="L159" s="47">
        <v>0</v>
      </c>
      <c r="M159" s="47">
        <f>M163+M207+M234</f>
        <v>0</v>
      </c>
      <c r="N159" s="47">
        <f>N163+N207+N234</f>
        <v>0</v>
      </c>
      <c r="O159" s="47">
        <f>O163+O207+O234</f>
        <v>1</v>
      </c>
      <c r="P159" s="47">
        <f>P163+P207+P234</f>
        <v>0</v>
      </c>
      <c r="Q159" s="47">
        <f t="shared" ref="Q159:AO159" si="108">Q163+Q207+Q234</f>
        <v>0</v>
      </c>
      <c r="R159" s="47">
        <f t="shared" si="108"/>
        <v>0</v>
      </c>
      <c r="S159" s="47">
        <f t="shared" si="108"/>
        <v>0</v>
      </c>
      <c r="T159" s="47">
        <f t="shared" si="108"/>
        <v>0</v>
      </c>
      <c r="U159" s="47">
        <f t="shared" si="108"/>
        <v>0</v>
      </c>
      <c r="V159" s="47">
        <f t="shared" si="108"/>
        <v>0</v>
      </c>
      <c r="W159" s="47">
        <f t="shared" si="108"/>
        <v>0</v>
      </c>
      <c r="X159" s="47">
        <f t="shared" si="108"/>
        <v>0</v>
      </c>
      <c r="Y159" s="47">
        <f t="shared" si="108"/>
        <v>0</v>
      </c>
      <c r="Z159" s="96"/>
      <c r="AA159" s="47">
        <f t="shared" si="108"/>
        <v>0</v>
      </c>
      <c r="AB159" s="47">
        <f t="shared" si="108"/>
        <v>0</v>
      </c>
      <c r="AC159" s="47">
        <f t="shared" si="108"/>
        <v>0</v>
      </c>
      <c r="AD159" s="47">
        <f t="shared" si="108"/>
        <v>0</v>
      </c>
      <c r="AE159" s="47">
        <f t="shared" si="108"/>
        <v>0</v>
      </c>
      <c r="AF159" s="47">
        <f t="shared" si="108"/>
        <v>0</v>
      </c>
      <c r="AG159" s="47">
        <f>AG163+AG207+AG234</f>
        <v>0</v>
      </c>
      <c r="AH159" s="47">
        <f>AH163+AH207+AH234</f>
        <v>0</v>
      </c>
      <c r="AI159" s="47">
        <f>AI163+AI207+AI234</f>
        <v>0</v>
      </c>
      <c r="AJ159" s="47">
        <f>AJ163+AJ207+AJ234</f>
        <v>0</v>
      </c>
      <c r="AK159" s="47">
        <f t="shared" si="108"/>
        <v>0</v>
      </c>
      <c r="AL159" s="47">
        <f t="shared" si="108"/>
        <v>0</v>
      </c>
      <c r="AM159" s="47">
        <f t="shared" si="108"/>
        <v>0</v>
      </c>
      <c r="AN159" s="47">
        <f t="shared" si="108"/>
        <v>0</v>
      </c>
      <c r="AO159" s="47">
        <f t="shared" si="108"/>
        <v>0</v>
      </c>
      <c r="AP159" s="397"/>
      <c r="AQ159" s="96"/>
    </row>
    <row r="160" spans="1:43" ht="51.75" hidden="1" customHeight="1" x14ac:dyDescent="0.25">
      <c r="A160" s="1332" t="s">
        <v>27</v>
      </c>
      <c r="B160" s="1613" t="s">
        <v>214</v>
      </c>
      <c r="C160" s="1614"/>
      <c r="D160" s="1614"/>
      <c r="E160" s="1614"/>
      <c r="F160" s="1614"/>
      <c r="G160" s="1614"/>
      <c r="H160" s="1615"/>
      <c r="I160" s="23" t="s">
        <v>19</v>
      </c>
      <c r="J160" s="47">
        <f>J164+J167+J171</f>
        <v>152888.53999999998</v>
      </c>
      <c r="K160" s="47">
        <f>K164+K167+K171</f>
        <v>25354.1</v>
      </c>
      <c r="L160" s="47">
        <f>L164+L167+L171+L180+L184+L188</f>
        <v>193023.18</v>
      </c>
      <c r="M160" s="47">
        <f>M164+M167+M171+M180+M184+M188</f>
        <v>42443.12</v>
      </c>
      <c r="N160" s="47">
        <f>N164+N167+N171+N180+N184+N188</f>
        <v>35331.160000000003</v>
      </c>
      <c r="O160" s="47">
        <f>O164+O167+O171+O180+O184+O187</f>
        <v>29530.94</v>
      </c>
      <c r="P160" s="47">
        <f>P164+P167+P171+P180+P184+P188</f>
        <v>100162.01</v>
      </c>
      <c r="Q160" s="47">
        <f>Q164+Q167+Q171+Q180+Q184+Q187</f>
        <v>0</v>
      </c>
      <c r="R160" s="47">
        <f t="shared" ref="R160:AA160" si="109">R164+R167+R171+R180+R184+R187</f>
        <v>743.47199999999998</v>
      </c>
      <c r="S160" s="47">
        <f t="shared" si="109"/>
        <v>3743.4719999999998</v>
      </c>
      <c r="T160" s="47">
        <f t="shared" si="109"/>
        <v>31.5</v>
      </c>
      <c r="U160" s="47">
        <f t="shared" si="109"/>
        <v>2236.8380000000002</v>
      </c>
      <c r="V160" s="47">
        <f t="shared" si="109"/>
        <v>0</v>
      </c>
      <c r="W160" s="47">
        <f t="shared" si="109"/>
        <v>0</v>
      </c>
      <c r="X160" s="47">
        <f t="shared" si="109"/>
        <v>0</v>
      </c>
      <c r="Y160" s="47">
        <f t="shared" si="109"/>
        <v>0</v>
      </c>
      <c r="Z160" s="96"/>
      <c r="AA160" s="47">
        <f t="shared" si="109"/>
        <v>0</v>
      </c>
      <c r="AB160" s="47">
        <f>AB164+AB167+AB171+AB180+AB184+AB187</f>
        <v>2948.8069999999998</v>
      </c>
      <c r="AC160" s="47">
        <f>AC164+AC167+AC171+AC180+AC184+AC187</f>
        <v>0</v>
      </c>
      <c r="AD160" s="47">
        <f>AD164+AD167+AD171+AD180+AD184+AD187</f>
        <v>31.5</v>
      </c>
      <c r="AE160" s="47">
        <f>AE164+AE167+AE171+AE180+AE184+AE187</f>
        <v>0</v>
      </c>
      <c r="AF160" s="47">
        <f t="shared" ref="AF160:AO160" si="110">AF164+AF167+AF171</f>
        <v>0</v>
      </c>
      <c r="AG160" s="47">
        <f t="shared" si="110"/>
        <v>0</v>
      </c>
      <c r="AH160" s="47">
        <f t="shared" si="110"/>
        <v>0</v>
      </c>
      <c r="AI160" s="47">
        <f t="shared" si="110"/>
        <v>0</v>
      </c>
      <c r="AJ160" s="47">
        <f t="shared" si="110"/>
        <v>0</v>
      </c>
      <c r="AK160" s="47">
        <f t="shared" si="110"/>
        <v>28946.75</v>
      </c>
      <c r="AL160" s="47">
        <f t="shared" si="110"/>
        <v>28946.75</v>
      </c>
      <c r="AM160" s="47" t="e">
        <f t="shared" si="110"/>
        <v>#DIV/0!</v>
      </c>
      <c r="AN160" s="47">
        <f t="shared" si="110"/>
        <v>0</v>
      </c>
      <c r="AO160" s="47">
        <f t="shared" si="110"/>
        <v>0</v>
      </c>
      <c r="AP160" s="397"/>
      <c r="AQ160" s="96"/>
    </row>
    <row r="161" spans="1:43" ht="47.25" hidden="1" customHeight="1" x14ac:dyDescent="0.25">
      <c r="A161" s="1333"/>
      <c r="B161" s="1616"/>
      <c r="C161" s="1617"/>
      <c r="D161" s="1617"/>
      <c r="E161" s="1617"/>
      <c r="F161" s="1617"/>
      <c r="G161" s="1617"/>
      <c r="H161" s="1618"/>
      <c r="I161" s="23" t="s">
        <v>20</v>
      </c>
      <c r="J161" s="47">
        <v>0</v>
      </c>
      <c r="K161" s="47">
        <v>0</v>
      </c>
      <c r="L161" s="47">
        <f>M161+N161+O161</f>
        <v>0</v>
      </c>
      <c r="M161" s="47">
        <v>0</v>
      </c>
      <c r="N161" s="47">
        <v>0</v>
      </c>
      <c r="O161" s="47">
        <v>0</v>
      </c>
      <c r="P161" s="47">
        <v>0</v>
      </c>
      <c r="Q161" s="47">
        <v>0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47">
        <v>0</v>
      </c>
      <c r="X161" s="47">
        <v>0</v>
      </c>
      <c r="Y161" s="47">
        <v>0</v>
      </c>
      <c r="Z161" s="96"/>
      <c r="AA161" s="47">
        <v>0</v>
      </c>
      <c r="AB161" s="47">
        <v>0</v>
      </c>
      <c r="AC161" s="47">
        <v>0</v>
      </c>
      <c r="AD161" s="47">
        <v>0</v>
      </c>
      <c r="AE161" s="47">
        <v>0</v>
      </c>
      <c r="AF161" s="47">
        <v>0</v>
      </c>
      <c r="AG161" s="47">
        <v>0</v>
      </c>
      <c r="AH161" s="47">
        <v>0</v>
      </c>
      <c r="AI161" s="47">
        <v>0</v>
      </c>
      <c r="AJ161" s="47">
        <v>0</v>
      </c>
      <c r="AK161" s="47">
        <v>0</v>
      </c>
      <c r="AL161" s="47">
        <v>0</v>
      </c>
      <c r="AM161" s="47">
        <v>0</v>
      </c>
      <c r="AN161" s="47">
        <v>0</v>
      </c>
      <c r="AO161" s="47">
        <v>0</v>
      </c>
      <c r="AP161" s="397"/>
      <c r="AQ161" s="96"/>
    </row>
    <row r="162" spans="1:43" ht="28.5" hidden="1" customHeight="1" x14ac:dyDescent="0.25">
      <c r="A162" s="1333"/>
      <c r="B162" s="1616"/>
      <c r="C162" s="1617"/>
      <c r="D162" s="1617"/>
      <c r="E162" s="1617"/>
      <c r="F162" s="1617"/>
      <c r="G162" s="1617"/>
      <c r="H162" s="1618"/>
      <c r="I162" s="23" t="s">
        <v>10</v>
      </c>
      <c r="J162" s="47">
        <v>0</v>
      </c>
      <c r="K162" s="47">
        <v>0</v>
      </c>
      <c r="L162" s="47">
        <f>L194</f>
        <v>195485</v>
      </c>
      <c r="M162" s="47">
        <f>M194</f>
        <v>195485</v>
      </c>
      <c r="N162" s="47">
        <f>N194</f>
        <v>195485</v>
      </c>
      <c r="O162" s="47">
        <v>0</v>
      </c>
      <c r="P162" s="47">
        <f>P194</f>
        <v>0</v>
      </c>
      <c r="Q162" s="47">
        <v>0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47">
        <v>0</v>
      </c>
      <c r="X162" s="47">
        <v>0</v>
      </c>
      <c r="Y162" s="47">
        <v>0</v>
      </c>
      <c r="Z162" s="96"/>
      <c r="AA162" s="47">
        <v>0</v>
      </c>
      <c r="AB162" s="47">
        <v>0</v>
      </c>
      <c r="AC162" s="47">
        <v>0</v>
      </c>
      <c r="AD162" s="47">
        <v>0</v>
      </c>
      <c r="AE162" s="47">
        <v>0</v>
      </c>
      <c r="AF162" s="47">
        <v>0</v>
      </c>
      <c r="AG162" s="47">
        <v>0</v>
      </c>
      <c r="AH162" s="47">
        <v>0</v>
      </c>
      <c r="AI162" s="47">
        <v>0</v>
      </c>
      <c r="AJ162" s="47">
        <v>0</v>
      </c>
      <c r="AK162" s="47">
        <v>0</v>
      </c>
      <c r="AL162" s="47">
        <v>0</v>
      </c>
      <c r="AM162" s="47">
        <v>0</v>
      </c>
      <c r="AN162" s="47">
        <v>0</v>
      </c>
      <c r="AO162" s="47">
        <v>0</v>
      </c>
      <c r="AP162" s="397"/>
      <c r="AQ162" s="96"/>
    </row>
    <row r="163" spans="1:43" ht="25.5" hidden="1" customHeight="1" x14ac:dyDescent="0.25">
      <c r="A163" s="1334"/>
      <c r="B163" s="1619"/>
      <c r="C163" s="1620"/>
      <c r="D163" s="1620"/>
      <c r="E163" s="1620"/>
      <c r="F163" s="1620"/>
      <c r="G163" s="1620"/>
      <c r="H163" s="1621"/>
      <c r="I163" s="23" t="s">
        <v>9</v>
      </c>
      <c r="J163" s="47">
        <v>0</v>
      </c>
      <c r="K163" s="47">
        <v>0</v>
      </c>
      <c r="L163" s="47">
        <f>M163+N163+O163</f>
        <v>0</v>
      </c>
      <c r="M163" s="47">
        <v>0</v>
      </c>
      <c r="N163" s="47">
        <v>0</v>
      </c>
      <c r="O163" s="47">
        <v>0</v>
      </c>
      <c r="P163" s="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47">
        <v>0</v>
      </c>
      <c r="X163" s="47">
        <v>0</v>
      </c>
      <c r="Y163" s="47">
        <v>0</v>
      </c>
      <c r="Z163" s="96"/>
      <c r="AA163" s="47">
        <v>0</v>
      </c>
      <c r="AB163" s="47">
        <v>0</v>
      </c>
      <c r="AC163" s="47">
        <v>0</v>
      </c>
      <c r="AD163" s="47">
        <v>0</v>
      </c>
      <c r="AE163" s="47">
        <v>0</v>
      </c>
      <c r="AF163" s="47">
        <v>0</v>
      </c>
      <c r="AG163" s="47">
        <v>0</v>
      </c>
      <c r="AH163" s="47">
        <v>0</v>
      </c>
      <c r="AI163" s="47">
        <v>0</v>
      </c>
      <c r="AJ163" s="47">
        <v>0</v>
      </c>
      <c r="AK163" s="47">
        <v>0</v>
      </c>
      <c r="AL163" s="47">
        <v>0</v>
      </c>
      <c r="AM163" s="47">
        <v>0</v>
      </c>
      <c r="AN163" s="47">
        <v>0</v>
      </c>
      <c r="AO163" s="47">
        <v>0</v>
      </c>
      <c r="AP163" s="397"/>
      <c r="AQ163" s="96"/>
    </row>
    <row r="164" spans="1:43" s="327" customFormat="1" ht="27.75" customHeight="1" x14ac:dyDescent="0.25">
      <c r="A164" s="1473" t="s">
        <v>34</v>
      </c>
      <c r="B164" s="780" t="s">
        <v>441</v>
      </c>
      <c r="C164" s="1332"/>
      <c r="D164" s="1332"/>
      <c r="E164" s="1332"/>
      <c r="F164" s="1644">
        <v>220000</v>
      </c>
      <c r="G164" s="1473">
        <v>2018</v>
      </c>
      <c r="H164" s="1473">
        <v>2021</v>
      </c>
      <c r="I164" s="1463" t="s">
        <v>19</v>
      </c>
      <c r="J164" s="1627">
        <v>66036</v>
      </c>
      <c r="K164" s="1627">
        <v>16509</v>
      </c>
      <c r="L164" s="804">
        <f t="shared" ref="L164:O164" si="111">L165</f>
        <v>67541.3</v>
      </c>
      <c r="M164" s="804">
        <f t="shared" si="111"/>
        <v>16509</v>
      </c>
      <c r="N164" s="804">
        <f t="shared" si="111"/>
        <v>800</v>
      </c>
      <c r="O164" s="804">
        <f t="shared" si="111"/>
        <v>6409</v>
      </c>
      <c r="P164" s="804">
        <v>27314.3</v>
      </c>
      <c r="Q164" s="804">
        <v>0</v>
      </c>
      <c r="R164" s="804">
        <f t="shared" ref="R164:AO165" si="112">R165</f>
        <v>36</v>
      </c>
      <c r="S164" s="804">
        <f t="shared" si="112"/>
        <v>36</v>
      </c>
      <c r="T164" s="804">
        <f t="shared" si="112"/>
        <v>31.5</v>
      </c>
      <c r="U164" s="804">
        <f t="shared" si="112"/>
        <v>31.5</v>
      </c>
      <c r="V164" s="804">
        <f t="shared" si="112"/>
        <v>0</v>
      </c>
      <c r="W164" s="804">
        <f t="shared" si="112"/>
        <v>0</v>
      </c>
      <c r="X164" s="804">
        <f t="shared" si="112"/>
        <v>0</v>
      </c>
      <c r="Y164" s="804">
        <f t="shared" si="112"/>
        <v>0</v>
      </c>
      <c r="Z164" s="805">
        <v>0</v>
      </c>
      <c r="AA164" s="804">
        <v>0</v>
      </c>
      <c r="AB164" s="804">
        <f t="shared" si="112"/>
        <v>36</v>
      </c>
      <c r="AC164" s="804">
        <f t="shared" si="112"/>
        <v>0</v>
      </c>
      <c r="AD164" s="804">
        <f t="shared" si="112"/>
        <v>31.5</v>
      </c>
      <c r="AE164" s="804">
        <f t="shared" si="112"/>
        <v>0</v>
      </c>
      <c r="AF164" s="804">
        <f t="shared" si="112"/>
        <v>0</v>
      </c>
      <c r="AG164" s="804">
        <f t="shared" si="112"/>
        <v>0</v>
      </c>
      <c r="AH164" s="804">
        <f t="shared" si="112"/>
        <v>0</v>
      </c>
      <c r="AI164" s="804">
        <f t="shared" si="112"/>
        <v>0</v>
      </c>
      <c r="AJ164" s="804">
        <f t="shared" si="112"/>
        <v>0</v>
      </c>
      <c r="AK164" s="3">
        <f>P164-Q164</f>
        <v>27314.3</v>
      </c>
      <c r="AL164" s="3">
        <f>AK164</f>
        <v>27314.3</v>
      </c>
      <c r="AM164" s="318">
        <f>ROUND((Q164*100%/P164*100),2)</f>
        <v>0</v>
      </c>
      <c r="AN164" s="804">
        <f t="shared" si="112"/>
        <v>0</v>
      </c>
      <c r="AO164" s="804">
        <f t="shared" si="112"/>
        <v>0</v>
      </c>
      <c r="AP164" s="806"/>
      <c r="AQ164" s="805">
        <v>0</v>
      </c>
    </row>
    <row r="165" spans="1:43" ht="18" hidden="1" customHeight="1" x14ac:dyDescent="0.25">
      <c r="A165" s="1474"/>
      <c r="B165" s="940" t="s">
        <v>39</v>
      </c>
      <c r="C165" s="1334"/>
      <c r="D165" s="1334"/>
      <c r="E165" s="1334"/>
      <c r="F165" s="1472"/>
      <c r="G165" s="1474"/>
      <c r="H165" s="1474"/>
      <c r="I165" s="1465"/>
      <c r="J165" s="1629"/>
      <c r="K165" s="1629"/>
      <c r="L165" s="972">
        <v>67541.3</v>
      </c>
      <c r="M165" s="83">
        <v>16509</v>
      </c>
      <c r="N165" s="83">
        <v>800</v>
      </c>
      <c r="O165" s="83">
        <v>6409</v>
      </c>
      <c r="P165" s="83">
        <v>6409</v>
      </c>
      <c r="Q165" s="83">
        <f>Q166</f>
        <v>67.5</v>
      </c>
      <c r="R165" s="83">
        <f t="shared" si="112"/>
        <v>36</v>
      </c>
      <c r="S165" s="83">
        <f t="shared" si="112"/>
        <v>36</v>
      </c>
      <c r="T165" s="83">
        <f t="shared" si="112"/>
        <v>31.5</v>
      </c>
      <c r="U165" s="83">
        <f t="shared" si="112"/>
        <v>31.5</v>
      </c>
      <c r="V165" s="83">
        <f t="shared" si="112"/>
        <v>0</v>
      </c>
      <c r="W165" s="83">
        <f t="shared" si="112"/>
        <v>0</v>
      </c>
      <c r="X165" s="83">
        <f t="shared" si="112"/>
        <v>0</v>
      </c>
      <c r="Y165" s="83">
        <f t="shared" si="112"/>
        <v>0</v>
      </c>
      <c r="Z165" s="259"/>
      <c r="AA165" s="83">
        <f t="shared" si="112"/>
        <v>67.5</v>
      </c>
      <c r="AB165" s="83">
        <f t="shared" si="112"/>
        <v>36</v>
      </c>
      <c r="AC165" s="83">
        <f t="shared" si="112"/>
        <v>0</v>
      </c>
      <c r="AD165" s="83">
        <f t="shared" si="112"/>
        <v>31.5</v>
      </c>
      <c r="AE165" s="83">
        <f t="shared" si="112"/>
        <v>0</v>
      </c>
      <c r="AF165" s="83">
        <f t="shared" si="112"/>
        <v>0</v>
      </c>
      <c r="AG165" s="83">
        <f t="shared" si="112"/>
        <v>0</v>
      </c>
      <c r="AH165" s="83">
        <f t="shared" si="112"/>
        <v>0</v>
      </c>
      <c r="AI165" s="83">
        <f t="shared" si="112"/>
        <v>0</v>
      </c>
      <c r="AJ165" s="83">
        <f t="shared" si="112"/>
        <v>0</v>
      </c>
      <c r="AK165" s="83">
        <f t="shared" si="112"/>
        <v>0</v>
      </c>
      <c r="AL165" s="83">
        <v>0</v>
      </c>
      <c r="AM165" s="83">
        <v>0</v>
      </c>
      <c r="AN165" s="83">
        <v>0</v>
      </c>
      <c r="AO165" s="83">
        <v>0</v>
      </c>
      <c r="AP165" s="409"/>
      <c r="AQ165" s="259"/>
    </row>
    <row r="166" spans="1:43" s="266" customFormat="1" ht="26.25" hidden="1" customHeight="1" x14ac:dyDescent="0.25">
      <c r="A166" s="616"/>
      <c r="B166" s="537" t="s">
        <v>300</v>
      </c>
      <c r="C166" s="647"/>
      <c r="D166" s="647"/>
      <c r="E166" s="647"/>
      <c r="F166" s="539"/>
      <c r="G166" s="540"/>
      <c r="H166" s="540"/>
      <c r="I166" s="370"/>
      <c r="J166" s="648"/>
      <c r="K166" s="648"/>
      <c r="L166" s="258"/>
      <c r="M166" s="259"/>
      <c r="N166" s="259"/>
      <c r="O166" s="259"/>
      <c r="P166" s="259"/>
      <c r="Q166" s="259">
        <f>S166+U166</f>
        <v>67.5</v>
      </c>
      <c r="R166" s="259">
        <f>S166</f>
        <v>36</v>
      </c>
      <c r="S166" s="259">
        <v>36</v>
      </c>
      <c r="T166" s="259">
        <f>U166</f>
        <v>31.5</v>
      </c>
      <c r="U166" s="259">
        <v>31.5</v>
      </c>
      <c r="V166" s="259"/>
      <c r="W166" s="259"/>
      <c r="X166" s="259"/>
      <c r="Y166" s="259"/>
      <c r="Z166" s="259"/>
      <c r="AA166" s="259">
        <f>AB166+AD166</f>
        <v>67.5</v>
      </c>
      <c r="AB166" s="259">
        <v>36</v>
      </c>
      <c r="AC166" s="259"/>
      <c r="AD166" s="259">
        <v>31.5</v>
      </c>
      <c r="AE166" s="259"/>
      <c r="AF166" s="259"/>
      <c r="AG166" s="259"/>
      <c r="AH166" s="259"/>
      <c r="AI166" s="259"/>
      <c r="AJ166" s="259"/>
      <c r="AK166" s="259"/>
      <c r="AL166" s="259"/>
      <c r="AM166" s="543"/>
      <c r="AN166" s="259"/>
      <c r="AO166" s="259"/>
      <c r="AP166" s="411"/>
      <c r="AQ166" s="259"/>
    </row>
    <row r="167" spans="1:43" s="327" customFormat="1" ht="24" customHeight="1" x14ac:dyDescent="0.25">
      <c r="A167" s="1473" t="s">
        <v>42</v>
      </c>
      <c r="B167" s="780" t="s">
        <v>205</v>
      </c>
      <c r="C167" s="807"/>
      <c r="D167" s="807"/>
      <c r="E167" s="807"/>
      <c r="F167" s="1644">
        <v>2400</v>
      </c>
      <c r="G167" s="807"/>
      <c r="H167" s="807"/>
      <c r="I167" s="1463" t="s">
        <v>19</v>
      </c>
      <c r="J167" s="25">
        <v>12351.86</v>
      </c>
      <c r="K167" s="25">
        <f t="shared" ref="K167:P167" si="113">K168+K170</f>
        <v>8845.1</v>
      </c>
      <c r="L167" s="3">
        <f t="shared" si="113"/>
        <v>25182.28</v>
      </c>
      <c r="M167" s="3">
        <f t="shared" si="113"/>
        <v>1753.38</v>
      </c>
      <c r="N167" s="3">
        <f t="shared" si="113"/>
        <v>1168.92</v>
      </c>
      <c r="O167" s="3">
        <f t="shared" si="113"/>
        <v>997.45</v>
      </c>
      <c r="P167" s="3">
        <f t="shared" si="113"/>
        <v>1632.45</v>
      </c>
      <c r="Q167" s="3">
        <f t="shared" ref="Q167:AO167" si="114">Q170+Q168</f>
        <v>0</v>
      </c>
      <c r="R167" s="3">
        <f t="shared" si="114"/>
        <v>707.47199999999998</v>
      </c>
      <c r="S167" s="3">
        <f t="shared" si="114"/>
        <v>707.47199999999998</v>
      </c>
      <c r="T167" s="3">
        <f t="shared" si="114"/>
        <v>0</v>
      </c>
      <c r="U167" s="3">
        <f t="shared" si="114"/>
        <v>0</v>
      </c>
      <c r="V167" s="3">
        <f t="shared" si="114"/>
        <v>0</v>
      </c>
      <c r="W167" s="3">
        <f t="shared" si="114"/>
        <v>0</v>
      </c>
      <c r="X167" s="3">
        <f t="shared" si="114"/>
        <v>0</v>
      </c>
      <c r="Y167" s="3">
        <f t="shared" si="114"/>
        <v>0</v>
      </c>
      <c r="Z167" s="95">
        <v>0</v>
      </c>
      <c r="AA167" s="3">
        <f t="shared" si="114"/>
        <v>0</v>
      </c>
      <c r="AB167" s="3">
        <f t="shared" si="114"/>
        <v>707.47</v>
      </c>
      <c r="AC167" s="3">
        <f t="shared" si="114"/>
        <v>0</v>
      </c>
      <c r="AD167" s="3">
        <f t="shared" si="114"/>
        <v>0</v>
      </c>
      <c r="AE167" s="3">
        <f t="shared" si="114"/>
        <v>0</v>
      </c>
      <c r="AF167" s="3">
        <f t="shared" si="114"/>
        <v>0</v>
      </c>
      <c r="AG167" s="3">
        <f t="shared" si="114"/>
        <v>0</v>
      </c>
      <c r="AH167" s="3">
        <f t="shared" si="114"/>
        <v>0</v>
      </c>
      <c r="AI167" s="3">
        <f t="shared" si="114"/>
        <v>0</v>
      </c>
      <c r="AJ167" s="3">
        <f t="shared" si="114"/>
        <v>0</v>
      </c>
      <c r="AK167" s="3">
        <f>P167-Q167</f>
        <v>1632.45</v>
      </c>
      <c r="AL167" s="3">
        <f>AK167</f>
        <v>1632.45</v>
      </c>
      <c r="AM167" s="318">
        <f>ROUND((Q167*100%/P167*100),2)</f>
        <v>0</v>
      </c>
      <c r="AN167" s="3">
        <f t="shared" si="114"/>
        <v>0</v>
      </c>
      <c r="AO167" s="3">
        <f t="shared" si="114"/>
        <v>0</v>
      </c>
      <c r="AP167" s="808"/>
      <c r="AQ167" s="95">
        <v>0</v>
      </c>
    </row>
    <row r="168" spans="1:43" ht="16.5" customHeight="1" x14ac:dyDescent="0.25">
      <c r="A168" s="1643"/>
      <c r="B168" s="1" t="s">
        <v>15</v>
      </c>
      <c r="C168" s="48"/>
      <c r="D168" s="48"/>
      <c r="E168" s="48"/>
      <c r="F168" s="1645"/>
      <c r="G168" s="962">
        <v>2018</v>
      </c>
      <c r="H168" s="962">
        <v>2018</v>
      </c>
      <c r="I168" s="1464"/>
      <c r="J168" s="634">
        <v>1815.76</v>
      </c>
      <c r="K168" s="634">
        <v>1815.76</v>
      </c>
      <c r="L168" s="47">
        <v>2458.14</v>
      </c>
      <c r="M168" s="47">
        <v>0</v>
      </c>
      <c r="N168" s="47">
        <v>412.99</v>
      </c>
      <c r="O168" s="47">
        <v>0</v>
      </c>
      <c r="P168" s="47">
        <v>246.67</v>
      </c>
      <c r="Q168" s="83">
        <v>0</v>
      </c>
      <c r="R168" s="83">
        <f t="shared" ref="R168:AG168" si="115">R169</f>
        <v>707.47199999999998</v>
      </c>
      <c r="S168" s="83">
        <f t="shared" si="115"/>
        <v>707.47199999999998</v>
      </c>
      <c r="T168" s="83">
        <f t="shared" si="115"/>
        <v>0</v>
      </c>
      <c r="U168" s="83">
        <f t="shared" si="115"/>
        <v>0</v>
      </c>
      <c r="V168" s="83">
        <f t="shared" si="115"/>
        <v>0</v>
      </c>
      <c r="W168" s="83">
        <f t="shared" si="115"/>
        <v>0</v>
      </c>
      <c r="X168" s="83">
        <f t="shared" si="115"/>
        <v>0</v>
      </c>
      <c r="Y168" s="83">
        <f t="shared" si="115"/>
        <v>0</v>
      </c>
      <c r="Z168" s="259"/>
      <c r="AA168" s="83">
        <v>0</v>
      </c>
      <c r="AB168" s="83">
        <f t="shared" si="115"/>
        <v>707.47</v>
      </c>
      <c r="AC168" s="83">
        <f t="shared" si="115"/>
        <v>0</v>
      </c>
      <c r="AD168" s="83">
        <f t="shared" si="115"/>
        <v>0</v>
      </c>
      <c r="AE168" s="83">
        <f t="shared" si="115"/>
        <v>0</v>
      </c>
      <c r="AF168" s="83">
        <f t="shared" si="115"/>
        <v>0</v>
      </c>
      <c r="AG168" s="83">
        <f t="shared" si="115"/>
        <v>0</v>
      </c>
      <c r="AH168" s="47">
        <v>0</v>
      </c>
      <c r="AI168" s="47">
        <v>0</v>
      </c>
      <c r="AJ168" s="47">
        <v>0</v>
      </c>
      <c r="AK168" s="47">
        <v>0</v>
      </c>
      <c r="AL168" s="47">
        <v>0</v>
      </c>
      <c r="AM168" s="47">
        <v>0</v>
      </c>
      <c r="AN168" s="47">
        <v>0</v>
      </c>
      <c r="AO168" s="47">
        <v>0</v>
      </c>
      <c r="AP168" s="617"/>
      <c r="AQ168" s="259"/>
    </row>
    <row r="169" spans="1:43" s="266" customFormat="1" ht="27" hidden="1" customHeight="1" x14ac:dyDescent="0.25">
      <c r="A169" s="1643"/>
      <c r="B169" s="537" t="s">
        <v>301</v>
      </c>
      <c r="C169" s="544"/>
      <c r="D169" s="544"/>
      <c r="E169" s="544"/>
      <c r="F169" s="1645"/>
      <c r="G169" s="104"/>
      <c r="H169" s="104"/>
      <c r="I169" s="1464"/>
      <c r="J169" s="636"/>
      <c r="K169" s="636"/>
      <c r="L169" s="96"/>
      <c r="M169" s="96"/>
      <c r="N169" s="96"/>
      <c r="O169" s="96"/>
      <c r="P169" s="96"/>
      <c r="Q169" s="259">
        <f>S169</f>
        <v>707.47199999999998</v>
      </c>
      <c r="R169" s="259">
        <f>S169</f>
        <v>707.47199999999998</v>
      </c>
      <c r="S169" s="259">
        <v>707.47199999999998</v>
      </c>
      <c r="T169" s="259"/>
      <c r="U169" s="259"/>
      <c r="V169" s="259"/>
      <c r="W169" s="259"/>
      <c r="X169" s="259"/>
      <c r="Y169" s="259"/>
      <c r="Z169" s="259"/>
      <c r="AA169" s="259">
        <f>AB169</f>
        <v>707.47</v>
      </c>
      <c r="AB169" s="259">
        <v>707.47</v>
      </c>
      <c r="AC169" s="259"/>
      <c r="AD169" s="259"/>
      <c r="AE169" s="259"/>
      <c r="AF169" s="259"/>
      <c r="AG169" s="259"/>
      <c r="AH169" s="96"/>
      <c r="AI169" s="96"/>
      <c r="AJ169" s="96"/>
      <c r="AK169" s="96"/>
      <c r="AL169" s="96"/>
      <c r="AM169" s="96"/>
      <c r="AN169" s="96"/>
      <c r="AO169" s="96"/>
      <c r="AP169" s="618"/>
      <c r="AQ169" s="259"/>
    </row>
    <row r="170" spans="1:43" ht="14.25" customHeight="1" x14ac:dyDescent="0.25">
      <c r="A170" s="1474"/>
      <c r="B170" s="1" t="s">
        <v>32</v>
      </c>
      <c r="C170" s="48"/>
      <c r="D170" s="48"/>
      <c r="E170" s="48"/>
      <c r="F170" s="1328"/>
      <c r="G170" s="962">
        <v>2018</v>
      </c>
      <c r="H170" s="962">
        <v>2021</v>
      </c>
      <c r="I170" s="1465"/>
      <c r="J170" s="634">
        <v>10536.1</v>
      </c>
      <c r="K170" s="634">
        <v>7029.34</v>
      </c>
      <c r="L170" s="47">
        <v>22724.14</v>
      </c>
      <c r="M170" s="47">
        <v>1753.38</v>
      </c>
      <c r="N170" s="47">
        <v>755.93</v>
      </c>
      <c r="O170" s="47">
        <v>997.45</v>
      </c>
      <c r="P170" s="47">
        <v>1385.78</v>
      </c>
      <c r="Q170" s="47">
        <v>0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47">
        <v>0</v>
      </c>
      <c r="X170" s="47">
        <v>0</v>
      </c>
      <c r="Y170" s="47">
        <v>0</v>
      </c>
      <c r="Z170" s="96"/>
      <c r="AA170" s="47">
        <v>0</v>
      </c>
      <c r="AB170" s="47">
        <v>0</v>
      </c>
      <c r="AC170" s="47">
        <v>0</v>
      </c>
      <c r="AD170" s="47">
        <v>0</v>
      </c>
      <c r="AE170" s="47">
        <v>0</v>
      </c>
      <c r="AF170" s="47">
        <v>0</v>
      </c>
      <c r="AG170" s="47">
        <v>0</v>
      </c>
      <c r="AH170" s="47">
        <v>0</v>
      </c>
      <c r="AI170" s="47">
        <v>0</v>
      </c>
      <c r="AJ170" s="47">
        <v>0</v>
      </c>
      <c r="AK170" s="47">
        <v>0</v>
      </c>
      <c r="AL170" s="47">
        <v>0</v>
      </c>
      <c r="AM170" s="47">
        <v>0</v>
      </c>
      <c r="AN170" s="47">
        <v>0</v>
      </c>
      <c r="AO170" s="47">
        <v>0</v>
      </c>
      <c r="AP170" s="397"/>
      <c r="AQ170" s="96"/>
    </row>
    <row r="171" spans="1:43" s="327" customFormat="1" ht="30.75" customHeight="1" x14ac:dyDescent="0.25">
      <c r="A171" s="1398" t="s">
        <v>63</v>
      </c>
      <c r="B171" s="780" t="s">
        <v>66</v>
      </c>
      <c r="C171" s="1471"/>
      <c r="D171" s="1471"/>
      <c r="E171" s="1471"/>
      <c r="F171" s="1466"/>
      <c r="G171" s="1489">
        <v>2019</v>
      </c>
      <c r="H171" s="1469">
        <v>2021</v>
      </c>
      <c r="I171" s="1466" t="s">
        <v>19</v>
      </c>
      <c r="J171" s="1648">
        <f>K171+L171</f>
        <v>74500.679999999993</v>
      </c>
      <c r="K171" s="1646">
        <v>0</v>
      </c>
      <c r="L171" s="70">
        <f t="shared" ref="L171:W171" si="116">L172</f>
        <v>74500.679999999993</v>
      </c>
      <c r="M171" s="70">
        <f t="shared" si="116"/>
        <v>24180.74</v>
      </c>
      <c r="N171" s="70">
        <f t="shared" si="116"/>
        <v>24180.74</v>
      </c>
      <c r="O171" s="70">
        <f t="shared" si="116"/>
        <v>13819.52</v>
      </c>
      <c r="P171" s="70">
        <v>0</v>
      </c>
      <c r="Q171" s="804">
        <f t="shared" si="116"/>
        <v>0</v>
      </c>
      <c r="R171" s="804">
        <f t="shared" si="116"/>
        <v>0</v>
      </c>
      <c r="S171" s="804">
        <f t="shared" si="116"/>
        <v>0</v>
      </c>
      <c r="T171" s="804">
        <f t="shared" si="116"/>
        <v>0</v>
      </c>
      <c r="U171" s="804">
        <f t="shared" si="116"/>
        <v>0</v>
      </c>
      <c r="V171" s="804">
        <f t="shared" si="116"/>
        <v>0</v>
      </c>
      <c r="W171" s="804">
        <f t="shared" si="116"/>
        <v>0</v>
      </c>
      <c r="X171" s="804">
        <f>X172</f>
        <v>0</v>
      </c>
      <c r="Y171" s="804">
        <f>Y172</f>
        <v>0</v>
      </c>
      <c r="Z171" s="805">
        <v>0</v>
      </c>
      <c r="AA171" s="804">
        <f>AA172</f>
        <v>0</v>
      </c>
      <c r="AB171" s="804">
        <f>AB172</f>
        <v>0</v>
      </c>
      <c r="AC171" s="804">
        <f>AC172</f>
        <v>0</v>
      </c>
      <c r="AD171" s="804">
        <f t="shared" ref="AD171:AO171" si="117">AD172</f>
        <v>0</v>
      </c>
      <c r="AE171" s="804">
        <f t="shared" si="117"/>
        <v>0</v>
      </c>
      <c r="AF171" s="804">
        <f t="shared" si="117"/>
        <v>0</v>
      </c>
      <c r="AG171" s="804">
        <f t="shared" si="117"/>
        <v>0</v>
      </c>
      <c r="AH171" s="804">
        <f t="shared" si="117"/>
        <v>0</v>
      </c>
      <c r="AI171" s="804">
        <f t="shared" si="117"/>
        <v>0</v>
      </c>
      <c r="AJ171" s="804">
        <f t="shared" si="117"/>
        <v>0</v>
      </c>
      <c r="AK171" s="3">
        <v>0</v>
      </c>
      <c r="AL171" s="3">
        <f>AK171</f>
        <v>0</v>
      </c>
      <c r="AM171" s="318" t="e">
        <f>ROUND((Q171*100%/P171*100),2)</f>
        <v>#DIV/0!</v>
      </c>
      <c r="AN171" s="804">
        <f t="shared" si="117"/>
        <v>0</v>
      </c>
      <c r="AO171" s="804">
        <f t="shared" si="117"/>
        <v>0</v>
      </c>
      <c r="AP171" s="806" t="s">
        <v>295</v>
      </c>
      <c r="AQ171" s="805">
        <v>0</v>
      </c>
    </row>
    <row r="172" spans="1:43" ht="18" hidden="1" customHeight="1" x14ac:dyDescent="0.25">
      <c r="A172" s="1488"/>
      <c r="B172" s="1" t="s">
        <v>16</v>
      </c>
      <c r="C172" s="1471"/>
      <c r="D172" s="1471"/>
      <c r="E172" s="1471"/>
      <c r="F172" s="1466"/>
      <c r="G172" s="1489"/>
      <c r="H172" s="1470"/>
      <c r="I172" s="1466"/>
      <c r="J172" s="1648"/>
      <c r="K172" s="1647"/>
      <c r="L172" s="972">
        <v>74500.679999999993</v>
      </c>
      <c r="M172" s="83">
        <v>24180.74</v>
      </c>
      <c r="N172" s="83">
        <v>24180.74</v>
      </c>
      <c r="O172" s="83">
        <v>13819.52</v>
      </c>
      <c r="P172" s="83">
        <v>26139.200000000001</v>
      </c>
      <c r="Q172" s="83">
        <v>0</v>
      </c>
      <c r="R172" s="83">
        <f t="shared" ref="R172:W172" si="118">SUM(R173:R179)</f>
        <v>0</v>
      </c>
      <c r="S172" s="83">
        <f t="shared" si="118"/>
        <v>0</v>
      </c>
      <c r="T172" s="83">
        <f t="shared" si="118"/>
        <v>0</v>
      </c>
      <c r="U172" s="83">
        <f t="shared" si="118"/>
        <v>0</v>
      </c>
      <c r="V172" s="83">
        <f t="shared" si="118"/>
        <v>0</v>
      </c>
      <c r="W172" s="83">
        <f t="shared" si="118"/>
        <v>0</v>
      </c>
      <c r="X172" s="83">
        <v>0</v>
      </c>
      <c r="Y172" s="83">
        <f t="shared" ref="Y172:AE172" si="119">SUM(Y173:Y179)</f>
        <v>0</v>
      </c>
      <c r="Z172" s="259"/>
      <c r="AA172" s="83">
        <f t="shared" si="119"/>
        <v>0</v>
      </c>
      <c r="AB172" s="83">
        <f t="shared" si="119"/>
        <v>0</v>
      </c>
      <c r="AC172" s="83">
        <f t="shared" si="119"/>
        <v>0</v>
      </c>
      <c r="AD172" s="83">
        <f t="shared" si="119"/>
        <v>0</v>
      </c>
      <c r="AE172" s="83">
        <f t="shared" si="119"/>
        <v>0</v>
      </c>
      <c r="AF172" s="83">
        <f>SUM(AG172:AI172)</f>
        <v>0</v>
      </c>
      <c r="AG172" s="83">
        <f>SUM(AG173:AG179)</f>
        <v>0</v>
      </c>
      <c r="AH172" s="83">
        <f>SUM(AH173:AH179)</f>
        <v>0</v>
      </c>
      <c r="AI172" s="83">
        <v>0</v>
      </c>
      <c r="AJ172" s="83">
        <v>0</v>
      </c>
      <c r="AK172" s="83">
        <f>SUM(AK173:AK179)</f>
        <v>0</v>
      </c>
      <c r="AL172" s="83">
        <f>SUM(AL173:AL179)</f>
        <v>0</v>
      </c>
      <c r="AM172" s="83">
        <f>SUM(AM173:AM179)</f>
        <v>0</v>
      </c>
      <c r="AN172" s="83">
        <f>SUM(AN173:AN179)</f>
        <v>0</v>
      </c>
      <c r="AO172" s="83">
        <f>SUM(AO173:AO179)</f>
        <v>0</v>
      </c>
      <c r="AP172" s="409"/>
      <c r="AQ172" s="259"/>
    </row>
    <row r="173" spans="1:43" s="266" customFormat="1" ht="18" hidden="1" customHeight="1" x14ac:dyDescent="0.25">
      <c r="A173" s="324"/>
      <c r="B173" s="252" t="s">
        <v>152</v>
      </c>
      <c r="C173" s="253"/>
      <c r="D173" s="253"/>
      <c r="E173" s="253"/>
      <c r="F173" s="363"/>
      <c r="G173" s="255"/>
      <c r="H173" s="256"/>
      <c r="I173" s="104"/>
      <c r="J173" s="533"/>
      <c r="K173" s="534"/>
      <c r="L173" s="258"/>
      <c r="M173" s="259"/>
      <c r="N173" s="259"/>
      <c r="O173" s="259"/>
      <c r="P173" s="83"/>
      <c r="Q173" s="259">
        <f>S173+U173</f>
        <v>0</v>
      </c>
      <c r="R173" s="259">
        <f>S173</f>
        <v>0</v>
      </c>
      <c r="S173" s="259">
        <v>0</v>
      </c>
      <c r="T173" s="259">
        <v>0</v>
      </c>
      <c r="U173" s="259">
        <v>0</v>
      </c>
      <c r="V173" s="259"/>
      <c r="W173" s="259"/>
      <c r="X173" s="259"/>
      <c r="Y173" s="259"/>
      <c r="Z173" s="259"/>
      <c r="AA173" s="259">
        <v>0</v>
      </c>
      <c r="AB173" s="259"/>
      <c r="AC173" s="259"/>
      <c r="AD173" s="259"/>
      <c r="AE173" s="259"/>
      <c r="AF173" s="259">
        <f>SUM(AG173:AG173)</f>
        <v>0</v>
      </c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411"/>
      <c r="AQ173" s="259"/>
    </row>
    <row r="174" spans="1:43" s="266" customFormat="1" ht="18" hidden="1" customHeight="1" x14ac:dyDescent="0.25">
      <c r="A174" s="324"/>
      <c r="B174" s="252" t="s">
        <v>156</v>
      </c>
      <c r="C174" s="253"/>
      <c r="D174" s="253"/>
      <c r="E174" s="253"/>
      <c r="F174" s="363"/>
      <c r="G174" s="255"/>
      <c r="H174" s="256"/>
      <c r="I174" s="104"/>
      <c r="J174" s="533"/>
      <c r="K174" s="534"/>
      <c r="L174" s="258"/>
      <c r="M174" s="259"/>
      <c r="N174" s="259"/>
      <c r="O174" s="259"/>
      <c r="P174" s="83"/>
      <c r="Q174" s="259">
        <f>S174+U174+W174</f>
        <v>0</v>
      </c>
      <c r="R174" s="259"/>
      <c r="S174" s="259"/>
      <c r="T174" s="259"/>
      <c r="U174" s="259"/>
      <c r="V174" s="259">
        <v>0</v>
      </c>
      <c r="W174" s="259">
        <v>0</v>
      </c>
      <c r="X174" s="259"/>
      <c r="Y174" s="259"/>
      <c r="Z174" s="259"/>
      <c r="AA174" s="259">
        <v>0</v>
      </c>
      <c r="AB174" s="259">
        <v>0</v>
      </c>
      <c r="AC174" s="259"/>
      <c r="AD174" s="259"/>
      <c r="AE174" s="259"/>
      <c r="AF174" s="259">
        <f>SUM(AG174:AG174)</f>
        <v>0</v>
      </c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411"/>
      <c r="AQ174" s="259"/>
    </row>
    <row r="175" spans="1:43" s="266" customFormat="1" ht="26.25" hidden="1" customHeight="1" x14ac:dyDescent="0.25">
      <c r="A175" s="324"/>
      <c r="B175" s="252" t="s">
        <v>229</v>
      </c>
      <c r="C175" s="253"/>
      <c r="D175" s="253"/>
      <c r="E175" s="253"/>
      <c r="F175" s="363"/>
      <c r="G175" s="255"/>
      <c r="H175" s="256"/>
      <c r="I175" s="104"/>
      <c r="J175" s="533"/>
      <c r="K175" s="534"/>
      <c r="L175" s="258"/>
      <c r="M175" s="259"/>
      <c r="N175" s="259"/>
      <c r="O175" s="259"/>
      <c r="P175" s="83"/>
      <c r="Q175" s="259">
        <f>S175+U175+W175+Y175</f>
        <v>0</v>
      </c>
      <c r="R175" s="259"/>
      <c r="S175" s="259"/>
      <c r="T175" s="259"/>
      <c r="U175" s="259"/>
      <c r="V175" s="259"/>
      <c r="W175" s="259"/>
      <c r="X175" s="259">
        <v>0</v>
      </c>
      <c r="Y175" s="259">
        <v>0</v>
      </c>
      <c r="Z175" s="259"/>
      <c r="AA175" s="259">
        <v>0</v>
      </c>
      <c r="AB175" s="259">
        <v>0</v>
      </c>
      <c r="AC175" s="259"/>
      <c r="AD175" s="259"/>
      <c r="AE175" s="259"/>
      <c r="AF175" s="259">
        <f>SUM(AG175:AG175)</f>
        <v>0</v>
      </c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411"/>
      <c r="AQ175" s="259"/>
    </row>
    <row r="176" spans="1:43" s="266" customFormat="1" ht="18" hidden="1" customHeight="1" x14ac:dyDescent="0.25">
      <c r="A176" s="324"/>
      <c r="B176" s="252" t="s">
        <v>230</v>
      </c>
      <c r="C176" s="253"/>
      <c r="D176" s="253"/>
      <c r="E176" s="253"/>
      <c r="F176" s="363"/>
      <c r="G176" s="255"/>
      <c r="H176" s="256"/>
      <c r="I176" s="104"/>
      <c r="J176" s="533"/>
      <c r="K176" s="534"/>
      <c r="L176" s="258"/>
      <c r="M176" s="259"/>
      <c r="N176" s="259"/>
      <c r="O176" s="259"/>
      <c r="P176" s="83"/>
      <c r="Q176" s="259">
        <f>S176+U176+W176+Y176</f>
        <v>0</v>
      </c>
      <c r="R176" s="259">
        <f>S176</f>
        <v>0</v>
      </c>
      <c r="S176" s="259">
        <v>0</v>
      </c>
      <c r="T176" s="259">
        <v>0</v>
      </c>
      <c r="U176" s="259">
        <v>0</v>
      </c>
      <c r="V176" s="259"/>
      <c r="W176" s="259">
        <v>0</v>
      </c>
      <c r="X176" s="259">
        <v>0</v>
      </c>
      <c r="Y176" s="259">
        <v>0</v>
      </c>
      <c r="Z176" s="259"/>
      <c r="AA176" s="259">
        <f>AB176+AC176</f>
        <v>0</v>
      </c>
      <c r="AB176" s="259">
        <v>0</v>
      </c>
      <c r="AC176" s="259">
        <v>0</v>
      </c>
      <c r="AD176" s="259">
        <v>0</v>
      </c>
      <c r="AE176" s="259"/>
      <c r="AF176" s="259">
        <f>SUM(AG176:AG176)</f>
        <v>0</v>
      </c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411"/>
      <c r="AQ176" s="259"/>
    </row>
    <row r="177" spans="1:43" s="266" customFormat="1" ht="18" hidden="1" customHeight="1" x14ac:dyDescent="0.25">
      <c r="A177" s="324"/>
      <c r="B177" s="252" t="s">
        <v>231</v>
      </c>
      <c r="C177" s="253"/>
      <c r="D177" s="253"/>
      <c r="E177" s="253"/>
      <c r="F177" s="363"/>
      <c r="G177" s="255"/>
      <c r="H177" s="256"/>
      <c r="I177" s="104"/>
      <c r="J177" s="533"/>
      <c r="K177" s="534"/>
      <c r="L177" s="258"/>
      <c r="M177" s="259"/>
      <c r="N177" s="259"/>
      <c r="O177" s="259"/>
      <c r="P177" s="83"/>
      <c r="Q177" s="259">
        <f>S177+U177+W177+Y177</f>
        <v>0</v>
      </c>
      <c r="R177" s="259"/>
      <c r="S177" s="259"/>
      <c r="T177" s="259">
        <v>0</v>
      </c>
      <c r="U177" s="259">
        <v>0</v>
      </c>
      <c r="V177" s="259"/>
      <c r="W177" s="259"/>
      <c r="X177" s="259">
        <v>0</v>
      </c>
      <c r="Y177" s="259">
        <v>0</v>
      </c>
      <c r="Z177" s="259"/>
      <c r="AA177" s="259">
        <f>AB177+AC177</f>
        <v>0</v>
      </c>
      <c r="AB177" s="259">
        <v>0</v>
      </c>
      <c r="AC177" s="259"/>
      <c r="AD177" s="259"/>
      <c r="AE177" s="259"/>
      <c r="AF177" s="259">
        <f>SUM(AG177:AG177)</f>
        <v>0</v>
      </c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411"/>
      <c r="AQ177" s="259"/>
    </row>
    <row r="178" spans="1:43" s="266" customFormat="1" ht="18" hidden="1" customHeight="1" x14ac:dyDescent="0.25">
      <c r="A178" s="324"/>
      <c r="B178" s="252" t="s">
        <v>259</v>
      </c>
      <c r="C178" s="253"/>
      <c r="D178" s="253"/>
      <c r="E178" s="253"/>
      <c r="F178" s="363"/>
      <c r="G178" s="255"/>
      <c r="H178" s="256"/>
      <c r="I178" s="104"/>
      <c r="J178" s="533"/>
      <c r="K178" s="534"/>
      <c r="L178" s="258"/>
      <c r="M178" s="259"/>
      <c r="N178" s="259"/>
      <c r="O178" s="259"/>
      <c r="P178" s="83"/>
      <c r="Q178" s="259">
        <v>0</v>
      </c>
      <c r="R178" s="259"/>
      <c r="S178" s="259"/>
      <c r="T178" s="259">
        <v>0</v>
      </c>
      <c r="U178" s="259">
        <v>0</v>
      </c>
      <c r="V178" s="259"/>
      <c r="W178" s="259"/>
      <c r="X178" s="259"/>
      <c r="Y178" s="259"/>
      <c r="Z178" s="259"/>
      <c r="AA178" s="259">
        <f>AB178+AC178</f>
        <v>0</v>
      </c>
      <c r="AB178" s="259"/>
      <c r="AC178" s="259">
        <v>0</v>
      </c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411"/>
      <c r="AQ178" s="259"/>
    </row>
    <row r="179" spans="1:43" s="266" customFormat="1" ht="18" hidden="1" customHeight="1" x14ac:dyDescent="0.25">
      <c r="A179" s="324"/>
      <c r="B179" s="252" t="s">
        <v>153</v>
      </c>
      <c r="C179" s="253"/>
      <c r="D179" s="253"/>
      <c r="E179" s="253"/>
      <c r="F179" s="363"/>
      <c r="G179" s="255"/>
      <c r="H179" s="256"/>
      <c r="I179" s="104"/>
      <c r="J179" s="533"/>
      <c r="K179" s="534"/>
      <c r="L179" s="258"/>
      <c r="M179" s="259"/>
      <c r="N179" s="259"/>
      <c r="O179" s="259"/>
      <c r="P179" s="83"/>
      <c r="Q179" s="259">
        <f>S179+U179+W179+Y179</f>
        <v>0</v>
      </c>
      <c r="R179" s="259">
        <f>S179</f>
        <v>0</v>
      </c>
      <c r="S179" s="259">
        <v>0</v>
      </c>
      <c r="T179" s="259">
        <v>0</v>
      </c>
      <c r="U179" s="259">
        <v>0</v>
      </c>
      <c r="V179" s="259"/>
      <c r="W179" s="259"/>
      <c r="X179" s="259">
        <v>0</v>
      </c>
      <c r="Y179" s="259">
        <v>0</v>
      </c>
      <c r="Z179" s="259"/>
      <c r="AA179" s="259">
        <v>0</v>
      </c>
      <c r="AB179" s="259">
        <v>0</v>
      </c>
      <c r="AC179" s="259"/>
      <c r="AD179" s="259"/>
      <c r="AE179" s="259"/>
      <c r="AF179" s="259">
        <f>SUM(AG179:AG179)</f>
        <v>0</v>
      </c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411"/>
      <c r="AQ179" s="259"/>
    </row>
    <row r="180" spans="1:43" s="327" customFormat="1" ht="42" customHeight="1" x14ac:dyDescent="0.25">
      <c r="A180" s="1398" t="s">
        <v>167</v>
      </c>
      <c r="B180" s="772" t="s">
        <v>168</v>
      </c>
      <c r="C180" s="809"/>
      <c r="D180" s="809"/>
      <c r="E180" s="809"/>
      <c r="F180" s="312"/>
      <c r="G180" s="775"/>
      <c r="H180" s="810"/>
      <c r="I180" s="1326" t="s">
        <v>19</v>
      </c>
      <c r="J180" s="283"/>
      <c r="K180" s="811"/>
      <c r="L180" s="964">
        <f>L181</f>
        <v>7644.31</v>
      </c>
      <c r="M180" s="964">
        <f>M181</f>
        <v>0</v>
      </c>
      <c r="N180" s="964">
        <f t="shared" ref="N180:AO180" si="120">N181</f>
        <v>377.26</v>
      </c>
      <c r="O180" s="964">
        <f t="shared" si="120"/>
        <v>0</v>
      </c>
      <c r="P180" s="964">
        <f>P181+P183</f>
        <v>70000</v>
      </c>
      <c r="Q180" s="964">
        <f>Q181+Q183</f>
        <v>0</v>
      </c>
      <c r="R180" s="964">
        <f t="shared" ref="R180:AA180" si="121">R181+R183</f>
        <v>0</v>
      </c>
      <c r="S180" s="964">
        <f t="shared" si="121"/>
        <v>0</v>
      </c>
      <c r="T180" s="964">
        <f t="shared" si="121"/>
        <v>0</v>
      </c>
      <c r="U180" s="964">
        <f t="shared" si="121"/>
        <v>0</v>
      </c>
      <c r="V180" s="964">
        <f t="shared" si="121"/>
        <v>0</v>
      </c>
      <c r="W180" s="964">
        <f t="shared" si="121"/>
        <v>0</v>
      </c>
      <c r="X180" s="964">
        <f t="shared" si="121"/>
        <v>0</v>
      </c>
      <c r="Y180" s="964">
        <f t="shared" si="121"/>
        <v>0</v>
      </c>
      <c r="Z180" s="964">
        <f t="shared" si="121"/>
        <v>0</v>
      </c>
      <c r="AA180" s="964">
        <f t="shared" si="121"/>
        <v>0</v>
      </c>
      <c r="AB180" s="964">
        <f t="shared" si="120"/>
        <v>0</v>
      </c>
      <c r="AC180" s="964">
        <f t="shared" si="120"/>
        <v>0</v>
      </c>
      <c r="AD180" s="964">
        <f t="shared" si="120"/>
        <v>0</v>
      </c>
      <c r="AE180" s="964">
        <f t="shared" si="120"/>
        <v>0</v>
      </c>
      <c r="AF180" s="964">
        <f t="shared" si="120"/>
        <v>0</v>
      </c>
      <c r="AG180" s="964">
        <f t="shared" si="120"/>
        <v>0</v>
      </c>
      <c r="AH180" s="964">
        <f t="shared" si="120"/>
        <v>0</v>
      </c>
      <c r="AI180" s="964">
        <f t="shared" si="120"/>
        <v>0</v>
      </c>
      <c r="AJ180" s="964">
        <f t="shared" si="120"/>
        <v>0</v>
      </c>
      <c r="AK180" s="964">
        <f t="shared" si="120"/>
        <v>0</v>
      </c>
      <c r="AL180" s="964">
        <f t="shared" si="120"/>
        <v>0</v>
      </c>
      <c r="AM180" s="964">
        <f t="shared" si="120"/>
        <v>0</v>
      </c>
      <c r="AN180" s="964">
        <f t="shared" si="120"/>
        <v>0</v>
      </c>
      <c r="AO180" s="964">
        <f t="shared" si="120"/>
        <v>0</v>
      </c>
      <c r="AP180" s="806" t="s">
        <v>244</v>
      </c>
      <c r="AQ180" s="812">
        <v>0</v>
      </c>
    </row>
    <row r="181" spans="1:43" ht="18" customHeight="1" x14ac:dyDescent="0.25">
      <c r="A181" s="1488"/>
      <c r="B181" s="42" t="s">
        <v>15</v>
      </c>
      <c r="C181" s="334"/>
      <c r="D181" s="334"/>
      <c r="E181" s="334"/>
      <c r="F181" s="313"/>
      <c r="G181" s="335"/>
      <c r="H181" s="336"/>
      <c r="I181" s="1328"/>
      <c r="J181" s="986"/>
      <c r="K181" s="649"/>
      <c r="L181" s="972">
        <v>7644.31</v>
      </c>
      <c r="M181" s="83">
        <v>0</v>
      </c>
      <c r="N181" s="83">
        <v>377.26</v>
      </c>
      <c r="O181" s="83">
        <v>0</v>
      </c>
      <c r="P181" s="83">
        <v>7000</v>
      </c>
      <c r="Q181" s="83">
        <v>0</v>
      </c>
      <c r="R181" s="83">
        <v>0</v>
      </c>
      <c r="S181" s="83">
        <v>0</v>
      </c>
      <c r="T181" s="83">
        <f>SUM(T182:T183)</f>
        <v>0</v>
      </c>
      <c r="U181" s="83">
        <f>SUM(U182:U183)</f>
        <v>0</v>
      </c>
      <c r="V181" s="83">
        <f t="shared" ref="V181:AE181" si="122">SUM(V182:V183)</f>
        <v>0</v>
      </c>
      <c r="W181" s="83">
        <f t="shared" si="122"/>
        <v>0</v>
      </c>
      <c r="X181" s="83">
        <f t="shared" si="122"/>
        <v>0</v>
      </c>
      <c r="Y181" s="83">
        <f t="shared" si="122"/>
        <v>0</v>
      </c>
      <c r="Z181" s="259"/>
      <c r="AA181" s="83">
        <f t="shared" si="122"/>
        <v>0</v>
      </c>
      <c r="AB181" s="83">
        <f t="shared" si="122"/>
        <v>0</v>
      </c>
      <c r="AC181" s="83">
        <f t="shared" si="122"/>
        <v>0</v>
      </c>
      <c r="AD181" s="83">
        <f t="shared" si="122"/>
        <v>0</v>
      </c>
      <c r="AE181" s="83">
        <f t="shared" si="122"/>
        <v>0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0</v>
      </c>
      <c r="AL181" s="83">
        <v>0</v>
      </c>
      <c r="AM181" s="83">
        <v>0</v>
      </c>
      <c r="AN181" s="83">
        <v>0</v>
      </c>
      <c r="AO181" s="83">
        <v>0</v>
      </c>
      <c r="AP181" s="409"/>
      <c r="AQ181" s="259"/>
    </row>
    <row r="182" spans="1:43" s="266" customFormat="1" ht="18" hidden="1" customHeight="1" x14ac:dyDescent="0.25">
      <c r="A182" s="366"/>
      <c r="B182" s="252" t="s">
        <v>232</v>
      </c>
      <c r="C182" s="253"/>
      <c r="D182" s="253"/>
      <c r="E182" s="253"/>
      <c r="F182" s="363"/>
      <c r="G182" s="255"/>
      <c r="H182" s="256"/>
      <c r="I182" s="367"/>
      <c r="J182" s="533"/>
      <c r="K182" s="534"/>
      <c r="L182" s="258"/>
      <c r="M182" s="259"/>
      <c r="N182" s="259"/>
      <c r="O182" s="259"/>
      <c r="P182" s="83"/>
      <c r="Q182" s="259"/>
      <c r="R182" s="259"/>
      <c r="S182" s="259"/>
      <c r="T182" s="259"/>
      <c r="U182" s="259"/>
      <c r="V182" s="259"/>
      <c r="W182" s="259"/>
      <c r="X182" s="83"/>
      <c r="Y182" s="83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411"/>
      <c r="AQ182" s="259"/>
    </row>
    <row r="183" spans="1:43" ht="18" customHeight="1" x14ac:dyDescent="0.25">
      <c r="A183" s="948"/>
      <c r="B183" s="42" t="s">
        <v>32</v>
      </c>
      <c r="C183" s="334"/>
      <c r="D183" s="334"/>
      <c r="E183" s="334"/>
      <c r="F183" s="313"/>
      <c r="G183" s="335"/>
      <c r="H183" s="336"/>
      <c r="I183" s="947"/>
      <c r="J183" s="986"/>
      <c r="K183" s="649"/>
      <c r="L183" s="972"/>
      <c r="M183" s="83"/>
      <c r="N183" s="83"/>
      <c r="O183" s="83"/>
      <c r="P183" s="83">
        <v>63000</v>
      </c>
      <c r="Q183" s="83">
        <f>S183+U183</f>
        <v>0</v>
      </c>
      <c r="R183" s="83"/>
      <c r="S183" s="83"/>
      <c r="T183" s="83">
        <v>0</v>
      </c>
      <c r="U183" s="83">
        <v>0</v>
      </c>
      <c r="V183" s="83"/>
      <c r="W183" s="83"/>
      <c r="X183" s="83"/>
      <c r="Y183" s="83"/>
      <c r="Z183" s="83"/>
      <c r="AA183" s="83">
        <f>SUM(AB183:AC183)</f>
        <v>0</v>
      </c>
      <c r="AB183" s="83"/>
      <c r="AC183" s="83">
        <v>0</v>
      </c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409"/>
      <c r="AQ183" s="83"/>
    </row>
    <row r="184" spans="1:43" s="327" customFormat="1" ht="26.25" customHeight="1" x14ac:dyDescent="0.25">
      <c r="A184" s="1398" t="s">
        <v>169</v>
      </c>
      <c r="B184" s="772" t="s">
        <v>170</v>
      </c>
      <c r="C184" s="809"/>
      <c r="D184" s="809"/>
      <c r="E184" s="809"/>
      <c r="F184" s="312"/>
      <c r="G184" s="775"/>
      <c r="H184" s="810"/>
      <c r="I184" s="1326" t="s">
        <v>19</v>
      </c>
      <c r="J184" s="283"/>
      <c r="K184" s="811"/>
      <c r="L184" s="964">
        <f>L185</f>
        <v>8790.08</v>
      </c>
      <c r="M184" s="964">
        <f>M185</f>
        <v>0</v>
      </c>
      <c r="N184" s="964">
        <f t="shared" ref="N184:AO185" si="123">N185</f>
        <v>612.4</v>
      </c>
      <c r="O184" s="964">
        <f t="shared" si="123"/>
        <v>7188.28</v>
      </c>
      <c r="P184" s="964">
        <v>1215.26</v>
      </c>
      <c r="Q184" s="964">
        <v>0</v>
      </c>
      <c r="R184" s="964">
        <f t="shared" si="123"/>
        <v>0</v>
      </c>
      <c r="S184" s="964">
        <f t="shared" si="123"/>
        <v>0</v>
      </c>
      <c r="T184" s="964">
        <f t="shared" si="123"/>
        <v>0</v>
      </c>
      <c r="U184" s="964">
        <f t="shared" si="123"/>
        <v>2205.3380000000002</v>
      </c>
      <c r="V184" s="964">
        <f t="shared" si="123"/>
        <v>0</v>
      </c>
      <c r="W184" s="964">
        <f t="shared" si="123"/>
        <v>0</v>
      </c>
      <c r="X184" s="964">
        <f t="shared" si="123"/>
        <v>0</v>
      </c>
      <c r="Y184" s="964">
        <f t="shared" si="123"/>
        <v>0</v>
      </c>
      <c r="Z184" s="964">
        <v>0</v>
      </c>
      <c r="AA184" s="964">
        <v>0</v>
      </c>
      <c r="AB184" s="964">
        <f>AB185</f>
        <v>2205.337</v>
      </c>
      <c r="AC184" s="964">
        <f>AC185</f>
        <v>0</v>
      </c>
      <c r="AD184" s="964">
        <f>AD185</f>
        <v>0</v>
      </c>
      <c r="AE184" s="964">
        <f>AE185</f>
        <v>0</v>
      </c>
      <c r="AF184" s="964">
        <f t="shared" si="123"/>
        <v>0</v>
      </c>
      <c r="AG184" s="964">
        <f t="shared" si="123"/>
        <v>0</v>
      </c>
      <c r="AH184" s="964">
        <f t="shared" si="123"/>
        <v>0</v>
      </c>
      <c r="AI184" s="964">
        <f t="shared" si="123"/>
        <v>0</v>
      </c>
      <c r="AJ184" s="964">
        <f t="shared" si="123"/>
        <v>0</v>
      </c>
      <c r="AK184" s="964">
        <f t="shared" si="123"/>
        <v>0</v>
      </c>
      <c r="AL184" s="964">
        <f t="shared" si="123"/>
        <v>0</v>
      </c>
      <c r="AM184" s="964">
        <f t="shared" si="123"/>
        <v>0</v>
      </c>
      <c r="AN184" s="964">
        <f t="shared" si="123"/>
        <v>0</v>
      </c>
      <c r="AO184" s="964">
        <f t="shared" si="123"/>
        <v>0</v>
      </c>
      <c r="AP184" s="806"/>
      <c r="AQ184" s="964">
        <v>0</v>
      </c>
    </row>
    <row r="185" spans="1:43" ht="24" hidden="1" customHeight="1" x14ac:dyDescent="0.25">
      <c r="A185" s="1488"/>
      <c r="B185" s="42" t="s">
        <v>15</v>
      </c>
      <c r="C185" s="334"/>
      <c r="D185" s="334"/>
      <c r="E185" s="334"/>
      <c r="F185" s="313"/>
      <c r="G185" s="335"/>
      <c r="H185" s="336"/>
      <c r="I185" s="1328"/>
      <c r="J185" s="986"/>
      <c r="K185" s="649"/>
      <c r="L185" s="972">
        <v>8790.08</v>
      </c>
      <c r="M185" s="83">
        <v>0</v>
      </c>
      <c r="N185" s="83">
        <v>612.4</v>
      </c>
      <c r="O185" s="83">
        <v>7188.28</v>
      </c>
      <c r="P185" s="83">
        <v>8177.68</v>
      </c>
      <c r="Q185" s="83">
        <f>Q186</f>
        <v>2205.3380000000002</v>
      </c>
      <c r="R185" s="83">
        <f t="shared" si="123"/>
        <v>0</v>
      </c>
      <c r="S185" s="83">
        <f t="shared" si="123"/>
        <v>0</v>
      </c>
      <c r="T185" s="83">
        <f t="shared" si="123"/>
        <v>0</v>
      </c>
      <c r="U185" s="83">
        <f t="shared" si="123"/>
        <v>2205.3380000000002</v>
      </c>
      <c r="V185" s="83">
        <f t="shared" si="123"/>
        <v>0</v>
      </c>
      <c r="W185" s="83">
        <f t="shared" si="123"/>
        <v>0</v>
      </c>
      <c r="X185" s="83">
        <f t="shared" si="123"/>
        <v>0</v>
      </c>
      <c r="Y185" s="83">
        <f t="shared" si="123"/>
        <v>0</v>
      </c>
      <c r="Z185" s="259"/>
      <c r="AA185" s="83">
        <f t="shared" si="123"/>
        <v>2205.337</v>
      </c>
      <c r="AB185" s="83">
        <f t="shared" si="123"/>
        <v>2205.337</v>
      </c>
      <c r="AC185" s="83">
        <f t="shared" si="123"/>
        <v>0</v>
      </c>
      <c r="AD185" s="83">
        <f>AD186</f>
        <v>0</v>
      </c>
      <c r="AE185" s="83">
        <f>AE186</f>
        <v>0</v>
      </c>
      <c r="AF185" s="83">
        <f t="shared" si="123"/>
        <v>0</v>
      </c>
      <c r="AG185" s="83">
        <f t="shared" si="123"/>
        <v>0</v>
      </c>
      <c r="AH185" s="83">
        <v>0</v>
      </c>
      <c r="AI185" s="83">
        <v>0</v>
      </c>
      <c r="AJ185" s="83">
        <v>0</v>
      </c>
      <c r="AK185" s="83">
        <v>0</v>
      </c>
      <c r="AL185" s="83">
        <v>0</v>
      </c>
      <c r="AM185" s="83">
        <v>0</v>
      </c>
      <c r="AN185" s="83">
        <v>0</v>
      </c>
      <c r="AO185" s="83">
        <v>0</v>
      </c>
      <c r="AP185" s="409"/>
      <c r="AQ185" s="259"/>
    </row>
    <row r="186" spans="1:43" s="266" customFormat="1" ht="27" hidden="1" customHeight="1" x14ac:dyDescent="0.25">
      <c r="A186" s="366"/>
      <c r="B186" s="252" t="s">
        <v>302</v>
      </c>
      <c r="C186" s="253"/>
      <c r="D186" s="253"/>
      <c r="E186" s="253"/>
      <c r="F186" s="363"/>
      <c r="G186" s="255"/>
      <c r="H186" s="256"/>
      <c r="I186" s="367"/>
      <c r="J186" s="533"/>
      <c r="K186" s="534"/>
      <c r="L186" s="258"/>
      <c r="M186" s="259"/>
      <c r="N186" s="259"/>
      <c r="O186" s="259"/>
      <c r="P186" s="259"/>
      <c r="Q186" s="259">
        <f>S186+U186</f>
        <v>2205.3380000000002</v>
      </c>
      <c r="R186" s="259"/>
      <c r="S186" s="259"/>
      <c r="T186" s="259"/>
      <c r="U186" s="259">
        <v>2205.3380000000002</v>
      </c>
      <c r="V186" s="259"/>
      <c r="W186" s="259"/>
      <c r="X186" s="259"/>
      <c r="Y186" s="259"/>
      <c r="Z186" s="259"/>
      <c r="AA186" s="259">
        <f>AB186</f>
        <v>2205.337</v>
      </c>
      <c r="AB186" s="259">
        <v>2205.337</v>
      </c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411"/>
      <c r="AQ186" s="259"/>
    </row>
    <row r="187" spans="1:43" s="327" customFormat="1" ht="43.5" customHeight="1" x14ac:dyDescent="0.25">
      <c r="A187" s="1398" t="s">
        <v>171</v>
      </c>
      <c r="B187" s="772" t="s">
        <v>172</v>
      </c>
      <c r="C187" s="809"/>
      <c r="D187" s="809"/>
      <c r="E187" s="809"/>
      <c r="F187" s="312"/>
      <c r="G187" s="775"/>
      <c r="H187" s="810"/>
      <c r="I187" s="1326" t="s">
        <v>19</v>
      </c>
      <c r="J187" s="283"/>
      <c r="K187" s="811"/>
      <c r="L187" s="964">
        <f>L188+L194</f>
        <v>204849.53</v>
      </c>
      <c r="M187" s="964">
        <f>M188+M194</f>
        <v>195485</v>
      </c>
      <c r="N187" s="964">
        <f>N188+N194</f>
        <v>203676.84</v>
      </c>
      <c r="O187" s="964">
        <f t="shared" ref="O187:AO187" si="124">O188</f>
        <v>1116.69</v>
      </c>
      <c r="P187" s="964">
        <f>P188+P194</f>
        <v>0</v>
      </c>
      <c r="Q187" s="964">
        <f t="shared" si="124"/>
        <v>0</v>
      </c>
      <c r="R187" s="964">
        <f t="shared" si="124"/>
        <v>0</v>
      </c>
      <c r="S187" s="964">
        <f t="shared" si="124"/>
        <v>3000</v>
      </c>
      <c r="T187" s="964">
        <f t="shared" si="124"/>
        <v>0</v>
      </c>
      <c r="U187" s="964">
        <f t="shared" si="124"/>
        <v>0</v>
      </c>
      <c r="V187" s="964">
        <f t="shared" si="124"/>
        <v>0</v>
      </c>
      <c r="W187" s="964">
        <f t="shared" si="124"/>
        <v>0</v>
      </c>
      <c r="X187" s="964">
        <f t="shared" si="124"/>
        <v>0</v>
      </c>
      <c r="Y187" s="964">
        <f t="shared" si="124"/>
        <v>0</v>
      </c>
      <c r="Z187" s="812">
        <v>0</v>
      </c>
      <c r="AA187" s="964">
        <f t="shared" si="124"/>
        <v>0</v>
      </c>
      <c r="AB187" s="964">
        <f t="shared" si="124"/>
        <v>0</v>
      </c>
      <c r="AC187" s="964">
        <f t="shared" si="124"/>
        <v>0</v>
      </c>
      <c r="AD187" s="964">
        <f t="shared" si="124"/>
        <v>0</v>
      </c>
      <c r="AE187" s="964">
        <f t="shared" si="124"/>
        <v>0</v>
      </c>
      <c r="AF187" s="964">
        <f t="shared" si="124"/>
        <v>0</v>
      </c>
      <c r="AG187" s="964">
        <f t="shared" si="124"/>
        <v>0</v>
      </c>
      <c r="AH187" s="964">
        <f t="shared" si="124"/>
        <v>0</v>
      </c>
      <c r="AI187" s="964">
        <f t="shared" si="124"/>
        <v>0</v>
      </c>
      <c r="AJ187" s="964">
        <f t="shared" si="124"/>
        <v>0</v>
      </c>
      <c r="AK187" s="964">
        <f t="shared" si="124"/>
        <v>0</v>
      </c>
      <c r="AL187" s="964">
        <f t="shared" si="124"/>
        <v>0</v>
      </c>
      <c r="AM187" s="964">
        <f t="shared" si="124"/>
        <v>0</v>
      </c>
      <c r="AN187" s="964">
        <f t="shared" si="124"/>
        <v>0</v>
      </c>
      <c r="AO187" s="964">
        <f t="shared" si="124"/>
        <v>0</v>
      </c>
      <c r="AP187" s="813" t="s">
        <v>295</v>
      </c>
      <c r="AQ187" s="812">
        <v>0</v>
      </c>
    </row>
    <row r="188" spans="1:43" x14ac:dyDescent="0.25">
      <c r="A188" s="1488"/>
      <c r="B188" s="42" t="s">
        <v>15</v>
      </c>
      <c r="C188" s="334"/>
      <c r="D188" s="334"/>
      <c r="E188" s="334"/>
      <c r="F188" s="313"/>
      <c r="G188" s="335"/>
      <c r="H188" s="336"/>
      <c r="I188" s="1328"/>
      <c r="J188" s="986"/>
      <c r="K188" s="649"/>
      <c r="L188" s="972">
        <v>9364.5300000000007</v>
      </c>
      <c r="M188" s="83">
        <v>0</v>
      </c>
      <c r="N188" s="83">
        <v>8191.84</v>
      </c>
      <c r="O188" s="83">
        <v>1116.69</v>
      </c>
      <c r="P188" s="83">
        <v>0</v>
      </c>
      <c r="Q188" s="83">
        <v>0</v>
      </c>
      <c r="R188" s="83">
        <f>P188</f>
        <v>0</v>
      </c>
      <c r="S188" s="83">
        <f>SUM(S189:S193)</f>
        <v>3000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259"/>
      <c r="AA188" s="83">
        <f>SUM(AA189:AA193)</f>
        <v>0</v>
      </c>
      <c r="AB188" s="83">
        <f t="shared" ref="AB188:AJ188" si="125">SUM(AB189:AB191)</f>
        <v>0</v>
      </c>
      <c r="AC188" s="83">
        <f t="shared" si="125"/>
        <v>0</v>
      </c>
      <c r="AD188" s="83">
        <f t="shared" si="125"/>
        <v>0</v>
      </c>
      <c r="AE188" s="83">
        <f>SUM(AE189:AE193)</f>
        <v>0</v>
      </c>
      <c r="AF188" s="83">
        <f t="shared" si="125"/>
        <v>0</v>
      </c>
      <c r="AG188" s="83">
        <f t="shared" si="125"/>
        <v>0</v>
      </c>
      <c r="AH188" s="83">
        <f t="shared" si="125"/>
        <v>0</v>
      </c>
      <c r="AI188" s="83">
        <f t="shared" si="125"/>
        <v>0</v>
      </c>
      <c r="AJ188" s="83">
        <f t="shared" si="125"/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409"/>
      <c r="AQ188" s="259"/>
    </row>
    <row r="189" spans="1:43" s="266" customFormat="1" ht="15.75" hidden="1" x14ac:dyDescent="0.25">
      <c r="A189" s="324"/>
      <c r="B189" s="252" t="s">
        <v>233</v>
      </c>
      <c r="C189" s="253"/>
      <c r="D189" s="253"/>
      <c r="E189" s="253"/>
      <c r="F189" s="363"/>
      <c r="G189" s="255"/>
      <c r="H189" s="256"/>
      <c r="I189" s="368"/>
      <c r="J189" s="533"/>
      <c r="K189" s="534"/>
      <c r="L189" s="258"/>
      <c r="M189" s="259"/>
      <c r="N189" s="259"/>
      <c r="O189" s="259"/>
      <c r="P189" s="83"/>
      <c r="Q189" s="259">
        <f>Y189</f>
        <v>0</v>
      </c>
      <c r="R189" s="259"/>
      <c r="S189" s="259"/>
      <c r="T189" s="259"/>
      <c r="U189" s="259"/>
      <c r="V189" s="259"/>
      <c r="W189" s="259"/>
      <c r="X189" s="259">
        <f>Y189</f>
        <v>0</v>
      </c>
      <c r="Y189" s="83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411"/>
      <c r="AQ189" s="259"/>
    </row>
    <row r="190" spans="1:43" s="266" customFormat="1" ht="15.75" hidden="1" x14ac:dyDescent="0.25">
      <c r="A190" s="324"/>
      <c r="B190" s="252" t="s">
        <v>262</v>
      </c>
      <c r="C190" s="253"/>
      <c r="D190" s="253"/>
      <c r="E190" s="253"/>
      <c r="F190" s="363"/>
      <c r="G190" s="255"/>
      <c r="H190" s="256"/>
      <c r="I190" s="368"/>
      <c r="J190" s="533"/>
      <c r="K190" s="534"/>
      <c r="L190" s="258"/>
      <c r="M190" s="259"/>
      <c r="N190" s="259"/>
      <c r="O190" s="259"/>
      <c r="P190" s="259"/>
      <c r="Q190" s="259">
        <f>S190+U190+W190</f>
        <v>3000</v>
      </c>
      <c r="R190" s="259">
        <f>S190</f>
        <v>3000</v>
      </c>
      <c r="S190" s="259">
        <v>3000</v>
      </c>
      <c r="T190" s="259">
        <f>U190</f>
        <v>0</v>
      </c>
      <c r="U190" s="259">
        <v>0</v>
      </c>
      <c r="V190" s="259"/>
      <c r="W190" s="259">
        <v>0</v>
      </c>
      <c r="X190" s="259"/>
      <c r="Y190" s="259"/>
      <c r="Z190" s="259"/>
      <c r="AA190" s="259">
        <f>SUM(AB190:AC190)</f>
        <v>0</v>
      </c>
      <c r="AB190" s="259"/>
      <c r="AC190" s="259">
        <v>0</v>
      </c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411"/>
      <c r="AQ190" s="259"/>
    </row>
    <row r="191" spans="1:43" s="266" customFormat="1" ht="15.75" hidden="1" x14ac:dyDescent="0.25">
      <c r="A191" s="324"/>
      <c r="B191" s="252" t="s">
        <v>263</v>
      </c>
      <c r="C191" s="253"/>
      <c r="D191" s="253"/>
      <c r="E191" s="253"/>
      <c r="F191" s="363"/>
      <c r="G191" s="255"/>
      <c r="H191" s="256"/>
      <c r="I191" s="368"/>
      <c r="J191" s="533"/>
      <c r="K191" s="534"/>
      <c r="L191" s="258"/>
      <c r="M191" s="259"/>
      <c r="N191" s="259"/>
      <c r="O191" s="259"/>
      <c r="P191" s="259"/>
      <c r="Q191" s="259">
        <v>0</v>
      </c>
      <c r="R191" s="259">
        <v>0</v>
      </c>
      <c r="S191" s="259">
        <v>0</v>
      </c>
      <c r="T191" s="259">
        <v>0</v>
      </c>
      <c r="U191" s="259">
        <v>0</v>
      </c>
      <c r="V191" s="259"/>
      <c r="W191" s="259"/>
      <c r="X191" s="259"/>
      <c r="Y191" s="259"/>
      <c r="Z191" s="259"/>
      <c r="AA191" s="259">
        <f>SUM(AB191:AC191)</f>
        <v>0</v>
      </c>
      <c r="AB191" s="259"/>
      <c r="AC191" s="259">
        <v>0</v>
      </c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411"/>
      <c r="AQ191" s="259"/>
    </row>
    <row r="192" spans="1:43" s="266" customFormat="1" ht="15.75" hidden="1" x14ac:dyDescent="0.25">
      <c r="A192" s="324"/>
      <c r="B192" s="252" t="s">
        <v>292</v>
      </c>
      <c r="C192" s="253"/>
      <c r="D192" s="253"/>
      <c r="E192" s="253"/>
      <c r="F192" s="363"/>
      <c r="G192" s="255"/>
      <c r="H192" s="256"/>
      <c r="I192" s="368"/>
      <c r="J192" s="533"/>
      <c r="K192" s="534"/>
      <c r="L192" s="258"/>
      <c r="M192" s="259"/>
      <c r="N192" s="259"/>
      <c r="O192" s="259"/>
      <c r="P192" s="259"/>
      <c r="Q192" s="259">
        <f>Y192</f>
        <v>0</v>
      </c>
      <c r="R192" s="259"/>
      <c r="S192" s="259"/>
      <c r="T192" s="259"/>
      <c r="U192" s="259"/>
      <c r="V192" s="259"/>
      <c r="W192" s="259"/>
      <c r="X192" s="259">
        <f>Y192</f>
        <v>0</v>
      </c>
      <c r="Y192" s="259">
        <v>0</v>
      </c>
      <c r="Z192" s="259"/>
      <c r="AA192" s="259">
        <f>SUM(AB192:AE192)</f>
        <v>0</v>
      </c>
      <c r="AB192" s="259"/>
      <c r="AC192" s="259"/>
      <c r="AD192" s="259"/>
      <c r="AE192" s="259">
        <v>0</v>
      </c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411"/>
      <c r="AQ192" s="259"/>
    </row>
    <row r="193" spans="1:43" s="266" customFormat="1" ht="15.75" hidden="1" x14ac:dyDescent="0.25">
      <c r="A193" s="324"/>
      <c r="B193" s="252" t="s">
        <v>293</v>
      </c>
      <c r="C193" s="253"/>
      <c r="D193" s="253"/>
      <c r="E193" s="253"/>
      <c r="F193" s="363"/>
      <c r="G193" s="255"/>
      <c r="H193" s="256"/>
      <c r="I193" s="368"/>
      <c r="J193" s="533"/>
      <c r="K193" s="534"/>
      <c r="L193" s="258"/>
      <c r="M193" s="259"/>
      <c r="N193" s="259"/>
      <c r="O193" s="259"/>
      <c r="P193" s="259"/>
      <c r="Q193" s="259">
        <f>Y193</f>
        <v>0</v>
      </c>
      <c r="R193" s="259"/>
      <c r="S193" s="259"/>
      <c r="T193" s="259"/>
      <c r="U193" s="259"/>
      <c r="V193" s="259"/>
      <c r="W193" s="259"/>
      <c r="X193" s="259">
        <f>Y193</f>
        <v>0</v>
      </c>
      <c r="Y193" s="259">
        <v>0</v>
      </c>
      <c r="Z193" s="259"/>
      <c r="AA193" s="259">
        <f>SUM(AB193:AE193)</f>
        <v>0</v>
      </c>
      <c r="AB193" s="259"/>
      <c r="AC193" s="259"/>
      <c r="AD193" s="259"/>
      <c r="AE193" s="259">
        <v>0</v>
      </c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411"/>
      <c r="AQ193" s="259"/>
    </row>
    <row r="194" spans="1:43" ht="17.25" customHeight="1" x14ac:dyDescent="0.25">
      <c r="A194" s="941"/>
      <c r="B194" s="42" t="s">
        <v>32</v>
      </c>
      <c r="C194" s="334"/>
      <c r="D194" s="334"/>
      <c r="E194" s="334"/>
      <c r="F194" s="313"/>
      <c r="G194" s="335"/>
      <c r="H194" s="336"/>
      <c r="I194" s="944" t="s">
        <v>10</v>
      </c>
      <c r="J194" s="986"/>
      <c r="K194" s="649"/>
      <c r="L194" s="972">
        <v>195485</v>
      </c>
      <c r="M194" s="972">
        <v>195485</v>
      </c>
      <c r="N194" s="972">
        <v>195485</v>
      </c>
      <c r="O194" s="972">
        <v>195485</v>
      </c>
      <c r="P194" s="972">
        <v>0</v>
      </c>
      <c r="Q194" s="83"/>
      <c r="R194" s="83"/>
      <c r="S194" s="83"/>
      <c r="T194" s="83"/>
      <c r="U194" s="83"/>
      <c r="V194" s="83"/>
      <c r="W194" s="83"/>
      <c r="X194" s="83"/>
      <c r="Y194" s="83"/>
      <c r="Z194" s="259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409"/>
      <c r="AQ194" s="259"/>
    </row>
    <row r="195" spans="1:43" s="327" customFormat="1" ht="25.5" x14ac:dyDescent="0.25">
      <c r="A195" s="982"/>
      <c r="B195" s="772" t="s">
        <v>409</v>
      </c>
      <c r="C195" s="809"/>
      <c r="D195" s="809"/>
      <c r="E195" s="809"/>
      <c r="F195" s="312"/>
      <c r="G195" s="775"/>
      <c r="H195" s="810"/>
      <c r="I195" s="984"/>
      <c r="J195" s="283"/>
      <c r="K195" s="811"/>
      <c r="L195" s="964"/>
      <c r="M195" s="964"/>
      <c r="N195" s="964"/>
      <c r="O195" s="964"/>
      <c r="P195" s="964">
        <f>P196+P197</f>
        <v>12759.949999999999</v>
      </c>
      <c r="Q195" s="816">
        <v>0</v>
      </c>
      <c r="R195" s="816"/>
      <c r="S195" s="816"/>
      <c r="T195" s="816"/>
      <c r="U195" s="816"/>
      <c r="V195" s="816"/>
      <c r="W195" s="816"/>
      <c r="X195" s="816"/>
      <c r="Y195" s="816"/>
      <c r="Z195" s="817"/>
      <c r="AA195" s="816">
        <v>0</v>
      </c>
      <c r="AB195" s="816"/>
      <c r="AC195" s="816"/>
      <c r="AD195" s="816"/>
      <c r="AE195" s="816"/>
      <c r="AF195" s="816"/>
      <c r="AG195" s="816"/>
      <c r="AH195" s="816"/>
      <c r="AI195" s="816"/>
      <c r="AJ195" s="816"/>
      <c r="AK195" s="816"/>
      <c r="AL195" s="816"/>
      <c r="AM195" s="816"/>
      <c r="AN195" s="816"/>
      <c r="AO195" s="816"/>
      <c r="AP195" s="818"/>
      <c r="AQ195" s="817"/>
    </row>
    <row r="196" spans="1:43" ht="15.75" x14ac:dyDescent="0.25">
      <c r="A196" s="941"/>
      <c r="B196" s="42" t="s">
        <v>39</v>
      </c>
      <c r="C196" s="334"/>
      <c r="D196" s="334"/>
      <c r="E196" s="334"/>
      <c r="F196" s="313"/>
      <c r="G196" s="335"/>
      <c r="H196" s="336"/>
      <c r="I196" s="944"/>
      <c r="J196" s="986"/>
      <c r="K196" s="649"/>
      <c r="L196" s="972"/>
      <c r="M196" s="972"/>
      <c r="N196" s="972"/>
      <c r="O196" s="972"/>
      <c r="P196" s="972">
        <v>1652.72</v>
      </c>
      <c r="Q196" s="83">
        <v>0</v>
      </c>
      <c r="R196" s="83"/>
      <c r="S196" s="83"/>
      <c r="T196" s="83"/>
      <c r="U196" s="83"/>
      <c r="V196" s="83"/>
      <c r="W196" s="83"/>
      <c r="X196" s="83"/>
      <c r="Y196" s="83"/>
      <c r="Z196" s="259"/>
      <c r="AA196" s="83">
        <v>0</v>
      </c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409"/>
      <c r="AQ196" s="259"/>
    </row>
    <row r="197" spans="1:43" ht="15.75" x14ac:dyDescent="0.25">
      <c r="A197" s="941"/>
      <c r="B197" s="42" t="s">
        <v>32</v>
      </c>
      <c r="C197" s="334"/>
      <c r="D197" s="334"/>
      <c r="E197" s="334"/>
      <c r="F197" s="313"/>
      <c r="G197" s="335"/>
      <c r="H197" s="336"/>
      <c r="I197" s="946"/>
      <c r="J197" s="986"/>
      <c r="K197" s="649"/>
      <c r="L197" s="972"/>
      <c r="M197" s="83"/>
      <c r="N197" s="83"/>
      <c r="O197" s="83"/>
      <c r="P197" s="83">
        <v>11107.23</v>
      </c>
      <c r="Q197" s="83">
        <v>0</v>
      </c>
      <c r="R197" s="83"/>
      <c r="S197" s="83"/>
      <c r="T197" s="83"/>
      <c r="U197" s="83"/>
      <c r="V197" s="83"/>
      <c r="W197" s="83"/>
      <c r="X197" s="83"/>
      <c r="Y197" s="83"/>
      <c r="Z197" s="83"/>
      <c r="AA197" s="83">
        <v>0</v>
      </c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409"/>
      <c r="AQ197" s="83"/>
    </row>
    <row r="198" spans="1:43" s="327" customFormat="1" ht="15.75" x14ac:dyDescent="0.25">
      <c r="A198" s="982"/>
      <c r="B198" s="772" t="s">
        <v>410</v>
      </c>
      <c r="C198" s="809"/>
      <c r="D198" s="809"/>
      <c r="E198" s="809"/>
      <c r="F198" s="312"/>
      <c r="G198" s="775"/>
      <c r="H198" s="810"/>
      <c r="I198" s="984"/>
      <c r="J198" s="283"/>
      <c r="K198" s="811"/>
      <c r="L198" s="964"/>
      <c r="M198" s="964"/>
      <c r="N198" s="964"/>
      <c r="O198" s="964"/>
      <c r="P198" s="964">
        <f>P199+P200</f>
        <v>21627.71</v>
      </c>
      <c r="Q198" s="816">
        <v>0</v>
      </c>
      <c r="R198" s="816"/>
      <c r="S198" s="816"/>
      <c r="T198" s="816"/>
      <c r="U198" s="816"/>
      <c r="V198" s="816"/>
      <c r="W198" s="816"/>
      <c r="X198" s="816"/>
      <c r="Y198" s="816"/>
      <c r="Z198" s="817"/>
      <c r="AA198" s="816">
        <v>0</v>
      </c>
      <c r="AB198" s="816"/>
      <c r="AC198" s="816"/>
      <c r="AD198" s="816"/>
      <c r="AE198" s="816"/>
      <c r="AF198" s="816"/>
      <c r="AG198" s="816"/>
      <c r="AH198" s="816"/>
      <c r="AI198" s="816"/>
      <c r="AJ198" s="816"/>
      <c r="AK198" s="816"/>
      <c r="AL198" s="816"/>
      <c r="AM198" s="816"/>
      <c r="AN198" s="816"/>
      <c r="AO198" s="816"/>
      <c r="AP198" s="818"/>
      <c r="AQ198" s="817"/>
    </row>
    <row r="199" spans="1:43" ht="15.75" x14ac:dyDescent="0.25">
      <c r="A199" s="941"/>
      <c r="B199" s="42" t="s">
        <v>39</v>
      </c>
      <c r="C199" s="334"/>
      <c r="D199" s="334"/>
      <c r="E199" s="334"/>
      <c r="F199" s="313"/>
      <c r="G199" s="335"/>
      <c r="H199" s="336"/>
      <c r="I199" s="944"/>
      <c r="J199" s="986"/>
      <c r="K199" s="649"/>
      <c r="L199" s="972"/>
      <c r="M199" s="972"/>
      <c r="N199" s="972"/>
      <c r="O199" s="972"/>
      <c r="P199" s="972">
        <v>1821.34</v>
      </c>
      <c r="Q199" s="83">
        <v>0</v>
      </c>
      <c r="R199" s="83"/>
      <c r="S199" s="83"/>
      <c r="T199" s="83"/>
      <c r="U199" s="83"/>
      <c r="V199" s="83"/>
      <c r="W199" s="83"/>
      <c r="X199" s="83"/>
      <c r="Y199" s="83"/>
      <c r="Z199" s="259"/>
      <c r="AA199" s="83">
        <v>0</v>
      </c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409"/>
      <c r="AQ199" s="259"/>
    </row>
    <row r="200" spans="1:43" ht="15.75" x14ac:dyDescent="0.25">
      <c r="A200" s="941"/>
      <c r="B200" s="42" t="s">
        <v>16</v>
      </c>
      <c r="C200" s="334"/>
      <c r="D200" s="334"/>
      <c r="E200" s="334"/>
      <c r="F200" s="313"/>
      <c r="G200" s="335"/>
      <c r="H200" s="336"/>
      <c r="I200" s="946"/>
      <c r="J200" s="986"/>
      <c r="K200" s="649"/>
      <c r="L200" s="972"/>
      <c r="M200" s="83"/>
      <c r="N200" s="83"/>
      <c r="O200" s="83"/>
      <c r="P200" s="83">
        <v>19806.37</v>
      </c>
      <c r="Q200" s="83">
        <v>0</v>
      </c>
      <c r="R200" s="83"/>
      <c r="S200" s="83"/>
      <c r="T200" s="83"/>
      <c r="U200" s="83"/>
      <c r="V200" s="83"/>
      <c r="W200" s="83"/>
      <c r="X200" s="83"/>
      <c r="Y200" s="83"/>
      <c r="Z200" s="83"/>
      <c r="AA200" s="83">
        <v>0</v>
      </c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409"/>
      <c r="AQ200" s="83"/>
    </row>
    <row r="201" spans="1:43" s="327" customFormat="1" ht="25.5" x14ac:dyDescent="0.25">
      <c r="A201" s="982"/>
      <c r="B201" s="772" t="s">
        <v>411</v>
      </c>
      <c r="C201" s="809"/>
      <c r="D201" s="809"/>
      <c r="E201" s="809"/>
      <c r="F201" s="312"/>
      <c r="G201" s="775"/>
      <c r="H201" s="810"/>
      <c r="I201" s="984"/>
      <c r="J201" s="283"/>
      <c r="K201" s="811"/>
      <c r="L201" s="964"/>
      <c r="M201" s="964"/>
      <c r="N201" s="964"/>
      <c r="O201" s="964"/>
      <c r="P201" s="964">
        <f>P202+P203</f>
        <v>12759.59</v>
      </c>
      <c r="Q201" s="816">
        <v>0</v>
      </c>
      <c r="R201" s="816"/>
      <c r="S201" s="816"/>
      <c r="T201" s="816"/>
      <c r="U201" s="816"/>
      <c r="V201" s="816"/>
      <c r="W201" s="816"/>
      <c r="X201" s="816"/>
      <c r="Y201" s="816"/>
      <c r="Z201" s="817"/>
      <c r="AA201" s="816">
        <v>0</v>
      </c>
      <c r="AB201" s="816"/>
      <c r="AC201" s="816"/>
      <c r="AD201" s="816"/>
      <c r="AE201" s="816"/>
      <c r="AF201" s="816"/>
      <c r="AG201" s="816"/>
      <c r="AH201" s="816"/>
      <c r="AI201" s="816"/>
      <c r="AJ201" s="816"/>
      <c r="AK201" s="816"/>
      <c r="AL201" s="816"/>
      <c r="AM201" s="816"/>
      <c r="AN201" s="816"/>
      <c r="AO201" s="816"/>
      <c r="AP201" s="818"/>
      <c r="AQ201" s="817"/>
    </row>
    <row r="202" spans="1:43" ht="15.75" x14ac:dyDescent="0.25">
      <c r="A202" s="941"/>
      <c r="B202" s="42" t="s">
        <v>39</v>
      </c>
      <c r="C202" s="334"/>
      <c r="D202" s="334"/>
      <c r="E202" s="334"/>
      <c r="F202" s="313"/>
      <c r="G202" s="335"/>
      <c r="H202" s="336"/>
      <c r="I202" s="944"/>
      <c r="J202" s="986"/>
      <c r="K202" s="649"/>
      <c r="L202" s="972"/>
      <c r="M202" s="972"/>
      <c r="N202" s="972"/>
      <c r="O202" s="972"/>
      <c r="P202" s="972">
        <v>1652.36</v>
      </c>
      <c r="Q202" s="83">
        <v>0</v>
      </c>
      <c r="R202" s="83"/>
      <c r="S202" s="83"/>
      <c r="T202" s="83"/>
      <c r="U202" s="83"/>
      <c r="V202" s="83"/>
      <c r="W202" s="83"/>
      <c r="X202" s="83"/>
      <c r="Y202" s="83"/>
      <c r="Z202" s="259"/>
      <c r="AA202" s="83">
        <v>0</v>
      </c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409"/>
      <c r="AQ202" s="259"/>
    </row>
    <row r="203" spans="1:43" ht="15.75" x14ac:dyDescent="0.25">
      <c r="A203" s="941"/>
      <c r="B203" s="42" t="s">
        <v>32</v>
      </c>
      <c r="C203" s="334"/>
      <c r="D203" s="334"/>
      <c r="E203" s="334"/>
      <c r="F203" s="313"/>
      <c r="G203" s="335"/>
      <c r="H203" s="336"/>
      <c r="I203" s="946"/>
      <c r="J203" s="986"/>
      <c r="K203" s="649"/>
      <c r="L203" s="972"/>
      <c r="M203" s="83"/>
      <c r="N203" s="83"/>
      <c r="O203" s="83"/>
      <c r="P203" s="83">
        <v>11107.23</v>
      </c>
      <c r="Q203" s="83">
        <v>0</v>
      </c>
      <c r="R203" s="83"/>
      <c r="S203" s="83"/>
      <c r="T203" s="83"/>
      <c r="U203" s="83"/>
      <c r="V203" s="83"/>
      <c r="W203" s="83"/>
      <c r="X203" s="83"/>
      <c r="Y203" s="83"/>
      <c r="Z203" s="83"/>
      <c r="AA203" s="83">
        <v>0</v>
      </c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409"/>
      <c r="AQ203" s="83"/>
    </row>
    <row r="204" spans="1:43" ht="43.5" hidden="1" customHeight="1" x14ac:dyDescent="0.25">
      <c r="A204" s="1535" t="s">
        <v>24</v>
      </c>
      <c r="B204" s="1613" t="s">
        <v>206</v>
      </c>
      <c r="C204" s="1614"/>
      <c r="D204" s="1614"/>
      <c r="E204" s="1614"/>
      <c r="F204" s="1614"/>
      <c r="G204" s="1614"/>
      <c r="H204" s="1615"/>
      <c r="I204" s="23" t="s">
        <v>19</v>
      </c>
      <c r="J204" s="986">
        <v>0</v>
      </c>
      <c r="K204" s="986">
        <v>0</v>
      </c>
      <c r="L204" s="47">
        <v>0</v>
      </c>
      <c r="M204" s="47">
        <v>0</v>
      </c>
      <c r="N204" s="47">
        <v>0</v>
      </c>
      <c r="O204" s="47">
        <v>1</v>
      </c>
      <c r="P204" s="47">
        <v>0</v>
      </c>
      <c r="Q204" s="47">
        <v>0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47">
        <v>0</v>
      </c>
      <c r="X204" s="47">
        <v>0</v>
      </c>
      <c r="Y204" s="47">
        <v>0</v>
      </c>
      <c r="Z204" s="96"/>
      <c r="AA204" s="47">
        <v>0</v>
      </c>
      <c r="AB204" s="47">
        <v>0</v>
      </c>
      <c r="AC204" s="47">
        <v>0</v>
      </c>
      <c r="AD204" s="47">
        <v>0</v>
      </c>
      <c r="AE204" s="47">
        <v>0</v>
      </c>
      <c r="AF204" s="47">
        <v>0</v>
      </c>
      <c r="AG204" s="47">
        <v>0</v>
      </c>
      <c r="AH204" s="47">
        <v>0</v>
      </c>
      <c r="AI204" s="47">
        <v>0</v>
      </c>
      <c r="AJ204" s="47">
        <v>0</v>
      </c>
      <c r="AK204" s="47">
        <v>0</v>
      </c>
      <c r="AL204" s="47">
        <v>0</v>
      </c>
      <c r="AM204" s="47">
        <v>0</v>
      </c>
      <c r="AN204" s="47">
        <v>0</v>
      </c>
      <c r="AO204" s="47">
        <v>0</v>
      </c>
      <c r="AP204" s="397"/>
      <c r="AQ204" s="96"/>
    </row>
    <row r="205" spans="1:43" ht="41.25" hidden="1" customHeight="1" x14ac:dyDescent="0.25">
      <c r="A205" s="1535"/>
      <c r="B205" s="1616"/>
      <c r="C205" s="1617"/>
      <c r="D205" s="1617"/>
      <c r="E205" s="1617"/>
      <c r="F205" s="1617"/>
      <c r="G205" s="1617"/>
      <c r="H205" s="1618"/>
      <c r="I205" s="23" t="s">
        <v>20</v>
      </c>
      <c r="J205" s="986">
        <f>J208</f>
        <v>6379.79</v>
      </c>
      <c r="K205" s="986">
        <f>K208</f>
        <v>0</v>
      </c>
      <c r="L205" s="47">
        <f t="shared" ref="L205:AK205" si="126">L208+L213+L219</f>
        <v>13097.62</v>
      </c>
      <c r="M205" s="47">
        <f t="shared" si="126"/>
        <v>4269.0300000000007</v>
      </c>
      <c r="N205" s="47">
        <f t="shared" si="126"/>
        <v>5370.84</v>
      </c>
      <c r="O205" s="47">
        <f t="shared" si="126"/>
        <v>3372.5</v>
      </c>
      <c r="P205" s="47">
        <f t="shared" si="126"/>
        <v>78556.570000000007</v>
      </c>
      <c r="Q205" s="47">
        <f t="shared" si="126"/>
        <v>0</v>
      </c>
      <c r="R205" s="47">
        <f t="shared" si="126"/>
        <v>0</v>
      </c>
      <c r="S205" s="47">
        <f t="shared" si="126"/>
        <v>0</v>
      </c>
      <c r="T205" s="47">
        <f t="shared" si="126"/>
        <v>753.46</v>
      </c>
      <c r="U205" s="47">
        <f t="shared" si="126"/>
        <v>753.46</v>
      </c>
      <c r="V205" s="47">
        <f t="shared" si="126"/>
        <v>4173.82</v>
      </c>
      <c r="W205" s="47">
        <f t="shared" si="126"/>
        <v>4173.82</v>
      </c>
      <c r="X205" s="47">
        <f t="shared" si="126"/>
        <v>0</v>
      </c>
      <c r="Y205" s="47">
        <f t="shared" si="126"/>
        <v>0</v>
      </c>
      <c r="Z205" s="96"/>
      <c r="AA205" s="47">
        <f t="shared" si="126"/>
        <v>0</v>
      </c>
      <c r="AB205" s="47">
        <f t="shared" si="126"/>
        <v>0</v>
      </c>
      <c r="AC205" s="47">
        <f t="shared" si="126"/>
        <v>753.46</v>
      </c>
      <c r="AD205" s="47">
        <f t="shared" si="126"/>
        <v>4900</v>
      </c>
      <c r="AE205" s="47">
        <f t="shared" si="126"/>
        <v>0</v>
      </c>
      <c r="AF205" s="47">
        <f t="shared" si="126"/>
        <v>0</v>
      </c>
      <c r="AG205" s="47">
        <f t="shared" si="126"/>
        <v>0</v>
      </c>
      <c r="AH205" s="47">
        <f t="shared" si="126"/>
        <v>0</v>
      </c>
      <c r="AI205" s="47">
        <f t="shared" si="126"/>
        <v>0</v>
      </c>
      <c r="AJ205" s="47">
        <f t="shared" si="126"/>
        <v>0</v>
      </c>
      <c r="AK205" s="47">
        <f t="shared" si="126"/>
        <v>78556.570000000007</v>
      </c>
      <c r="AL205" s="47">
        <f>AL208</f>
        <v>78556.570000000007</v>
      </c>
      <c r="AM205" s="47">
        <f>AM208</f>
        <v>0</v>
      </c>
      <c r="AN205" s="47">
        <f>AN208</f>
        <v>0</v>
      </c>
      <c r="AO205" s="47">
        <f>AO208</f>
        <v>0</v>
      </c>
      <c r="AP205" s="397"/>
      <c r="AQ205" s="96"/>
    </row>
    <row r="206" spans="1:43" ht="38.25" hidden="1" customHeight="1" x14ac:dyDescent="0.25">
      <c r="A206" s="1535"/>
      <c r="B206" s="1616"/>
      <c r="C206" s="1617"/>
      <c r="D206" s="1617"/>
      <c r="E206" s="1617"/>
      <c r="F206" s="1617"/>
      <c r="G206" s="1617"/>
      <c r="H206" s="1618"/>
      <c r="I206" s="23" t="s">
        <v>10</v>
      </c>
      <c r="J206" s="986">
        <v>0</v>
      </c>
      <c r="K206" s="986">
        <v>0</v>
      </c>
      <c r="L206" s="47">
        <f>L225+L227</f>
        <v>2305.4499999999998</v>
      </c>
      <c r="M206" s="47">
        <f>M225+M227</f>
        <v>1650.1</v>
      </c>
      <c r="N206" s="47">
        <f t="shared" ref="N206:AJ206" si="127">N225+N227</f>
        <v>0</v>
      </c>
      <c r="O206" s="47">
        <f t="shared" si="127"/>
        <v>0</v>
      </c>
      <c r="P206" s="47">
        <f t="shared" si="127"/>
        <v>0</v>
      </c>
      <c r="Q206" s="47">
        <f t="shared" si="127"/>
        <v>99.9</v>
      </c>
      <c r="R206" s="47">
        <f t="shared" si="127"/>
        <v>0</v>
      </c>
      <c r="S206" s="47">
        <f t="shared" si="127"/>
        <v>0</v>
      </c>
      <c r="T206" s="47">
        <f t="shared" si="127"/>
        <v>0</v>
      </c>
      <c r="U206" s="47">
        <f t="shared" si="127"/>
        <v>0</v>
      </c>
      <c r="V206" s="47">
        <f t="shared" si="127"/>
        <v>0</v>
      </c>
      <c r="W206" s="47">
        <f t="shared" si="127"/>
        <v>0</v>
      </c>
      <c r="X206" s="47">
        <f t="shared" si="127"/>
        <v>0</v>
      </c>
      <c r="Y206" s="47">
        <f t="shared" si="127"/>
        <v>0</v>
      </c>
      <c r="Z206" s="96"/>
      <c r="AA206" s="47">
        <f t="shared" si="127"/>
        <v>99.9</v>
      </c>
      <c r="AB206" s="47">
        <f t="shared" si="127"/>
        <v>0</v>
      </c>
      <c r="AC206" s="47">
        <f t="shared" si="127"/>
        <v>0</v>
      </c>
      <c r="AD206" s="47">
        <f t="shared" si="127"/>
        <v>0</v>
      </c>
      <c r="AE206" s="47">
        <f t="shared" si="127"/>
        <v>0</v>
      </c>
      <c r="AF206" s="47">
        <f t="shared" si="127"/>
        <v>0</v>
      </c>
      <c r="AG206" s="47">
        <f t="shared" si="127"/>
        <v>0</v>
      </c>
      <c r="AH206" s="47">
        <f t="shared" si="127"/>
        <v>0</v>
      </c>
      <c r="AI206" s="47">
        <f t="shared" si="127"/>
        <v>0</v>
      </c>
      <c r="AJ206" s="47">
        <f t="shared" si="127"/>
        <v>0</v>
      </c>
      <c r="AK206" s="47">
        <v>0</v>
      </c>
      <c r="AL206" s="47">
        <v>0</v>
      </c>
      <c r="AM206" s="47">
        <v>0</v>
      </c>
      <c r="AN206" s="47">
        <v>0</v>
      </c>
      <c r="AO206" s="47">
        <v>0</v>
      </c>
      <c r="AP206" s="397"/>
      <c r="AQ206" s="96"/>
    </row>
    <row r="207" spans="1:43" ht="25.5" hidden="1" x14ac:dyDescent="0.25">
      <c r="A207" s="1535"/>
      <c r="B207" s="1619"/>
      <c r="C207" s="1620"/>
      <c r="D207" s="1620"/>
      <c r="E207" s="1620"/>
      <c r="F207" s="1620"/>
      <c r="G207" s="1620"/>
      <c r="H207" s="1621"/>
      <c r="I207" s="23" t="s">
        <v>9</v>
      </c>
      <c r="J207" s="986">
        <v>0</v>
      </c>
      <c r="K207" s="986">
        <v>0</v>
      </c>
      <c r="L207" s="47">
        <v>0</v>
      </c>
      <c r="M207" s="47">
        <v>0</v>
      </c>
      <c r="N207" s="47">
        <v>0</v>
      </c>
      <c r="O207" s="47">
        <v>1</v>
      </c>
      <c r="P207" s="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47">
        <v>0</v>
      </c>
      <c r="X207" s="47">
        <v>0</v>
      </c>
      <c r="Y207" s="47">
        <v>0</v>
      </c>
      <c r="Z207" s="96"/>
      <c r="AA207" s="47">
        <v>0</v>
      </c>
      <c r="AB207" s="47">
        <v>0</v>
      </c>
      <c r="AC207" s="47">
        <v>0</v>
      </c>
      <c r="AD207" s="47">
        <v>0</v>
      </c>
      <c r="AE207" s="47">
        <v>0</v>
      </c>
      <c r="AF207" s="47">
        <v>0</v>
      </c>
      <c r="AG207" s="47">
        <v>0</v>
      </c>
      <c r="AH207" s="47">
        <v>0</v>
      </c>
      <c r="AI207" s="47">
        <v>0</v>
      </c>
      <c r="AJ207" s="47">
        <v>0</v>
      </c>
      <c r="AK207" s="47">
        <v>0</v>
      </c>
      <c r="AL207" s="47">
        <v>0</v>
      </c>
      <c r="AM207" s="47">
        <v>0</v>
      </c>
      <c r="AN207" s="47">
        <v>0</v>
      </c>
      <c r="AO207" s="47">
        <v>0</v>
      </c>
      <c r="AP207" s="397"/>
      <c r="AQ207" s="96"/>
    </row>
    <row r="208" spans="1:43" s="327" customFormat="1" ht="33" customHeight="1" x14ac:dyDescent="0.25">
      <c r="A208" s="1450" t="s">
        <v>30</v>
      </c>
      <c r="B208" s="780" t="s">
        <v>173</v>
      </c>
      <c r="C208" s="1326">
        <v>300</v>
      </c>
      <c r="D208" s="1326">
        <v>570</v>
      </c>
      <c r="E208" s="1326"/>
      <c r="F208" s="1326"/>
      <c r="G208" s="778"/>
      <c r="H208" s="778"/>
      <c r="I208" s="1463" t="s">
        <v>20</v>
      </c>
      <c r="J208" s="1622">
        <v>6379.79</v>
      </c>
      <c r="K208" s="3">
        <v>0</v>
      </c>
      <c r="L208" s="3">
        <f t="shared" ref="L208:AJ208" si="128">L209+L212</f>
        <v>5597.58</v>
      </c>
      <c r="M208" s="3">
        <f t="shared" si="128"/>
        <v>0</v>
      </c>
      <c r="N208" s="3">
        <f t="shared" si="128"/>
        <v>5370.84</v>
      </c>
      <c r="O208" s="3">
        <f t="shared" si="128"/>
        <v>3372.5</v>
      </c>
      <c r="P208" s="3">
        <f t="shared" si="128"/>
        <v>78556.570000000007</v>
      </c>
      <c r="Q208" s="3">
        <f t="shared" si="128"/>
        <v>0</v>
      </c>
      <c r="R208" s="3">
        <f t="shared" si="128"/>
        <v>0</v>
      </c>
      <c r="S208" s="3">
        <f t="shared" si="128"/>
        <v>0</v>
      </c>
      <c r="T208" s="3">
        <f t="shared" si="128"/>
        <v>753.46</v>
      </c>
      <c r="U208" s="3">
        <f t="shared" si="128"/>
        <v>753.46</v>
      </c>
      <c r="V208" s="3">
        <f t="shared" si="128"/>
        <v>4173.82</v>
      </c>
      <c r="W208" s="3">
        <f t="shared" si="128"/>
        <v>4173.82</v>
      </c>
      <c r="X208" s="3">
        <f t="shared" si="128"/>
        <v>0</v>
      </c>
      <c r="Y208" s="3">
        <f t="shared" si="128"/>
        <v>0</v>
      </c>
      <c r="Z208" s="95">
        <v>0</v>
      </c>
      <c r="AA208" s="3">
        <f t="shared" si="128"/>
        <v>0</v>
      </c>
      <c r="AB208" s="3">
        <f t="shared" si="128"/>
        <v>0</v>
      </c>
      <c r="AC208" s="3">
        <f t="shared" si="128"/>
        <v>753.46</v>
      </c>
      <c r="AD208" s="3">
        <f t="shared" si="128"/>
        <v>4900</v>
      </c>
      <c r="AE208" s="3">
        <f t="shared" si="128"/>
        <v>0</v>
      </c>
      <c r="AF208" s="3">
        <f t="shared" si="128"/>
        <v>0</v>
      </c>
      <c r="AG208" s="3">
        <f t="shared" si="128"/>
        <v>0</v>
      </c>
      <c r="AH208" s="3">
        <f t="shared" si="128"/>
        <v>0</v>
      </c>
      <c r="AI208" s="3">
        <f t="shared" si="128"/>
        <v>0</v>
      </c>
      <c r="AJ208" s="3">
        <f t="shared" si="128"/>
        <v>0</v>
      </c>
      <c r="AK208" s="3">
        <f>P208-Q208</f>
        <v>78556.570000000007</v>
      </c>
      <c r="AL208" s="3">
        <f>AK208</f>
        <v>78556.570000000007</v>
      </c>
      <c r="AM208" s="318">
        <f>ROUND((Q208*100%/P208*100),2)</f>
        <v>0</v>
      </c>
      <c r="AN208" s="3">
        <f>AN209+AN212</f>
        <v>0</v>
      </c>
      <c r="AO208" s="3">
        <f>AO209+AO212</f>
        <v>0</v>
      </c>
      <c r="AP208" s="633" t="s">
        <v>245</v>
      </c>
      <c r="AQ208" s="95">
        <v>0</v>
      </c>
    </row>
    <row r="209" spans="1:43" x14ac:dyDescent="0.25">
      <c r="A209" s="1399"/>
      <c r="B209" s="1" t="s">
        <v>15</v>
      </c>
      <c r="C209" s="1327"/>
      <c r="D209" s="1327"/>
      <c r="E209" s="1327"/>
      <c r="F209" s="1327"/>
      <c r="G209" s="962">
        <v>2019</v>
      </c>
      <c r="H209" s="962">
        <v>2019</v>
      </c>
      <c r="I209" s="1464"/>
      <c r="J209" s="1623"/>
      <c r="K209" s="47"/>
      <c r="L209" s="47">
        <v>5597.58</v>
      </c>
      <c r="M209" s="50">
        <v>0</v>
      </c>
      <c r="N209" s="50">
        <v>5370.84</v>
      </c>
      <c r="O209" s="50">
        <v>0</v>
      </c>
      <c r="P209" s="447">
        <v>89.08</v>
      </c>
      <c r="Q209" s="447">
        <v>0</v>
      </c>
      <c r="R209" s="447">
        <f t="shared" ref="R209:AD209" si="129">SUM(R210:R211)</f>
        <v>0</v>
      </c>
      <c r="S209" s="447">
        <f t="shared" si="129"/>
        <v>0</v>
      </c>
      <c r="T209" s="447">
        <f t="shared" si="129"/>
        <v>753.46</v>
      </c>
      <c r="U209" s="447">
        <f t="shared" si="129"/>
        <v>753.46</v>
      </c>
      <c r="V209" s="447">
        <f t="shared" si="129"/>
        <v>4173.82</v>
      </c>
      <c r="W209" s="447">
        <f t="shared" si="129"/>
        <v>4173.82</v>
      </c>
      <c r="X209" s="447">
        <f t="shared" si="129"/>
        <v>0</v>
      </c>
      <c r="Y209" s="447">
        <f t="shared" si="129"/>
        <v>0</v>
      </c>
      <c r="Z209" s="584"/>
      <c r="AA209" s="447">
        <v>0</v>
      </c>
      <c r="AB209" s="447">
        <f t="shared" si="129"/>
        <v>0</v>
      </c>
      <c r="AC209" s="447">
        <f t="shared" si="129"/>
        <v>753.46</v>
      </c>
      <c r="AD209" s="447">
        <f t="shared" si="129"/>
        <v>4900</v>
      </c>
      <c r="AE209" s="50">
        <f t="shared" ref="AE209:AO209" si="130">SUM(AE211)</f>
        <v>0</v>
      </c>
      <c r="AF209" s="50">
        <f>SUM(AF211)</f>
        <v>0</v>
      </c>
      <c r="AG209" s="50">
        <f>SUM(AG211)</f>
        <v>0</v>
      </c>
      <c r="AH209" s="50">
        <f>SUM(AH211)</f>
        <v>0</v>
      </c>
      <c r="AI209" s="50">
        <f>SUM(AI211)</f>
        <v>0</v>
      </c>
      <c r="AJ209" s="50">
        <f>SUM(AJ211)</f>
        <v>0</v>
      </c>
      <c r="AK209" s="50">
        <f t="shared" si="130"/>
        <v>0</v>
      </c>
      <c r="AL209" s="50">
        <f t="shared" si="130"/>
        <v>0</v>
      </c>
      <c r="AM209" s="50">
        <f t="shared" si="130"/>
        <v>0</v>
      </c>
      <c r="AN209" s="50">
        <f t="shared" si="130"/>
        <v>0</v>
      </c>
      <c r="AO209" s="50">
        <f t="shared" si="130"/>
        <v>0</v>
      </c>
      <c r="AP209" s="412"/>
      <c r="AQ209" s="584"/>
    </row>
    <row r="210" spans="1:43" s="266" customFormat="1" hidden="1" x14ac:dyDescent="0.25">
      <c r="A210" s="1399"/>
      <c r="B210" s="92" t="s">
        <v>322</v>
      </c>
      <c r="C210" s="1327"/>
      <c r="D210" s="1327"/>
      <c r="E210" s="1327"/>
      <c r="F210" s="1327"/>
      <c r="G210" s="104"/>
      <c r="H210" s="104"/>
      <c r="I210" s="1464"/>
      <c r="J210" s="1623"/>
      <c r="K210" s="96"/>
      <c r="L210" s="96"/>
      <c r="M210" s="263"/>
      <c r="N210" s="263"/>
      <c r="O210" s="263"/>
      <c r="P210" s="584"/>
      <c r="Q210" s="584">
        <f>V210</f>
        <v>4173.82</v>
      </c>
      <c r="R210" s="584"/>
      <c r="S210" s="584"/>
      <c r="T210" s="584"/>
      <c r="U210" s="584"/>
      <c r="V210" s="584">
        <f>W210</f>
        <v>4173.82</v>
      </c>
      <c r="W210" s="584">
        <v>4173.82</v>
      </c>
      <c r="X210" s="584"/>
      <c r="Y210" s="584"/>
      <c r="Z210" s="584"/>
      <c r="AA210" s="584">
        <f>AD210</f>
        <v>4900</v>
      </c>
      <c r="AB210" s="584"/>
      <c r="AC210" s="584"/>
      <c r="AD210" s="584">
        <v>4900</v>
      </c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413"/>
      <c r="AQ210" s="584"/>
    </row>
    <row r="211" spans="1:43" s="266" customFormat="1" hidden="1" x14ac:dyDescent="0.25">
      <c r="A211" s="1399"/>
      <c r="B211" s="92" t="s">
        <v>267</v>
      </c>
      <c r="C211" s="1327"/>
      <c r="D211" s="1327"/>
      <c r="E211" s="1327"/>
      <c r="F211" s="1327"/>
      <c r="G211" s="104"/>
      <c r="H211" s="104"/>
      <c r="I211" s="1464"/>
      <c r="J211" s="1623"/>
      <c r="K211" s="96"/>
      <c r="L211" s="96"/>
      <c r="M211" s="263"/>
      <c r="N211" s="263"/>
      <c r="O211" s="263"/>
      <c r="P211" s="263"/>
      <c r="Q211" s="263">
        <f>S211+U211</f>
        <v>753.46</v>
      </c>
      <c r="R211" s="263"/>
      <c r="S211" s="263"/>
      <c r="T211" s="263">
        <f>U211</f>
        <v>753.46</v>
      </c>
      <c r="U211" s="263">
        <f>ROUND((904.153/1.2),2)</f>
        <v>753.46</v>
      </c>
      <c r="V211" s="263"/>
      <c r="W211" s="263"/>
      <c r="X211" s="263"/>
      <c r="Y211" s="263"/>
      <c r="Z211" s="263"/>
      <c r="AA211" s="263">
        <f>AC211</f>
        <v>753.46</v>
      </c>
      <c r="AB211" s="263"/>
      <c r="AC211" s="263">
        <v>753.46</v>
      </c>
      <c r="AD211" s="263"/>
      <c r="AE211" s="263"/>
      <c r="AF211" s="263">
        <f>SUM(AG211:AG211)</f>
        <v>0</v>
      </c>
      <c r="AG211" s="263"/>
      <c r="AH211" s="263"/>
      <c r="AI211" s="263"/>
      <c r="AJ211" s="263"/>
      <c r="AK211" s="263"/>
      <c r="AL211" s="263"/>
      <c r="AM211" s="263"/>
      <c r="AN211" s="263"/>
      <c r="AO211" s="263"/>
      <c r="AP211" s="413"/>
      <c r="AQ211" s="263"/>
    </row>
    <row r="212" spans="1:43" ht="15.75" customHeight="1" x14ac:dyDescent="0.25">
      <c r="A212" s="1488"/>
      <c r="B212" s="939" t="s">
        <v>16</v>
      </c>
      <c r="C212" s="1328"/>
      <c r="D212" s="1328"/>
      <c r="E212" s="1328"/>
      <c r="F212" s="1328"/>
      <c r="G212" s="962">
        <v>2021</v>
      </c>
      <c r="H212" s="962">
        <v>2021</v>
      </c>
      <c r="I212" s="1465"/>
      <c r="J212" s="1624"/>
      <c r="K212" s="47"/>
      <c r="L212" s="47">
        <v>0</v>
      </c>
      <c r="M212" s="50">
        <v>0</v>
      </c>
      <c r="N212" s="50">
        <v>0</v>
      </c>
      <c r="O212" s="50">
        <v>3372.5</v>
      </c>
      <c r="P212" s="50">
        <v>78467.490000000005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50">
        <v>0</v>
      </c>
      <c r="W212" s="50">
        <v>0</v>
      </c>
      <c r="X212" s="50">
        <v>0</v>
      </c>
      <c r="Y212" s="50">
        <v>0</v>
      </c>
      <c r="Z212" s="263"/>
      <c r="AA212" s="50">
        <v>0</v>
      </c>
      <c r="AB212" s="50">
        <v>0</v>
      </c>
      <c r="AC212" s="50">
        <v>0</v>
      </c>
      <c r="AD212" s="50">
        <v>0</v>
      </c>
      <c r="AE212" s="50">
        <v>0</v>
      </c>
      <c r="AF212" s="50">
        <v>0</v>
      </c>
      <c r="AG212" s="50">
        <v>0</v>
      </c>
      <c r="AH212" s="50">
        <v>0</v>
      </c>
      <c r="AI212" s="50">
        <v>0</v>
      </c>
      <c r="AJ212" s="50">
        <v>0</v>
      </c>
      <c r="AK212" s="50">
        <v>0</v>
      </c>
      <c r="AL212" s="50">
        <v>0</v>
      </c>
      <c r="AM212" s="50">
        <v>0</v>
      </c>
      <c r="AN212" s="50">
        <v>0</v>
      </c>
      <c r="AO212" s="50">
        <v>0</v>
      </c>
      <c r="AP212" s="412"/>
      <c r="AQ212" s="263"/>
    </row>
    <row r="213" spans="1:43" s="327" customFormat="1" ht="42" customHeight="1" x14ac:dyDescent="0.25">
      <c r="A213" s="1649" t="s">
        <v>174</v>
      </c>
      <c r="B213" s="780" t="s">
        <v>175</v>
      </c>
      <c r="C213" s="133"/>
      <c r="D213" s="133"/>
      <c r="E213" s="133"/>
      <c r="F213" s="133"/>
      <c r="G213" s="778"/>
      <c r="H213" s="778"/>
      <c r="I213" s="1651" t="s">
        <v>20</v>
      </c>
      <c r="J213" s="963"/>
      <c r="K213" s="3"/>
      <c r="L213" s="3">
        <f>L214</f>
        <v>3750.02</v>
      </c>
      <c r="M213" s="3">
        <f>M214</f>
        <v>1639</v>
      </c>
      <c r="N213" s="3">
        <f t="shared" ref="N213:AO213" si="131">N214</f>
        <v>0</v>
      </c>
      <c r="O213" s="3">
        <f t="shared" si="131"/>
        <v>0</v>
      </c>
      <c r="P213" s="3">
        <f t="shared" si="131"/>
        <v>0</v>
      </c>
      <c r="Q213" s="3">
        <f t="shared" si="131"/>
        <v>0</v>
      </c>
      <c r="R213" s="3">
        <f t="shared" si="131"/>
        <v>0</v>
      </c>
      <c r="S213" s="3">
        <f t="shared" si="131"/>
        <v>0</v>
      </c>
      <c r="T213" s="3">
        <f t="shared" si="131"/>
        <v>0</v>
      </c>
      <c r="U213" s="3">
        <f t="shared" si="131"/>
        <v>0</v>
      </c>
      <c r="V213" s="3">
        <f t="shared" si="131"/>
        <v>0</v>
      </c>
      <c r="W213" s="3">
        <f t="shared" si="131"/>
        <v>0</v>
      </c>
      <c r="X213" s="3">
        <f t="shared" si="131"/>
        <v>0</v>
      </c>
      <c r="Y213" s="3">
        <f t="shared" si="131"/>
        <v>0</v>
      </c>
      <c r="Z213" s="95">
        <v>0</v>
      </c>
      <c r="AA213" s="3">
        <f t="shared" si="131"/>
        <v>0</v>
      </c>
      <c r="AB213" s="3">
        <f t="shared" si="131"/>
        <v>0</v>
      </c>
      <c r="AC213" s="3">
        <f t="shared" si="131"/>
        <v>0</v>
      </c>
      <c r="AD213" s="3">
        <f t="shared" si="131"/>
        <v>0</v>
      </c>
      <c r="AE213" s="3">
        <f t="shared" si="131"/>
        <v>0</v>
      </c>
      <c r="AF213" s="3">
        <f t="shared" si="131"/>
        <v>0</v>
      </c>
      <c r="AG213" s="3">
        <f t="shared" si="131"/>
        <v>0</v>
      </c>
      <c r="AH213" s="3">
        <f t="shared" si="131"/>
        <v>0</v>
      </c>
      <c r="AI213" s="3">
        <f t="shared" si="131"/>
        <v>0</v>
      </c>
      <c r="AJ213" s="3">
        <f t="shared" si="131"/>
        <v>0</v>
      </c>
      <c r="AK213" s="3">
        <f t="shared" si="131"/>
        <v>0</v>
      </c>
      <c r="AL213" s="3">
        <f t="shared" si="131"/>
        <v>0</v>
      </c>
      <c r="AM213" s="3">
        <f t="shared" si="131"/>
        <v>0</v>
      </c>
      <c r="AN213" s="3">
        <f t="shared" si="131"/>
        <v>0</v>
      </c>
      <c r="AO213" s="3">
        <f t="shared" si="131"/>
        <v>0</v>
      </c>
      <c r="AP213" s="633" t="s">
        <v>256</v>
      </c>
      <c r="AQ213" s="95">
        <v>0</v>
      </c>
    </row>
    <row r="214" spans="1:43" s="327" customFormat="1" ht="15.75" hidden="1" customHeight="1" x14ac:dyDescent="0.25">
      <c r="A214" s="1650"/>
      <c r="B214" s="772" t="s">
        <v>15</v>
      </c>
      <c r="C214" s="133"/>
      <c r="D214" s="133"/>
      <c r="E214" s="133"/>
      <c r="F214" s="133"/>
      <c r="G214" s="312"/>
      <c r="H214" s="957"/>
      <c r="I214" s="1652"/>
      <c r="J214" s="963"/>
      <c r="K214" s="318"/>
      <c r="L214" s="3">
        <v>3750.02</v>
      </c>
      <c r="M214" s="3">
        <v>1639</v>
      </c>
      <c r="N214" s="3">
        <v>0</v>
      </c>
      <c r="O214" s="3">
        <v>0</v>
      </c>
      <c r="P214" s="3">
        <v>0</v>
      </c>
      <c r="Q214" s="819">
        <f>SUM(Q215:Q218)</f>
        <v>0</v>
      </c>
      <c r="R214" s="819">
        <f t="shared" ref="R214:AJ214" si="132">SUM(R215:R218)</f>
        <v>0</v>
      </c>
      <c r="S214" s="819">
        <f t="shared" si="132"/>
        <v>0</v>
      </c>
      <c r="T214" s="819">
        <f t="shared" si="132"/>
        <v>0</v>
      </c>
      <c r="U214" s="819">
        <f t="shared" si="132"/>
        <v>0</v>
      </c>
      <c r="V214" s="819">
        <f t="shared" si="132"/>
        <v>0</v>
      </c>
      <c r="W214" s="819">
        <f t="shared" si="132"/>
        <v>0</v>
      </c>
      <c r="X214" s="3">
        <v>0</v>
      </c>
      <c r="Y214" s="819">
        <f t="shared" si="132"/>
        <v>0</v>
      </c>
      <c r="Z214" s="820"/>
      <c r="AA214" s="819">
        <f t="shared" si="132"/>
        <v>0</v>
      </c>
      <c r="AB214" s="819">
        <f t="shared" si="132"/>
        <v>0</v>
      </c>
      <c r="AC214" s="819">
        <f t="shared" si="132"/>
        <v>0</v>
      </c>
      <c r="AD214" s="819">
        <f t="shared" si="132"/>
        <v>0</v>
      </c>
      <c r="AE214" s="819">
        <f t="shared" si="132"/>
        <v>0</v>
      </c>
      <c r="AF214" s="819">
        <f t="shared" si="132"/>
        <v>0</v>
      </c>
      <c r="AG214" s="819">
        <f t="shared" si="132"/>
        <v>0</v>
      </c>
      <c r="AH214" s="819">
        <f t="shared" si="132"/>
        <v>0</v>
      </c>
      <c r="AI214" s="819">
        <f t="shared" si="132"/>
        <v>0</v>
      </c>
      <c r="AJ214" s="819">
        <f t="shared" si="132"/>
        <v>0</v>
      </c>
      <c r="AK214" s="819">
        <f>SUM(AK215:AK218)</f>
        <v>0</v>
      </c>
      <c r="AL214" s="819">
        <f>SUM(AL215:AL218)</f>
        <v>0</v>
      </c>
      <c r="AM214" s="819">
        <f>SUM(AM215:AM218)</f>
        <v>0</v>
      </c>
      <c r="AN214" s="819">
        <f>SUM(AN215:AN218)</f>
        <v>0</v>
      </c>
      <c r="AO214" s="819">
        <f>SUM(AO215:AO218)</f>
        <v>0</v>
      </c>
      <c r="AP214" s="821"/>
      <c r="AQ214" s="820"/>
    </row>
    <row r="215" spans="1:43" s="827" customFormat="1" ht="15.75" hidden="1" customHeight="1" x14ac:dyDescent="0.25">
      <c r="A215" s="822"/>
      <c r="B215" s="823" t="s">
        <v>234</v>
      </c>
      <c r="C215" s="369"/>
      <c r="D215" s="369"/>
      <c r="E215" s="369"/>
      <c r="F215" s="369"/>
      <c r="G215" s="254"/>
      <c r="H215" s="824"/>
      <c r="I215" s="825"/>
      <c r="J215" s="371"/>
      <c r="K215" s="372"/>
      <c r="L215" s="95"/>
      <c r="M215" s="95"/>
      <c r="N215" s="95"/>
      <c r="O215" s="95"/>
      <c r="P215" s="3"/>
      <c r="Q215" s="820">
        <f>Y215</f>
        <v>0</v>
      </c>
      <c r="R215" s="820"/>
      <c r="S215" s="820"/>
      <c r="T215" s="820"/>
      <c r="U215" s="820"/>
      <c r="V215" s="820"/>
      <c r="W215" s="820"/>
      <c r="X215" s="820">
        <v>0</v>
      </c>
      <c r="Y215" s="820">
        <v>0</v>
      </c>
      <c r="Z215" s="820"/>
      <c r="AA215" s="820">
        <v>0</v>
      </c>
      <c r="AB215" s="820">
        <v>0</v>
      </c>
      <c r="AC215" s="820"/>
      <c r="AD215" s="820"/>
      <c r="AE215" s="820"/>
      <c r="AF215" s="820"/>
      <c r="AG215" s="820"/>
      <c r="AH215" s="820"/>
      <c r="AI215" s="820"/>
      <c r="AJ215" s="820"/>
      <c r="AK215" s="820"/>
      <c r="AL215" s="820"/>
      <c r="AM215" s="820"/>
      <c r="AN215" s="820"/>
      <c r="AO215" s="820"/>
      <c r="AP215" s="826"/>
      <c r="AQ215" s="820"/>
    </row>
    <row r="216" spans="1:43" s="827" customFormat="1" ht="15.75" hidden="1" customHeight="1" x14ac:dyDescent="0.25">
      <c r="A216" s="822"/>
      <c r="B216" s="823" t="s">
        <v>235</v>
      </c>
      <c r="C216" s="369"/>
      <c r="D216" s="369"/>
      <c r="E216" s="369"/>
      <c r="F216" s="369"/>
      <c r="G216" s="254"/>
      <c r="H216" s="824"/>
      <c r="I216" s="825"/>
      <c r="J216" s="371"/>
      <c r="K216" s="372"/>
      <c r="L216" s="95"/>
      <c r="M216" s="95"/>
      <c r="N216" s="95"/>
      <c r="O216" s="95"/>
      <c r="P216" s="3"/>
      <c r="Q216" s="820">
        <f>Y216</f>
        <v>0</v>
      </c>
      <c r="R216" s="820"/>
      <c r="S216" s="820"/>
      <c r="T216" s="820"/>
      <c r="U216" s="820"/>
      <c r="V216" s="820"/>
      <c r="W216" s="820"/>
      <c r="X216" s="820">
        <v>0</v>
      </c>
      <c r="Y216" s="820">
        <v>0</v>
      </c>
      <c r="Z216" s="820"/>
      <c r="AA216" s="820">
        <v>0</v>
      </c>
      <c r="AB216" s="820">
        <v>0</v>
      </c>
      <c r="AC216" s="820"/>
      <c r="AD216" s="820"/>
      <c r="AE216" s="820"/>
      <c r="AF216" s="820"/>
      <c r="AG216" s="820"/>
      <c r="AH216" s="820"/>
      <c r="AI216" s="820"/>
      <c r="AJ216" s="820"/>
      <c r="AK216" s="820"/>
      <c r="AL216" s="820"/>
      <c r="AM216" s="820"/>
      <c r="AN216" s="820"/>
      <c r="AO216" s="820"/>
      <c r="AP216" s="826"/>
      <c r="AQ216" s="820"/>
    </row>
    <row r="217" spans="1:43" s="827" customFormat="1" ht="15.75" hidden="1" customHeight="1" x14ac:dyDescent="0.25">
      <c r="A217" s="822"/>
      <c r="B217" s="823" t="s">
        <v>236</v>
      </c>
      <c r="C217" s="369"/>
      <c r="D217" s="369"/>
      <c r="E217" s="369"/>
      <c r="F217" s="369"/>
      <c r="G217" s="254"/>
      <c r="H217" s="824"/>
      <c r="I217" s="825"/>
      <c r="J217" s="371"/>
      <c r="K217" s="372"/>
      <c r="L217" s="95"/>
      <c r="M217" s="95"/>
      <c r="N217" s="95"/>
      <c r="O217" s="95"/>
      <c r="P217" s="3"/>
      <c r="Q217" s="820">
        <f>Y217</f>
        <v>0</v>
      </c>
      <c r="R217" s="820"/>
      <c r="S217" s="820"/>
      <c r="T217" s="820"/>
      <c r="U217" s="820"/>
      <c r="V217" s="820"/>
      <c r="W217" s="820"/>
      <c r="X217" s="820">
        <v>0</v>
      </c>
      <c r="Y217" s="820">
        <v>0</v>
      </c>
      <c r="Z217" s="820"/>
      <c r="AA217" s="820">
        <v>0</v>
      </c>
      <c r="AB217" s="820">
        <v>0</v>
      </c>
      <c r="AC217" s="820"/>
      <c r="AD217" s="820"/>
      <c r="AE217" s="820"/>
      <c r="AF217" s="820"/>
      <c r="AG217" s="820"/>
      <c r="AH217" s="820"/>
      <c r="AI217" s="820"/>
      <c r="AJ217" s="820"/>
      <c r="AK217" s="820"/>
      <c r="AL217" s="820"/>
      <c r="AM217" s="820"/>
      <c r="AN217" s="820"/>
      <c r="AO217" s="820"/>
      <c r="AP217" s="826"/>
      <c r="AQ217" s="820"/>
    </row>
    <row r="218" spans="1:43" s="827" customFormat="1" ht="15.75" hidden="1" customHeight="1" x14ac:dyDescent="0.25">
      <c r="A218" s="822"/>
      <c r="B218" s="823" t="s">
        <v>237</v>
      </c>
      <c r="C218" s="369"/>
      <c r="D218" s="369"/>
      <c r="E218" s="369"/>
      <c r="F218" s="369"/>
      <c r="G218" s="254"/>
      <c r="H218" s="824"/>
      <c r="I218" s="825"/>
      <c r="J218" s="371"/>
      <c r="K218" s="372"/>
      <c r="L218" s="95"/>
      <c r="M218" s="95"/>
      <c r="N218" s="95"/>
      <c r="O218" s="95"/>
      <c r="P218" s="3"/>
      <c r="Q218" s="820">
        <f>Y218</f>
        <v>0</v>
      </c>
      <c r="R218" s="820"/>
      <c r="S218" s="820"/>
      <c r="T218" s="820"/>
      <c r="U218" s="820"/>
      <c r="V218" s="820"/>
      <c r="W218" s="820"/>
      <c r="X218" s="820">
        <v>0</v>
      </c>
      <c r="Y218" s="820">
        <v>0</v>
      </c>
      <c r="Z218" s="820"/>
      <c r="AA218" s="820">
        <v>0</v>
      </c>
      <c r="AB218" s="820">
        <v>0</v>
      </c>
      <c r="AC218" s="820"/>
      <c r="AD218" s="820"/>
      <c r="AE218" s="820"/>
      <c r="AF218" s="820"/>
      <c r="AG218" s="820"/>
      <c r="AH218" s="820"/>
      <c r="AI218" s="820"/>
      <c r="AJ218" s="820"/>
      <c r="AK218" s="820"/>
      <c r="AL218" s="820"/>
      <c r="AM218" s="820"/>
      <c r="AN218" s="820"/>
      <c r="AO218" s="820"/>
      <c r="AP218" s="826"/>
      <c r="AQ218" s="820"/>
    </row>
    <row r="219" spans="1:43" s="327" customFormat="1" ht="40.5" customHeight="1" x14ac:dyDescent="0.25">
      <c r="A219" s="981" t="s">
        <v>176</v>
      </c>
      <c r="B219" s="780" t="s">
        <v>177</v>
      </c>
      <c r="C219" s="133"/>
      <c r="D219" s="133"/>
      <c r="E219" s="133"/>
      <c r="F219" s="133"/>
      <c r="G219" s="778"/>
      <c r="H219" s="778"/>
      <c r="I219" s="1463" t="s">
        <v>20</v>
      </c>
      <c r="J219" s="963"/>
      <c r="K219" s="3"/>
      <c r="L219" s="3">
        <f>L220</f>
        <v>3750.02</v>
      </c>
      <c r="M219" s="3">
        <f>M220</f>
        <v>2630.03</v>
      </c>
      <c r="N219" s="3">
        <f t="shared" ref="N219:AO219" si="133">N220</f>
        <v>0</v>
      </c>
      <c r="O219" s="3">
        <f t="shared" si="133"/>
        <v>0</v>
      </c>
      <c r="P219" s="3">
        <f t="shared" si="133"/>
        <v>0</v>
      </c>
      <c r="Q219" s="3">
        <f t="shared" si="133"/>
        <v>0</v>
      </c>
      <c r="R219" s="3">
        <f t="shared" si="133"/>
        <v>0</v>
      </c>
      <c r="S219" s="3">
        <f t="shared" si="133"/>
        <v>0</v>
      </c>
      <c r="T219" s="3">
        <f t="shared" si="133"/>
        <v>0</v>
      </c>
      <c r="U219" s="3">
        <f t="shared" si="133"/>
        <v>0</v>
      </c>
      <c r="V219" s="3">
        <f t="shared" si="133"/>
        <v>0</v>
      </c>
      <c r="W219" s="3">
        <f t="shared" si="133"/>
        <v>0</v>
      </c>
      <c r="X219" s="3">
        <f t="shared" si="133"/>
        <v>0</v>
      </c>
      <c r="Y219" s="3">
        <f t="shared" si="133"/>
        <v>0</v>
      </c>
      <c r="Z219" s="95">
        <v>0</v>
      </c>
      <c r="AA219" s="3">
        <f t="shared" si="133"/>
        <v>0</v>
      </c>
      <c r="AB219" s="3">
        <f t="shared" si="133"/>
        <v>0</v>
      </c>
      <c r="AC219" s="3">
        <f t="shared" si="133"/>
        <v>0</v>
      </c>
      <c r="AD219" s="3">
        <f t="shared" si="133"/>
        <v>0</v>
      </c>
      <c r="AE219" s="3">
        <f t="shared" si="133"/>
        <v>0</v>
      </c>
      <c r="AF219" s="3">
        <f t="shared" si="133"/>
        <v>0</v>
      </c>
      <c r="AG219" s="3">
        <f t="shared" si="133"/>
        <v>0</v>
      </c>
      <c r="AH219" s="3">
        <f t="shared" si="133"/>
        <v>0</v>
      </c>
      <c r="AI219" s="3">
        <f t="shared" si="133"/>
        <v>0</v>
      </c>
      <c r="AJ219" s="3">
        <f t="shared" si="133"/>
        <v>0</v>
      </c>
      <c r="AK219" s="3">
        <f t="shared" si="133"/>
        <v>0</v>
      </c>
      <c r="AL219" s="3">
        <f t="shared" si="133"/>
        <v>0</v>
      </c>
      <c r="AM219" s="3">
        <f t="shared" si="133"/>
        <v>0</v>
      </c>
      <c r="AN219" s="3">
        <f t="shared" si="133"/>
        <v>0</v>
      </c>
      <c r="AO219" s="3">
        <f t="shared" si="133"/>
        <v>0</v>
      </c>
      <c r="AP219" s="633" t="s">
        <v>256</v>
      </c>
      <c r="AQ219" s="95">
        <v>0</v>
      </c>
    </row>
    <row r="220" spans="1:43" ht="15.75" hidden="1" customHeight="1" x14ac:dyDescent="0.25">
      <c r="A220" s="948"/>
      <c r="B220" s="42" t="s">
        <v>15</v>
      </c>
      <c r="C220" s="341"/>
      <c r="D220" s="341"/>
      <c r="E220" s="341"/>
      <c r="F220" s="341"/>
      <c r="G220" s="313"/>
      <c r="H220" s="978"/>
      <c r="I220" s="1465"/>
      <c r="J220" s="980"/>
      <c r="K220" s="4"/>
      <c r="L220" s="47">
        <v>3750.02</v>
      </c>
      <c r="M220" s="47">
        <v>2630.03</v>
      </c>
      <c r="N220" s="47">
        <v>0</v>
      </c>
      <c r="O220" s="47">
        <v>0</v>
      </c>
      <c r="P220" s="47">
        <v>0</v>
      </c>
      <c r="Q220" s="50">
        <f>SUM(Q221:Q224)</f>
        <v>0</v>
      </c>
      <c r="R220" s="50">
        <f t="shared" ref="R220:W220" si="134">SUM(R221:R224)</f>
        <v>0</v>
      </c>
      <c r="S220" s="50">
        <f t="shared" si="134"/>
        <v>0</v>
      </c>
      <c r="T220" s="50">
        <f t="shared" si="134"/>
        <v>0</v>
      </c>
      <c r="U220" s="50">
        <f t="shared" si="134"/>
        <v>0</v>
      </c>
      <c r="V220" s="50">
        <f t="shared" si="134"/>
        <v>0</v>
      </c>
      <c r="W220" s="50">
        <f t="shared" si="134"/>
        <v>0</v>
      </c>
      <c r="X220" s="47">
        <v>0</v>
      </c>
      <c r="Y220" s="50">
        <f t="shared" ref="Y220:AJ220" si="135">SUM(Y221:Y224)</f>
        <v>0</v>
      </c>
      <c r="Z220" s="263"/>
      <c r="AA220" s="50">
        <f t="shared" si="135"/>
        <v>0</v>
      </c>
      <c r="AB220" s="50">
        <f t="shared" si="135"/>
        <v>0</v>
      </c>
      <c r="AC220" s="50">
        <f t="shared" si="135"/>
        <v>0</v>
      </c>
      <c r="AD220" s="50">
        <f t="shared" si="135"/>
        <v>0</v>
      </c>
      <c r="AE220" s="50">
        <f t="shared" si="135"/>
        <v>0</v>
      </c>
      <c r="AF220" s="50">
        <f t="shared" si="135"/>
        <v>0</v>
      </c>
      <c r="AG220" s="50">
        <f t="shared" si="135"/>
        <v>0</v>
      </c>
      <c r="AH220" s="50">
        <f t="shared" si="135"/>
        <v>0</v>
      </c>
      <c r="AI220" s="50">
        <f t="shared" si="135"/>
        <v>0</v>
      </c>
      <c r="AJ220" s="50">
        <f t="shared" si="135"/>
        <v>0</v>
      </c>
      <c r="AK220" s="50">
        <v>0</v>
      </c>
      <c r="AL220" s="50">
        <v>0</v>
      </c>
      <c r="AM220" s="50">
        <v>0</v>
      </c>
      <c r="AN220" s="50">
        <v>0</v>
      </c>
      <c r="AO220" s="50">
        <v>0</v>
      </c>
      <c r="AP220" s="412"/>
      <c r="AQ220" s="263"/>
    </row>
    <row r="221" spans="1:43" s="266" customFormat="1" ht="15.75" hidden="1" customHeight="1" x14ac:dyDescent="0.25">
      <c r="A221" s="366"/>
      <c r="B221" s="252" t="s">
        <v>238</v>
      </c>
      <c r="C221" s="453"/>
      <c r="D221" s="453"/>
      <c r="E221" s="453"/>
      <c r="F221" s="453"/>
      <c r="G221" s="363"/>
      <c r="H221" s="364"/>
      <c r="I221" s="370"/>
      <c r="J221" s="651"/>
      <c r="K221" s="268"/>
      <c r="L221" s="96"/>
      <c r="M221" s="96"/>
      <c r="N221" s="96"/>
      <c r="O221" s="96"/>
      <c r="P221" s="47"/>
      <c r="Q221" s="263">
        <f>Y221</f>
        <v>0</v>
      </c>
      <c r="R221" s="263"/>
      <c r="S221" s="263"/>
      <c r="T221" s="263"/>
      <c r="U221" s="263"/>
      <c r="V221" s="263"/>
      <c r="W221" s="263"/>
      <c r="X221" s="263">
        <v>0</v>
      </c>
      <c r="Y221" s="263">
        <v>0</v>
      </c>
      <c r="Z221" s="263"/>
      <c r="AA221" s="263">
        <v>0</v>
      </c>
      <c r="AB221" s="263">
        <v>0</v>
      </c>
      <c r="AC221" s="263"/>
      <c r="AD221" s="263"/>
      <c r="AE221" s="263"/>
      <c r="AF221" s="263"/>
      <c r="AG221" s="263"/>
      <c r="AH221" s="263"/>
      <c r="AI221" s="263"/>
      <c r="AJ221" s="263"/>
      <c r="AK221" s="263"/>
      <c r="AL221" s="263"/>
      <c r="AM221" s="263"/>
      <c r="AN221" s="263"/>
      <c r="AO221" s="263"/>
      <c r="AP221" s="413"/>
      <c r="AQ221" s="263"/>
    </row>
    <row r="222" spans="1:43" s="266" customFormat="1" ht="15.75" hidden="1" customHeight="1" x14ac:dyDescent="0.25">
      <c r="A222" s="366"/>
      <c r="B222" s="252" t="s">
        <v>239</v>
      </c>
      <c r="C222" s="453"/>
      <c r="D222" s="453"/>
      <c r="E222" s="453"/>
      <c r="F222" s="453"/>
      <c r="G222" s="363"/>
      <c r="H222" s="364"/>
      <c r="I222" s="370"/>
      <c r="J222" s="651"/>
      <c r="K222" s="268"/>
      <c r="L222" s="96"/>
      <c r="M222" s="96"/>
      <c r="N222" s="96"/>
      <c r="O222" s="96"/>
      <c r="P222" s="47"/>
      <c r="Q222" s="263">
        <f>Y222</f>
        <v>0</v>
      </c>
      <c r="R222" s="263"/>
      <c r="S222" s="263"/>
      <c r="T222" s="263"/>
      <c r="U222" s="263"/>
      <c r="V222" s="263"/>
      <c r="W222" s="263"/>
      <c r="X222" s="263">
        <v>0</v>
      </c>
      <c r="Y222" s="263">
        <v>0</v>
      </c>
      <c r="Z222" s="263"/>
      <c r="AA222" s="263">
        <v>0</v>
      </c>
      <c r="AB222" s="263">
        <v>0</v>
      </c>
      <c r="AC222" s="263"/>
      <c r="AD222" s="263"/>
      <c r="AE222" s="263"/>
      <c r="AF222" s="263"/>
      <c r="AG222" s="263"/>
      <c r="AH222" s="263"/>
      <c r="AI222" s="263"/>
      <c r="AJ222" s="263"/>
      <c r="AK222" s="263"/>
      <c r="AL222" s="263"/>
      <c r="AM222" s="263"/>
      <c r="AN222" s="263"/>
      <c r="AO222" s="263"/>
      <c r="AP222" s="413"/>
      <c r="AQ222" s="263"/>
    </row>
    <row r="223" spans="1:43" s="266" customFormat="1" ht="15.75" hidden="1" customHeight="1" x14ac:dyDescent="0.25">
      <c r="A223" s="366"/>
      <c r="B223" s="252" t="s">
        <v>234</v>
      </c>
      <c r="C223" s="453"/>
      <c r="D223" s="453"/>
      <c r="E223" s="453"/>
      <c r="F223" s="453"/>
      <c r="G223" s="363"/>
      <c r="H223" s="364"/>
      <c r="I223" s="370"/>
      <c r="J223" s="651"/>
      <c r="K223" s="268"/>
      <c r="L223" s="96"/>
      <c r="M223" s="96"/>
      <c r="N223" s="96"/>
      <c r="O223" s="96"/>
      <c r="P223" s="47"/>
      <c r="Q223" s="263">
        <f>Y223</f>
        <v>0</v>
      </c>
      <c r="R223" s="263"/>
      <c r="S223" s="263"/>
      <c r="T223" s="263"/>
      <c r="U223" s="263"/>
      <c r="V223" s="263"/>
      <c r="W223" s="263"/>
      <c r="X223" s="263">
        <v>0</v>
      </c>
      <c r="Y223" s="263">
        <v>0</v>
      </c>
      <c r="Z223" s="263"/>
      <c r="AA223" s="263">
        <v>0</v>
      </c>
      <c r="AB223" s="263">
        <v>0</v>
      </c>
      <c r="AC223" s="263"/>
      <c r="AD223" s="263"/>
      <c r="AE223" s="263"/>
      <c r="AF223" s="263"/>
      <c r="AG223" s="263"/>
      <c r="AH223" s="263"/>
      <c r="AI223" s="263"/>
      <c r="AJ223" s="263"/>
      <c r="AK223" s="263"/>
      <c r="AL223" s="263"/>
      <c r="AM223" s="263"/>
      <c r="AN223" s="263"/>
      <c r="AO223" s="263"/>
      <c r="AP223" s="413"/>
      <c r="AQ223" s="263"/>
    </row>
    <row r="224" spans="1:43" s="266" customFormat="1" ht="15.75" hidden="1" customHeight="1" x14ac:dyDescent="0.25">
      <c r="A224" s="366"/>
      <c r="B224" s="252" t="s">
        <v>237</v>
      </c>
      <c r="C224" s="453"/>
      <c r="D224" s="453"/>
      <c r="E224" s="453"/>
      <c r="F224" s="453"/>
      <c r="G224" s="363"/>
      <c r="H224" s="364"/>
      <c r="I224" s="370"/>
      <c r="J224" s="651"/>
      <c r="K224" s="268"/>
      <c r="L224" s="96"/>
      <c r="M224" s="96"/>
      <c r="N224" s="96"/>
      <c r="O224" s="96"/>
      <c r="P224" s="47"/>
      <c r="Q224" s="263">
        <f>Y224</f>
        <v>0</v>
      </c>
      <c r="R224" s="263"/>
      <c r="S224" s="263"/>
      <c r="T224" s="263"/>
      <c r="U224" s="263"/>
      <c r="V224" s="263"/>
      <c r="W224" s="263"/>
      <c r="X224" s="263">
        <v>0</v>
      </c>
      <c r="Y224" s="263">
        <v>0</v>
      </c>
      <c r="Z224" s="263"/>
      <c r="AA224" s="263">
        <v>0</v>
      </c>
      <c r="AB224" s="263">
        <v>0</v>
      </c>
      <c r="AC224" s="263"/>
      <c r="AD224" s="263"/>
      <c r="AE224" s="263"/>
      <c r="AF224" s="263"/>
      <c r="AG224" s="263"/>
      <c r="AH224" s="263"/>
      <c r="AI224" s="263"/>
      <c r="AJ224" s="263"/>
      <c r="AK224" s="263"/>
      <c r="AL224" s="263"/>
      <c r="AM224" s="263"/>
      <c r="AN224" s="263"/>
      <c r="AO224" s="263"/>
      <c r="AP224" s="413"/>
      <c r="AQ224" s="263"/>
    </row>
    <row r="225" spans="1:43" s="327" customFormat="1" ht="59.25" customHeight="1" x14ac:dyDescent="0.25">
      <c r="A225" s="981" t="s">
        <v>178</v>
      </c>
      <c r="B225" s="780" t="s">
        <v>180</v>
      </c>
      <c r="C225" s="133"/>
      <c r="D225" s="133"/>
      <c r="E225" s="133"/>
      <c r="F225" s="133"/>
      <c r="G225" s="778"/>
      <c r="H225" s="778"/>
      <c r="I225" s="1651" t="s">
        <v>181</v>
      </c>
      <c r="J225" s="963"/>
      <c r="K225" s="3"/>
      <c r="L225" s="3">
        <f>L226</f>
        <v>962.68</v>
      </c>
      <c r="M225" s="3">
        <f>M226</f>
        <v>403.33</v>
      </c>
      <c r="N225" s="3">
        <f t="shared" ref="N225:AO225" si="136">N226</f>
        <v>0</v>
      </c>
      <c r="O225" s="3">
        <f t="shared" si="136"/>
        <v>0</v>
      </c>
      <c r="P225" s="3">
        <f t="shared" si="136"/>
        <v>0</v>
      </c>
      <c r="Q225" s="3">
        <f>Q226</f>
        <v>99.9</v>
      </c>
      <c r="R225" s="3">
        <f t="shared" si="136"/>
        <v>0</v>
      </c>
      <c r="S225" s="3">
        <f t="shared" si="136"/>
        <v>0</v>
      </c>
      <c r="T225" s="3">
        <f t="shared" si="136"/>
        <v>0</v>
      </c>
      <c r="U225" s="3">
        <f t="shared" si="136"/>
        <v>0</v>
      </c>
      <c r="V225" s="3">
        <f t="shared" si="136"/>
        <v>0</v>
      </c>
      <c r="W225" s="3">
        <f t="shared" si="136"/>
        <v>0</v>
      </c>
      <c r="X225" s="3">
        <f t="shared" si="136"/>
        <v>0</v>
      </c>
      <c r="Y225" s="3">
        <f t="shared" si="136"/>
        <v>0</v>
      </c>
      <c r="Z225" s="95">
        <v>0</v>
      </c>
      <c r="AA225" s="3">
        <f>AA226</f>
        <v>99.9</v>
      </c>
      <c r="AB225" s="3">
        <f t="shared" si="136"/>
        <v>0</v>
      </c>
      <c r="AC225" s="3">
        <f t="shared" si="136"/>
        <v>0</v>
      </c>
      <c r="AD225" s="3">
        <f t="shared" si="136"/>
        <v>0</v>
      </c>
      <c r="AE225" s="3">
        <f t="shared" si="136"/>
        <v>0</v>
      </c>
      <c r="AF225" s="3">
        <f t="shared" si="136"/>
        <v>0</v>
      </c>
      <c r="AG225" s="3">
        <f t="shared" si="136"/>
        <v>0</v>
      </c>
      <c r="AH225" s="3">
        <f t="shared" si="136"/>
        <v>0</v>
      </c>
      <c r="AI225" s="3">
        <f t="shared" si="136"/>
        <v>0</v>
      </c>
      <c r="AJ225" s="3">
        <f t="shared" si="136"/>
        <v>0</v>
      </c>
      <c r="AK225" s="3">
        <f t="shared" si="136"/>
        <v>0</v>
      </c>
      <c r="AL225" s="3">
        <f t="shared" si="136"/>
        <v>0</v>
      </c>
      <c r="AM225" s="3">
        <f t="shared" si="136"/>
        <v>0</v>
      </c>
      <c r="AN225" s="3">
        <f t="shared" si="136"/>
        <v>0</v>
      </c>
      <c r="AO225" s="3">
        <f t="shared" si="136"/>
        <v>0</v>
      </c>
      <c r="AP225" s="829" t="s">
        <v>207</v>
      </c>
      <c r="AQ225" s="95">
        <v>0</v>
      </c>
    </row>
    <row r="226" spans="1:43" ht="15.75" customHeight="1" x14ac:dyDescent="0.25">
      <c r="A226" s="948"/>
      <c r="B226" s="42" t="s">
        <v>16</v>
      </c>
      <c r="C226" s="341"/>
      <c r="D226" s="341"/>
      <c r="E226" s="341"/>
      <c r="F226" s="341"/>
      <c r="G226" s="313"/>
      <c r="H226" s="978"/>
      <c r="I226" s="1652"/>
      <c r="J226" s="980"/>
      <c r="K226" s="4"/>
      <c r="L226" s="47">
        <v>962.68</v>
      </c>
      <c r="M226" s="47">
        <v>403.33</v>
      </c>
      <c r="N226" s="47">
        <v>0</v>
      </c>
      <c r="O226" s="50">
        <v>0</v>
      </c>
      <c r="P226" s="50">
        <v>0</v>
      </c>
      <c r="Q226" s="50">
        <v>99.9</v>
      </c>
      <c r="R226" s="50">
        <v>0</v>
      </c>
      <c r="S226" s="50">
        <v>0</v>
      </c>
      <c r="T226" s="50">
        <v>0</v>
      </c>
      <c r="U226" s="50">
        <v>0</v>
      </c>
      <c r="V226" s="50">
        <v>0</v>
      </c>
      <c r="W226" s="50">
        <v>0</v>
      </c>
      <c r="X226" s="50">
        <v>0</v>
      </c>
      <c r="Y226" s="50">
        <v>0</v>
      </c>
      <c r="Z226" s="263"/>
      <c r="AA226" s="50">
        <v>99.9</v>
      </c>
      <c r="AB226" s="50">
        <v>0</v>
      </c>
      <c r="AC226" s="50">
        <v>0</v>
      </c>
      <c r="AD226" s="50">
        <v>0</v>
      </c>
      <c r="AE226" s="50">
        <v>0</v>
      </c>
      <c r="AF226" s="50">
        <v>0</v>
      </c>
      <c r="AG226" s="50">
        <v>0</v>
      </c>
      <c r="AH226" s="50">
        <v>0</v>
      </c>
      <c r="AI226" s="50">
        <v>0</v>
      </c>
      <c r="AJ226" s="50">
        <v>0</v>
      </c>
      <c r="AK226" s="50">
        <v>0</v>
      </c>
      <c r="AL226" s="50">
        <v>0</v>
      </c>
      <c r="AM226" s="50">
        <v>0</v>
      </c>
      <c r="AN226" s="50">
        <v>0</v>
      </c>
      <c r="AO226" s="50">
        <v>0</v>
      </c>
      <c r="AP226" s="841"/>
      <c r="AQ226" s="263"/>
    </row>
    <row r="227" spans="1:43" s="327" customFormat="1" ht="29.25" customHeight="1" x14ac:dyDescent="0.25">
      <c r="A227" s="981" t="s">
        <v>179</v>
      </c>
      <c r="B227" s="780" t="s">
        <v>182</v>
      </c>
      <c r="C227" s="133"/>
      <c r="D227" s="133"/>
      <c r="E227" s="133"/>
      <c r="F227" s="133"/>
      <c r="G227" s="778"/>
      <c r="H227" s="778"/>
      <c r="I227" s="1463" t="s">
        <v>181</v>
      </c>
      <c r="J227" s="963"/>
      <c r="K227" s="3"/>
      <c r="L227" s="3">
        <f>L228</f>
        <v>1342.77</v>
      </c>
      <c r="M227" s="3">
        <f>M228</f>
        <v>1246.77</v>
      </c>
      <c r="N227" s="3">
        <f t="shared" ref="N227:AO229" si="137">N228</f>
        <v>0</v>
      </c>
      <c r="O227" s="3">
        <f t="shared" si="137"/>
        <v>0</v>
      </c>
      <c r="P227" s="3">
        <f t="shared" si="137"/>
        <v>0</v>
      </c>
      <c r="Q227" s="3">
        <f t="shared" si="137"/>
        <v>0</v>
      </c>
      <c r="R227" s="3">
        <f t="shared" si="137"/>
        <v>0</v>
      </c>
      <c r="S227" s="3">
        <f t="shared" si="137"/>
        <v>0</v>
      </c>
      <c r="T227" s="3">
        <f t="shared" si="137"/>
        <v>0</v>
      </c>
      <c r="U227" s="3">
        <f t="shared" si="137"/>
        <v>0</v>
      </c>
      <c r="V227" s="3">
        <f t="shared" si="137"/>
        <v>0</v>
      </c>
      <c r="W227" s="3">
        <f t="shared" si="137"/>
        <v>0</v>
      </c>
      <c r="X227" s="3">
        <f t="shared" si="137"/>
        <v>0</v>
      </c>
      <c r="Y227" s="3">
        <f t="shared" si="137"/>
        <v>0</v>
      </c>
      <c r="Z227" s="95">
        <v>0</v>
      </c>
      <c r="AA227" s="3">
        <f t="shared" si="137"/>
        <v>0</v>
      </c>
      <c r="AB227" s="3">
        <f t="shared" si="137"/>
        <v>0</v>
      </c>
      <c r="AC227" s="3">
        <f t="shared" si="137"/>
        <v>0</v>
      </c>
      <c r="AD227" s="3">
        <f t="shared" si="137"/>
        <v>0</v>
      </c>
      <c r="AE227" s="3">
        <f t="shared" si="137"/>
        <v>0</v>
      </c>
      <c r="AF227" s="3">
        <f t="shared" si="137"/>
        <v>0</v>
      </c>
      <c r="AG227" s="3">
        <f t="shared" si="137"/>
        <v>0</v>
      </c>
      <c r="AH227" s="3">
        <f t="shared" si="137"/>
        <v>0</v>
      </c>
      <c r="AI227" s="3">
        <f t="shared" si="137"/>
        <v>0</v>
      </c>
      <c r="AJ227" s="3">
        <f t="shared" si="137"/>
        <v>0</v>
      </c>
      <c r="AK227" s="3">
        <f t="shared" si="137"/>
        <v>0</v>
      </c>
      <c r="AL227" s="3">
        <f t="shared" si="137"/>
        <v>0</v>
      </c>
      <c r="AM227" s="3">
        <f t="shared" si="137"/>
        <v>0</v>
      </c>
      <c r="AN227" s="3">
        <f t="shared" si="137"/>
        <v>0</v>
      </c>
      <c r="AO227" s="3">
        <f t="shared" si="137"/>
        <v>0</v>
      </c>
      <c r="AP227" s="829" t="s">
        <v>207</v>
      </c>
      <c r="AQ227" s="95">
        <v>0</v>
      </c>
    </row>
    <row r="228" spans="1:43" ht="15.75" customHeight="1" x14ac:dyDescent="0.25">
      <c r="A228" s="948"/>
      <c r="B228" s="42" t="s">
        <v>15</v>
      </c>
      <c r="C228" s="341"/>
      <c r="D228" s="341"/>
      <c r="E228" s="341"/>
      <c r="F228" s="341"/>
      <c r="G228" s="313"/>
      <c r="H228" s="978"/>
      <c r="I228" s="1465"/>
      <c r="J228" s="980"/>
      <c r="K228" s="4"/>
      <c r="L228" s="47">
        <v>1342.77</v>
      </c>
      <c r="M228" s="47">
        <v>1246.77</v>
      </c>
      <c r="N228" s="50">
        <v>0</v>
      </c>
      <c r="O228" s="50">
        <v>0</v>
      </c>
      <c r="P228" s="47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0</v>
      </c>
      <c r="V228" s="50">
        <v>0</v>
      </c>
      <c r="W228" s="50">
        <v>0</v>
      </c>
      <c r="X228" s="47">
        <v>0</v>
      </c>
      <c r="Y228" s="50">
        <v>0</v>
      </c>
      <c r="Z228" s="263"/>
      <c r="AA228" s="50">
        <v>0</v>
      </c>
      <c r="AB228" s="50">
        <v>0</v>
      </c>
      <c r="AC228" s="50">
        <v>0</v>
      </c>
      <c r="AD228" s="50">
        <v>0</v>
      </c>
      <c r="AE228" s="50">
        <v>0</v>
      </c>
      <c r="AF228" s="50">
        <v>0</v>
      </c>
      <c r="AG228" s="50">
        <v>0</v>
      </c>
      <c r="AH228" s="50">
        <v>0</v>
      </c>
      <c r="AI228" s="50">
        <v>0</v>
      </c>
      <c r="AJ228" s="50">
        <v>0</v>
      </c>
      <c r="AK228" s="50">
        <v>0</v>
      </c>
      <c r="AL228" s="50">
        <v>0</v>
      </c>
      <c r="AM228" s="50">
        <v>0</v>
      </c>
      <c r="AN228" s="50">
        <v>0</v>
      </c>
      <c r="AO228" s="50">
        <v>0</v>
      </c>
      <c r="AP228" s="412"/>
      <c r="AQ228" s="263"/>
    </row>
    <row r="229" spans="1:43" s="327" customFormat="1" ht="29.25" customHeight="1" x14ac:dyDescent="0.25">
      <c r="A229" s="981" t="s">
        <v>179</v>
      </c>
      <c r="B229" s="780" t="s">
        <v>412</v>
      </c>
      <c r="C229" s="133"/>
      <c r="D229" s="133"/>
      <c r="E229" s="133"/>
      <c r="F229" s="133"/>
      <c r="G229" s="778"/>
      <c r="H229" s="778"/>
      <c r="I229" s="1463" t="s">
        <v>181</v>
      </c>
      <c r="J229" s="963"/>
      <c r="K229" s="3"/>
      <c r="L229" s="3">
        <f>L230</f>
        <v>1342.77</v>
      </c>
      <c r="M229" s="3">
        <f>M230</f>
        <v>1246.77</v>
      </c>
      <c r="N229" s="3">
        <f t="shared" si="137"/>
        <v>0</v>
      </c>
      <c r="O229" s="3">
        <f t="shared" si="137"/>
        <v>0</v>
      </c>
      <c r="P229" s="3">
        <f t="shared" si="137"/>
        <v>2878.15</v>
      </c>
      <c r="Q229" s="3">
        <f t="shared" si="137"/>
        <v>0</v>
      </c>
      <c r="R229" s="3">
        <f t="shared" si="137"/>
        <v>0</v>
      </c>
      <c r="S229" s="3">
        <f t="shared" si="137"/>
        <v>0</v>
      </c>
      <c r="T229" s="3">
        <f t="shared" si="137"/>
        <v>0</v>
      </c>
      <c r="U229" s="3">
        <f t="shared" si="137"/>
        <v>0</v>
      </c>
      <c r="V229" s="3">
        <f t="shared" si="137"/>
        <v>0</v>
      </c>
      <c r="W229" s="3">
        <f t="shared" si="137"/>
        <v>0</v>
      </c>
      <c r="X229" s="3">
        <f t="shared" si="137"/>
        <v>0</v>
      </c>
      <c r="Y229" s="3">
        <f t="shared" si="137"/>
        <v>0</v>
      </c>
      <c r="Z229" s="95">
        <v>0</v>
      </c>
      <c r="AA229" s="3">
        <f t="shared" si="137"/>
        <v>0</v>
      </c>
      <c r="AB229" s="3">
        <f t="shared" si="137"/>
        <v>0</v>
      </c>
      <c r="AC229" s="3">
        <f t="shared" si="137"/>
        <v>0</v>
      </c>
      <c r="AD229" s="3">
        <f t="shared" si="137"/>
        <v>0</v>
      </c>
      <c r="AE229" s="3">
        <f t="shared" si="137"/>
        <v>0</v>
      </c>
      <c r="AF229" s="3">
        <f t="shared" si="137"/>
        <v>0</v>
      </c>
      <c r="AG229" s="3">
        <f t="shared" si="137"/>
        <v>0</v>
      </c>
      <c r="AH229" s="3">
        <f t="shared" si="137"/>
        <v>0</v>
      </c>
      <c r="AI229" s="3">
        <f t="shared" si="137"/>
        <v>0</v>
      </c>
      <c r="AJ229" s="3">
        <f t="shared" si="137"/>
        <v>0</v>
      </c>
      <c r="AK229" s="3">
        <f t="shared" si="137"/>
        <v>0</v>
      </c>
      <c r="AL229" s="3">
        <f t="shared" si="137"/>
        <v>0</v>
      </c>
      <c r="AM229" s="3">
        <f t="shared" si="137"/>
        <v>0</v>
      </c>
      <c r="AN229" s="3">
        <f t="shared" si="137"/>
        <v>0</v>
      </c>
      <c r="AO229" s="3">
        <f t="shared" si="137"/>
        <v>0</v>
      </c>
      <c r="AP229" s="829" t="s">
        <v>207</v>
      </c>
      <c r="AQ229" s="95">
        <v>0</v>
      </c>
    </row>
    <row r="230" spans="1:43" ht="15.75" customHeight="1" x14ac:dyDescent="0.25">
      <c r="A230" s="948"/>
      <c r="B230" s="42" t="s">
        <v>16</v>
      </c>
      <c r="C230" s="341"/>
      <c r="D230" s="341"/>
      <c r="E230" s="341"/>
      <c r="F230" s="341"/>
      <c r="G230" s="313"/>
      <c r="H230" s="978"/>
      <c r="I230" s="1465"/>
      <c r="J230" s="980"/>
      <c r="K230" s="4"/>
      <c r="L230" s="47">
        <v>1342.77</v>
      </c>
      <c r="M230" s="47">
        <v>1246.77</v>
      </c>
      <c r="N230" s="50">
        <v>0</v>
      </c>
      <c r="O230" s="50">
        <v>0</v>
      </c>
      <c r="P230" s="47">
        <v>2878.15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50">
        <v>0</v>
      </c>
      <c r="W230" s="50">
        <v>0</v>
      </c>
      <c r="X230" s="47">
        <v>0</v>
      </c>
      <c r="Y230" s="50">
        <v>0</v>
      </c>
      <c r="Z230" s="263"/>
      <c r="AA230" s="50">
        <v>0</v>
      </c>
      <c r="AB230" s="50">
        <v>0</v>
      </c>
      <c r="AC230" s="50">
        <v>0</v>
      </c>
      <c r="AD230" s="50">
        <v>0</v>
      </c>
      <c r="AE230" s="50">
        <v>0</v>
      </c>
      <c r="AF230" s="50">
        <v>0</v>
      </c>
      <c r="AG230" s="50">
        <v>0</v>
      </c>
      <c r="AH230" s="50">
        <v>0</v>
      </c>
      <c r="AI230" s="50">
        <v>0</v>
      </c>
      <c r="AJ230" s="50">
        <v>0</v>
      </c>
      <c r="AK230" s="50">
        <v>0</v>
      </c>
      <c r="AL230" s="50">
        <v>0</v>
      </c>
      <c r="AM230" s="50">
        <v>0</v>
      </c>
      <c r="AN230" s="50">
        <v>0</v>
      </c>
      <c r="AO230" s="50">
        <v>0</v>
      </c>
      <c r="AP230" s="412"/>
      <c r="AQ230" s="263"/>
    </row>
    <row r="231" spans="1:43" ht="54" hidden="1" customHeight="1" x14ac:dyDescent="0.25">
      <c r="A231" s="1332" t="s">
        <v>31</v>
      </c>
      <c r="B231" s="1613" t="s">
        <v>208</v>
      </c>
      <c r="C231" s="1614"/>
      <c r="D231" s="1614"/>
      <c r="E231" s="1614"/>
      <c r="F231" s="1614"/>
      <c r="G231" s="1614"/>
      <c r="H231" s="1615"/>
      <c r="I231" s="23" t="s">
        <v>19</v>
      </c>
      <c r="J231" s="971">
        <v>0</v>
      </c>
      <c r="K231" s="971">
        <v>0</v>
      </c>
      <c r="L231" s="47">
        <f>M231+N231+O231</f>
        <v>0</v>
      </c>
      <c r="M231" s="47">
        <v>0</v>
      </c>
      <c r="N231" s="47">
        <v>0</v>
      </c>
      <c r="O231" s="47">
        <v>0</v>
      </c>
      <c r="P231" s="47">
        <v>0</v>
      </c>
      <c r="Q231" s="47">
        <v>0</v>
      </c>
      <c r="R231" s="47">
        <v>0</v>
      </c>
      <c r="S231" s="47">
        <v>0</v>
      </c>
      <c r="T231" s="47">
        <v>0</v>
      </c>
      <c r="U231" s="47">
        <v>0</v>
      </c>
      <c r="V231" s="47">
        <v>0</v>
      </c>
      <c r="W231" s="47">
        <v>0</v>
      </c>
      <c r="X231" s="47">
        <v>0</v>
      </c>
      <c r="Y231" s="47">
        <v>0</v>
      </c>
      <c r="Z231" s="96"/>
      <c r="AA231" s="47">
        <v>0</v>
      </c>
      <c r="AB231" s="47">
        <v>0</v>
      </c>
      <c r="AC231" s="47">
        <v>0</v>
      </c>
      <c r="AD231" s="47">
        <v>0</v>
      </c>
      <c r="AE231" s="47">
        <v>0</v>
      </c>
      <c r="AF231" s="47">
        <v>0</v>
      </c>
      <c r="AG231" s="47">
        <v>0</v>
      </c>
      <c r="AH231" s="47">
        <v>0</v>
      </c>
      <c r="AI231" s="47">
        <v>0</v>
      </c>
      <c r="AJ231" s="47">
        <v>0</v>
      </c>
      <c r="AK231" s="47">
        <v>0</v>
      </c>
      <c r="AL231" s="47">
        <v>0</v>
      </c>
      <c r="AM231" s="47">
        <v>0</v>
      </c>
      <c r="AN231" s="47">
        <v>0</v>
      </c>
      <c r="AO231" s="47">
        <v>0</v>
      </c>
      <c r="AP231" s="397"/>
      <c r="AQ231" s="96"/>
    </row>
    <row r="232" spans="1:43" ht="39.75" hidden="1" customHeight="1" x14ac:dyDescent="0.25">
      <c r="A232" s="1333"/>
      <c r="B232" s="1616"/>
      <c r="C232" s="1617"/>
      <c r="D232" s="1617"/>
      <c r="E232" s="1617"/>
      <c r="F232" s="1617"/>
      <c r="G232" s="1617"/>
      <c r="H232" s="1618"/>
      <c r="I232" s="23" t="s">
        <v>20</v>
      </c>
      <c r="J232" s="971">
        <f>K232+L232</f>
        <v>6696.7899999999991</v>
      </c>
      <c r="K232" s="971">
        <f>K238+K257+K260+K267</f>
        <v>0</v>
      </c>
      <c r="L232" s="47">
        <f t="shared" ref="L232:AE232" si="138">L238</f>
        <v>6696.7899999999991</v>
      </c>
      <c r="M232" s="47">
        <f t="shared" si="138"/>
        <v>0</v>
      </c>
      <c r="N232" s="47">
        <f t="shared" si="138"/>
        <v>2081.9299999999998</v>
      </c>
      <c r="O232" s="47">
        <f t="shared" si="138"/>
        <v>4372.5</v>
      </c>
      <c r="P232" s="47">
        <f t="shared" si="138"/>
        <v>0</v>
      </c>
      <c r="Q232" s="47">
        <f t="shared" si="138"/>
        <v>75</v>
      </c>
      <c r="R232" s="47">
        <f t="shared" si="138"/>
        <v>0</v>
      </c>
      <c r="S232" s="47">
        <f t="shared" si="138"/>
        <v>0</v>
      </c>
      <c r="T232" s="47">
        <f t="shared" si="138"/>
        <v>0</v>
      </c>
      <c r="U232" s="47">
        <f t="shared" si="138"/>
        <v>0</v>
      </c>
      <c r="V232" s="47">
        <f t="shared" si="138"/>
        <v>0</v>
      </c>
      <c r="W232" s="47">
        <f t="shared" si="138"/>
        <v>0</v>
      </c>
      <c r="X232" s="47">
        <f t="shared" si="138"/>
        <v>0</v>
      </c>
      <c r="Y232" s="47">
        <f t="shared" si="138"/>
        <v>0</v>
      </c>
      <c r="Z232" s="96"/>
      <c r="AA232" s="47">
        <f t="shared" si="138"/>
        <v>75</v>
      </c>
      <c r="AB232" s="47">
        <f t="shared" si="138"/>
        <v>0</v>
      </c>
      <c r="AC232" s="47">
        <f t="shared" si="138"/>
        <v>0</v>
      </c>
      <c r="AD232" s="47">
        <f t="shared" si="138"/>
        <v>0</v>
      </c>
      <c r="AE232" s="47">
        <f t="shared" si="138"/>
        <v>0</v>
      </c>
      <c r="AF232" s="47">
        <f t="shared" ref="AF232:AO232" si="139">AF238+AF257+AF260+AF267+AF269</f>
        <v>0</v>
      </c>
      <c r="AG232" s="47">
        <f t="shared" si="139"/>
        <v>0</v>
      </c>
      <c r="AH232" s="47">
        <f t="shared" si="139"/>
        <v>0</v>
      </c>
      <c r="AI232" s="47">
        <f t="shared" si="139"/>
        <v>0</v>
      </c>
      <c r="AJ232" s="47">
        <f t="shared" si="139"/>
        <v>0</v>
      </c>
      <c r="AK232" s="47">
        <f t="shared" si="139"/>
        <v>40144.92</v>
      </c>
      <c r="AL232" s="47">
        <f t="shared" si="139"/>
        <v>40144.92</v>
      </c>
      <c r="AM232" s="47" t="e">
        <f t="shared" si="139"/>
        <v>#DIV/0!</v>
      </c>
      <c r="AN232" s="47">
        <f t="shared" si="139"/>
        <v>0</v>
      </c>
      <c r="AO232" s="47">
        <f t="shared" si="139"/>
        <v>0</v>
      </c>
      <c r="AP232" s="397"/>
      <c r="AQ232" s="96"/>
    </row>
    <row r="233" spans="1:43" ht="26.25" hidden="1" customHeight="1" x14ac:dyDescent="0.25">
      <c r="A233" s="1333"/>
      <c r="B233" s="1616"/>
      <c r="C233" s="1617"/>
      <c r="D233" s="1617"/>
      <c r="E233" s="1617"/>
      <c r="F233" s="1617"/>
      <c r="G233" s="1617"/>
      <c r="H233" s="1618"/>
      <c r="I233" s="23" t="s">
        <v>10</v>
      </c>
      <c r="J233" s="971">
        <v>0</v>
      </c>
      <c r="K233" s="971">
        <v>0</v>
      </c>
      <c r="L233" s="47">
        <f>M233+N233+O233</f>
        <v>0</v>
      </c>
      <c r="M233" s="47">
        <v>0</v>
      </c>
      <c r="N233" s="47">
        <v>0</v>
      </c>
      <c r="O233" s="47">
        <v>0</v>
      </c>
      <c r="P233" s="47">
        <v>0</v>
      </c>
      <c r="Q233" s="47">
        <v>0</v>
      </c>
      <c r="R233" s="47">
        <v>0</v>
      </c>
      <c r="S233" s="47">
        <v>0</v>
      </c>
      <c r="T233" s="47">
        <v>0</v>
      </c>
      <c r="U233" s="47">
        <v>0</v>
      </c>
      <c r="V233" s="47">
        <v>0</v>
      </c>
      <c r="W233" s="47">
        <v>0</v>
      </c>
      <c r="X233" s="47">
        <v>0</v>
      </c>
      <c r="Y233" s="47">
        <v>0</v>
      </c>
      <c r="Z233" s="96"/>
      <c r="AA233" s="47">
        <v>0</v>
      </c>
      <c r="AB233" s="47">
        <v>0</v>
      </c>
      <c r="AC233" s="47">
        <v>0</v>
      </c>
      <c r="AD233" s="47">
        <v>0</v>
      </c>
      <c r="AE233" s="47">
        <v>0</v>
      </c>
      <c r="AF233" s="47">
        <v>0</v>
      </c>
      <c r="AG233" s="47">
        <v>0</v>
      </c>
      <c r="AH233" s="47">
        <v>0</v>
      </c>
      <c r="AI233" s="47">
        <v>0</v>
      </c>
      <c r="AJ233" s="47">
        <v>0</v>
      </c>
      <c r="AK233" s="47">
        <v>0</v>
      </c>
      <c r="AL233" s="47">
        <v>0</v>
      </c>
      <c r="AM233" s="47">
        <v>0</v>
      </c>
      <c r="AN233" s="47">
        <v>0</v>
      </c>
      <c r="AO233" s="47">
        <v>0</v>
      </c>
      <c r="AP233" s="397"/>
      <c r="AQ233" s="96"/>
    </row>
    <row r="234" spans="1:43" ht="25.5" hidden="1" x14ac:dyDescent="0.25">
      <c r="A234" s="1334"/>
      <c r="B234" s="1619"/>
      <c r="C234" s="1620"/>
      <c r="D234" s="1620"/>
      <c r="E234" s="1620"/>
      <c r="F234" s="1620"/>
      <c r="G234" s="1620"/>
      <c r="H234" s="1621"/>
      <c r="I234" s="23" t="s">
        <v>9</v>
      </c>
      <c r="J234" s="971">
        <v>0</v>
      </c>
      <c r="K234" s="971">
        <v>0</v>
      </c>
      <c r="L234" s="47">
        <f>M234+N234+O234</f>
        <v>0</v>
      </c>
      <c r="M234" s="47">
        <v>0</v>
      </c>
      <c r="N234" s="47">
        <v>0</v>
      </c>
      <c r="O234" s="47">
        <v>0</v>
      </c>
      <c r="P234" s="47">
        <v>0</v>
      </c>
      <c r="Q234" s="47">
        <v>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7">
        <v>0</v>
      </c>
      <c r="Y234" s="47">
        <v>0</v>
      </c>
      <c r="Z234" s="96"/>
      <c r="AA234" s="47">
        <v>0</v>
      </c>
      <c r="AB234" s="47">
        <v>0</v>
      </c>
      <c r="AC234" s="47">
        <v>0</v>
      </c>
      <c r="AD234" s="47">
        <v>0</v>
      </c>
      <c r="AE234" s="47">
        <v>0</v>
      </c>
      <c r="AF234" s="47">
        <v>0</v>
      </c>
      <c r="AG234" s="47">
        <v>0</v>
      </c>
      <c r="AH234" s="47">
        <v>0</v>
      </c>
      <c r="AI234" s="47">
        <v>0</v>
      </c>
      <c r="AJ234" s="47">
        <v>0</v>
      </c>
      <c r="AK234" s="47">
        <v>0</v>
      </c>
      <c r="AL234" s="47">
        <v>0</v>
      </c>
      <c r="AM234" s="47">
        <v>0</v>
      </c>
      <c r="AN234" s="47">
        <v>0</v>
      </c>
      <c r="AO234" s="47">
        <v>0</v>
      </c>
      <c r="AP234" s="397"/>
      <c r="AQ234" s="96"/>
    </row>
    <row r="235" spans="1:43" s="327" customFormat="1" ht="29.25" customHeight="1" x14ac:dyDescent="0.25">
      <c r="A235" s="981" t="s">
        <v>179</v>
      </c>
      <c r="B235" s="780" t="s">
        <v>413</v>
      </c>
      <c r="C235" s="133"/>
      <c r="D235" s="133"/>
      <c r="E235" s="133"/>
      <c r="F235" s="133"/>
      <c r="G235" s="778"/>
      <c r="H235" s="778"/>
      <c r="I235" s="1463" t="s">
        <v>181</v>
      </c>
      <c r="J235" s="963"/>
      <c r="K235" s="3"/>
      <c r="L235" s="3">
        <f>L236</f>
        <v>1342.77</v>
      </c>
      <c r="M235" s="3">
        <f>M236</f>
        <v>1246.77</v>
      </c>
      <c r="N235" s="3">
        <f t="shared" ref="N235:AO235" si="140">N236</f>
        <v>0</v>
      </c>
      <c r="O235" s="3">
        <f t="shared" si="140"/>
        <v>0</v>
      </c>
      <c r="P235" s="3">
        <f t="shared" si="140"/>
        <v>4959</v>
      </c>
      <c r="Q235" s="3">
        <f t="shared" si="140"/>
        <v>0</v>
      </c>
      <c r="R235" s="3">
        <f t="shared" si="140"/>
        <v>0</v>
      </c>
      <c r="S235" s="3">
        <f t="shared" si="140"/>
        <v>0</v>
      </c>
      <c r="T235" s="3">
        <f t="shared" si="140"/>
        <v>0</v>
      </c>
      <c r="U235" s="3">
        <f t="shared" si="140"/>
        <v>0</v>
      </c>
      <c r="V235" s="3">
        <f t="shared" si="140"/>
        <v>0</v>
      </c>
      <c r="W235" s="3">
        <f t="shared" si="140"/>
        <v>0</v>
      </c>
      <c r="X235" s="3">
        <f t="shared" si="140"/>
        <v>0</v>
      </c>
      <c r="Y235" s="3">
        <f t="shared" si="140"/>
        <v>0</v>
      </c>
      <c r="Z235" s="95">
        <v>0</v>
      </c>
      <c r="AA235" s="3">
        <f t="shared" si="140"/>
        <v>0</v>
      </c>
      <c r="AB235" s="3">
        <f t="shared" si="140"/>
        <v>0</v>
      </c>
      <c r="AC235" s="3">
        <f t="shared" si="140"/>
        <v>0</v>
      </c>
      <c r="AD235" s="3">
        <f t="shared" si="140"/>
        <v>0</v>
      </c>
      <c r="AE235" s="3">
        <f t="shared" si="140"/>
        <v>0</v>
      </c>
      <c r="AF235" s="3">
        <f t="shared" si="140"/>
        <v>0</v>
      </c>
      <c r="AG235" s="3">
        <f t="shared" si="140"/>
        <v>0</v>
      </c>
      <c r="AH235" s="3">
        <f t="shared" si="140"/>
        <v>0</v>
      </c>
      <c r="AI235" s="3">
        <f t="shared" si="140"/>
        <v>0</v>
      </c>
      <c r="AJ235" s="3">
        <f t="shared" si="140"/>
        <v>0</v>
      </c>
      <c r="AK235" s="3">
        <f t="shared" si="140"/>
        <v>0</v>
      </c>
      <c r="AL235" s="3">
        <f t="shared" si="140"/>
        <v>0</v>
      </c>
      <c r="AM235" s="3">
        <f t="shared" si="140"/>
        <v>0</v>
      </c>
      <c r="AN235" s="3">
        <f t="shared" si="140"/>
        <v>0</v>
      </c>
      <c r="AO235" s="3">
        <f t="shared" si="140"/>
        <v>0</v>
      </c>
      <c r="AP235" s="829" t="s">
        <v>207</v>
      </c>
      <c r="AQ235" s="95">
        <v>0</v>
      </c>
    </row>
    <row r="236" spans="1:43" ht="15.75" customHeight="1" x14ac:dyDescent="0.25">
      <c r="A236" s="948"/>
      <c r="B236" s="42" t="s">
        <v>39</v>
      </c>
      <c r="C236" s="341"/>
      <c r="D236" s="341"/>
      <c r="E236" s="341"/>
      <c r="F236" s="341"/>
      <c r="G236" s="313"/>
      <c r="H236" s="978"/>
      <c r="I236" s="1465"/>
      <c r="J236" s="980"/>
      <c r="K236" s="4"/>
      <c r="L236" s="47">
        <v>1342.77</v>
      </c>
      <c r="M236" s="47">
        <v>1246.77</v>
      </c>
      <c r="N236" s="50">
        <v>0</v>
      </c>
      <c r="O236" s="50">
        <v>0</v>
      </c>
      <c r="P236" s="47">
        <v>4959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50">
        <v>0</v>
      </c>
      <c r="W236" s="50">
        <v>0</v>
      </c>
      <c r="X236" s="47">
        <v>0</v>
      </c>
      <c r="Y236" s="50">
        <v>0</v>
      </c>
      <c r="Z236" s="263"/>
      <c r="AA236" s="50">
        <v>0</v>
      </c>
      <c r="AB236" s="50">
        <v>0</v>
      </c>
      <c r="AC236" s="50">
        <v>0</v>
      </c>
      <c r="AD236" s="50">
        <v>0</v>
      </c>
      <c r="AE236" s="50">
        <v>0</v>
      </c>
      <c r="AF236" s="50">
        <v>0</v>
      </c>
      <c r="AG236" s="50">
        <v>0</v>
      </c>
      <c r="AH236" s="50">
        <v>0</v>
      </c>
      <c r="AI236" s="50">
        <v>0</v>
      </c>
      <c r="AJ236" s="50">
        <v>0</v>
      </c>
      <c r="AK236" s="50">
        <v>0</v>
      </c>
      <c r="AL236" s="50">
        <v>0</v>
      </c>
      <c r="AM236" s="50">
        <v>0</v>
      </c>
      <c r="AN236" s="50">
        <v>0</v>
      </c>
      <c r="AO236" s="50">
        <v>0</v>
      </c>
      <c r="AP236" s="412"/>
      <c r="AQ236" s="263"/>
    </row>
    <row r="237" spans="1:43" ht="15.75" x14ac:dyDescent="0.25">
      <c r="A237" s="942"/>
      <c r="B237" s="42" t="s">
        <v>16</v>
      </c>
      <c r="C237" s="974"/>
      <c r="D237" s="974"/>
      <c r="E237" s="974"/>
      <c r="F237" s="974"/>
      <c r="G237" s="974"/>
      <c r="H237" s="975"/>
      <c r="I237" s="943"/>
      <c r="J237" s="971"/>
      <c r="K237" s="971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96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"/>
      <c r="AN237" s="47"/>
      <c r="AO237" s="47"/>
      <c r="AP237" s="397"/>
      <c r="AQ237" s="96"/>
    </row>
    <row r="238" spans="1:43" s="327" customFormat="1" ht="30" customHeight="1" x14ac:dyDescent="0.25">
      <c r="A238" s="1344" t="s">
        <v>50</v>
      </c>
      <c r="B238" s="830" t="s">
        <v>183</v>
      </c>
      <c r="C238" s="1658"/>
      <c r="D238" s="1326"/>
      <c r="E238" s="1326"/>
      <c r="F238" s="1644">
        <v>150000</v>
      </c>
      <c r="G238" s="1326">
        <v>2019</v>
      </c>
      <c r="H238" s="1326">
        <v>2019</v>
      </c>
      <c r="I238" s="1326" t="s">
        <v>20</v>
      </c>
      <c r="J238" s="1653">
        <v>4914.5600000000004</v>
      </c>
      <c r="K238" s="3"/>
      <c r="L238" s="3">
        <f t="shared" ref="L238:P238" si="141">L241+L239</f>
        <v>6696.7899999999991</v>
      </c>
      <c r="M238" s="3">
        <f t="shared" si="141"/>
        <v>0</v>
      </c>
      <c r="N238" s="3">
        <f t="shared" si="141"/>
        <v>2081.9299999999998</v>
      </c>
      <c r="O238" s="3">
        <f t="shared" si="141"/>
        <v>4372.5</v>
      </c>
      <c r="P238" s="3">
        <f t="shared" si="141"/>
        <v>0</v>
      </c>
      <c r="Q238" s="3">
        <f>Q239+Q241</f>
        <v>75</v>
      </c>
      <c r="R238" s="3">
        <f t="shared" ref="R238:AA238" si="142">R239+R241</f>
        <v>0</v>
      </c>
      <c r="S238" s="3">
        <f t="shared" si="142"/>
        <v>0</v>
      </c>
      <c r="T238" s="3">
        <f t="shared" si="142"/>
        <v>0</v>
      </c>
      <c r="U238" s="3">
        <f t="shared" si="142"/>
        <v>0</v>
      </c>
      <c r="V238" s="3">
        <f t="shared" si="142"/>
        <v>0</v>
      </c>
      <c r="W238" s="3">
        <f t="shared" si="142"/>
        <v>0</v>
      </c>
      <c r="X238" s="3">
        <f t="shared" si="142"/>
        <v>0</v>
      </c>
      <c r="Y238" s="3">
        <f t="shared" si="142"/>
        <v>0</v>
      </c>
      <c r="Z238" s="3">
        <f t="shared" si="142"/>
        <v>0</v>
      </c>
      <c r="AA238" s="3">
        <f t="shared" si="142"/>
        <v>75</v>
      </c>
      <c r="AB238" s="3">
        <f t="shared" ref="AB238:AJ238" si="143">AB241+AB239</f>
        <v>0</v>
      </c>
      <c r="AC238" s="3">
        <f t="shared" si="143"/>
        <v>0</v>
      </c>
      <c r="AD238" s="3">
        <f t="shared" si="143"/>
        <v>0</v>
      </c>
      <c r="AE238" s="3">
        <f t="shared" si="143"/>
        <v>0</v>
      </c>
      <c r="AF238" s="3">
        <f t="shared" si="143"/>
        <v>0</v>
      </c>
      <c r="AG238" s="3">
        <f t="shared" si="143"/>
        <v>0</v>
      </c>
      <c r="AH238" s="3">
        <f t="shared" si="143"/>
        <v>0</v>
      </c>
      <c r="AI238" s="3">
        <f t="shared" si="143"/>
        <v>0</v>
      </c>
      <c r="AJ238" s="3">
        <f t="shared" si="143"/>
        <v>0</v>
      </c>
      <c r="AK238" s="3">
        <f>P238-Q238</f>
        <v>-75</v>
      </c>
      <c r="AL238" s="3">
        <f>AK238</f>
        <v>-75</v>
      </c>
      <c r="AM238" s="318" t="e">
        <f>ROUND((Q238*100%/P238*100),2)</f>
        <v>#DIV/0!</v>
      </c>
      <c r="AN238" s="3">
        <f>AN241</f>
        <v>0</v>
      </c>
      <c r="AO238" s="3">
        <f>AO241</f>
        <v>0</v>
      </c>
      <c r="AP238" s="633"/>
      <c r="AQ238" s="95">
        <v>45</v>
      </c>
    </row>
    <row r="239" spans="1:43" ht="19.5" customHeight="1" x14ac:dyDescent="0.25">
      <c r="A239" s="1345"/>
      <c r="B239" s="1" t="s">
        <v>15</v>
      </c>
      <c r="C239" s="1659"/>
      <c r="D239" s="1327"/>
      <c r="E239" s="1327"/>
      <c r="F239" s="1645"/>
      <c r="G239" s="1327"/>
      <c r="H239" s="1327"/>
      <c r="I239" s="1327"/>
      <c r="J239" s="1654"/>
      <c r="K239" s="47"/>
      <c r="L239" s="47">
        <f>SUM(M239:O239)</f>
        <v>2081.9299999999998</v>
      </c>
      <c r="M239" s="4">
        <v>0</v>
      </c>
      <c r="N239" s="4">
        <v>2081.9299999999998</v>
      </c>
      <c r="O239" s="4">
        <f t="shared" ref="O239:AO239" si="144">O240</f>
        <v>0</v>
      </c>
      <c r="P239" s="4">
        <f t="shared" si="144"/>
        <v>0</v>
      </c>
      <c r="Q239" s="4">
        <f t="shared" si="144"/>
        <v>75</v>
      </c>
      <c r="R239" s="4">
        <f t="shared" si="144"/>
        <v>0</v>
      </c>
      <c r="S239" s="4">
        <f t="shared" si="144"/>
        <v>0</v>
      </c>
      <c r="T239" s="4">
        <f t="shared" si="144"/>
        <v>0</v>
      </c>
      <c r="U239" s="4">
        <f t="shared" si="144"/>
        <v>0</v>
      </c>
      <c r="V239" s="4">
        <f t="shared" si="144"/>
        <v>0</v>
      </c>
      <c r="W239" s="4">
        <f t="shared" si="144"/>
        <v>0</v>
      </c>
      <c r="X239" s="4">
        <f t="shared" si="144"/>
        <v>0</v>
      </c>
      <c r="Y239" s="4">
        <f t="shared" si="144"/>
        <v>0</v>
      </c>
      <c r="Z239" s="268"/>
      <c r="AA239" s="4">
        <f t="shared" si="144"/>
        <v>75</v>
      </c>
      <c r="AB239" s="4">
        <f t="shared" si="144"/>
        <v>0</v>
      </c>
      <c r="AC239" s="4">
        <f t="shared" si="144"/>
        <v>0</v>
      </c>
      <c r="AD239" s="4">
        <f t="shared" si="144"/>
        <v>0</v>
      </c>
      <c r="AE239" s="4">
        <f t="shared" si="144"/>
        <v>0</v>
      </c>
      <c r="AF239" s="4">
        <f t="shared" si="144"/>
        <v>0</v>
      </c>
      <c r="AG239" s="4">
        <f t="shared" si="144"/>
        <v>0</v>
      </c>
      <c r="AH239" s="4">
        <v>0</v>
      </c>
      <c r="AI239" s="4">
        <v>0</v>
      </c>
      <c r="AJ239" s="4">
        <v>0</v>
      </c>
      <c r="AK239" s="4">
        <f t="shared" si="144"/>
        <v>0</v>
      </c>
      <c r="AL239" s="4">
        <f t="shared" si="144"/>
        <v>0</v>
      </c>
      <c r="AM239" s="4">
        <f t="shared" si="144"/>
        <v>0</v>
      </c>
      <c r="AN239" s="4">
        <f t="shared" si="144"/>
        <v>0</v>
      </c>
      <c r="AO239" s="4">
        <f t="shared" si="144"/>
        <v>0</v>
      </c>
      <c r="AP239" s="968"/>
      <c r="AQ239" s="268"/>
    </row>
    <row r="240" spans="1:43" s="266" customFormat="1" hidden="1" x14ac:dyDescent="0.25">
      <c r="A240" s="1345"/>
      <c r="B240" s="92" t="s">
        <v>250</v>
      </c>
      <c r="C240" s="1659"/>
      <c r="D240" s="1327"/>
      <c r="E240" s="1327"/>
      <c r="F240" s="1645"/>
      <c r="G240" s="1327"/>
      <c r="H240" s="1327"/>
      <c r="I240" s="1327"/>
      <c r="J240" s="1654"/>
      <c r="K240" s="96"/>
      <c r="L240" s="96">
        <f>SUM(M240:O240)</f>
        <v>0</v>
      </c>
      <c r="M240" s="268">
        <v>0</v>
      </c>
      <c r="N240" s="263"/>
      <c r="O240" s="263"/>
      <c r="P240" s="263">
        <f>R240+T240</f>
        <v>0</v>
      </c>
      <c r="Q240" s="263">
        <v>75</v>
      </c>
      <c r="R240" s="263">
        <f>S240</f>
        <v>0</v>
      </c>
      <c r="S240" s="263">
        <v>0</v>
      </c>
      <c r="T240" s="263">
        <v>0</v>
      </c>
      <c r="U240" s="263">
        <v>0</v>
      </c>
      <c r="V240" s="263">
        <v>0</v>
      </c>
      <c r="W240" s="263">
        <v>0</v>
      </c>
      <c r="X240" s="263">
        <v>0</v>
      </c>
      <c r="Y240" s="263">
        <v>0</v>
      </c>
      <c r="Z240" s="263"/>
      <c r="AA240" s="263">
        <v>75</v>
      </c>
      <c r="AB240" s="263">
        <v>0</v>
      </c>
      <c r="AC240" s="263">
        <v>0</v>
      </c>
      <c r="AD240" s="263"/>
      <c r="AE240" s="263"/>
      <c r="AF240" s="263"/>
      <c r="AG240" s="263"/>
      <c r="AH240" s="263"/>
      <c r="AI240" s="263"/>
      <c r="AJ240" s="263"/>
      <c r="AK240" s="263"/>
      <c r="AL240" s="263"/>
      <c r="AM240" s="263"/>
      <c r="AN240" s="263"/>
      <c r="AO240" s="263"/>
      <c r="AP240" s="413"/>
      <c r="AQ240" s="263"/>
    </row>
    <row r="241" spans="1:43" ht="18" customHeight="1" x14ac:dyDescent="0.25">
      <c r="A241" s="1346"/>
      <c r="B241" s="575" t="s">
        <v>16</v>
      </c>
      <c r="C241" s="1356"/>
      <c r="D241" s="1356"/>
      <c r="E241" s="1327"/>
      <c r="F241" s="1357"/>
      <c r="G241" s="1327"/>
      <c r="H241" s="1327"/>
      <c r="I241" s="1327"/>
      <c r="J241" s="1655"/>
      <c r="K241" s="47">
        <v>0</v>
      </c>
      <c r="L241" s="47">
        <v>4614.8599999999997</v>
      </c>
      <c r="M241" s="4">
        <v>0</v>
      </c>
      <c r="N241" s="4">
        <v>0</v>
      </c>
      <c r="O241" s="4">
        <v>4372.5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268"/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968"/>
      <c r="AQ241" s="268"/>
    </row>
    <row r="242" spans="1:43" s="327" customFormat="1" ht="21" customHeight="1" x14ac:dyDescent="0.25">
      <c r="A242" s="958"/>
      <c r="B242" s="830" t="s">
        <v>414</v>
      </c>
      <c r="C242" s="654"/>
      <c r="D242" s="654"/>
      <c r="E242" s="341"/>
      <c r="F242" s="831"/>
      <c r="G242" s="341"/>
      <c r="H242" s="979"/>
      <c r="I242" s="947"/>
      <c r="J242" s="973"/>
      <c r="K242" s="3"/>
      <c r="L242" s="3">
        <f t="shared" ref="L242:O242" si="145">L245+L243</f>
        <v>2081.9299999999998</v>
      </c>
      <c r="M242" s="3">
        <f t="shared" si="145"/>
        <v>0</v>
      </c>
      <c r="N242" s="3">
        <f t="shared" si="145"/>
        <v>2081.9299999999998</v>
      </c>
      <c r="O242" s="3">
        <f t="shared" si="145"/>
        <v>0</v>
      </c>
      <c r="P242" s="3">
        <f>SUM(P243:P244)</f>
        <v>2.7</v>
      </c>
      <c r="Q242" s="3">
        <f>SUM(Q243:Q244)</f>
        <v>0</v>
      </c>
      <c r="R242" s="3">
        <f t="shared" ref="R242:AA242" si="146">SUM(R243:R244)</f>
        <v>0</v>
      </c>
      <c r="S242" s="3">
        <f t="shared" si="146"/>
        <v>0</v>
      </c>
      <c r="T242" s="3">
        <f t="shared" si="146"/>
        <v>0</v>
      </c>
      <c r="U242" s="3">
        <f t="shared" si="146"/>
        <v>0</v>
      </c>
      <c r="V242" s="3">
        <f t="shared" si="146"/>
        <v>0</v>
      </c>
      <c r="W242" s="3">
        <f t="shared" si="146"/>
        <v>0</v>
      </c>
      <c r="X242" s="3">
        <f t="shared" si="146"/>
        <v>0</v>
      </c>
      <c r="Y242" s="3">
        <f t="shared" si="146"/>
        <v>0</v>
      </c>
      <c r="Z242" s="3">
        <f t="shared" si="146"/>
        <v>0</v>
      </c>
      <c r="AA242" s="3">
        <f t="shared" si="146"/>
        <v>0</v>
      </c>
      <c r="AB242" s="3">
        <f t="shared" ref="AB242:AJ242" si="147">AB245+AB243</f>
        <v>0</v>
      </c>
      <c r="AC242" s="3">
        <f t="shared" si="147"/>
        <v>0</v>
      </c>
      <c r="AD242" s="3">
        <f t="shared" si="147"/>
        <v>0</v>
      </c>
      <c r="AE242" s="3">
        <f t="shared" si="147"/>
        <v>0</v>
      </c>
      <c r="AF242" s="3">
        <f t="shared" si="147"/>
        <v>0</v>
      </c>
      <c r="AG242" s="3">
        <f t="shared" si="147"/>
        <v>0</v>
      </c>
      <c r="AH242" s="3">
        <f t="shared" si="147"/>
        <v>0</v>
      </c>
      <c r="AI242" s="3">
        <f t="shared" si="147"/>
        <v>0</v>
      </c>
      <c r="AJ242" s="3">
        <f t="shared" si="147"/>
        <v>0</v>
      </c>
      <c r="AK242" s="3">
        <f>P242-Q242</f>
        <v>2.7</v>
      </c>
      <c r="AL242" s="3">
        <f>AK242</f>
        <v>2.7</v>
      </c>
      <c r="AM242" s="318">
        <f>ROUND((Q242*100%/P242*100),2)</f>
        <v>0</v>
      </c>
      <c r="AN242" s="3">
        <f>AN245</f>
        <v>0</v>
      </c>
      <c r="AO242" s="3">
        <f>AO245</f>
        <v>0</v>
      </c>
      <c r="AP242" s="633"/>
      <c r="AQ242" s="95">
        <v>45</v>
      </c>
    </row>
    <row r="243" spans="1:43" ht="19.5" customHeight="1" x14ac:dyDescent="0.25">
      <c r="A243" s="958"/>
      <c r="B243" s="1" t="s">
        <v>15</v>
      </c>
      <c r="C243" s="654"/>
      <c r="D243" s="654"/>
      <c r="E243" s="341"/>
      <c r="F243" s="831"/>
      <c r="G243" s="341"/>
      <c r="H243" s="979"/>
      <c r="I243" s="947"/>
      <c r="J243" s="973"/>
      <c r="K243" s="47"/>
      <c r="L243" s="47">
        <f>SUM(M243:O243)</f>
        <v>2081.9299999999998</v>
      </c>
      <c r="M243" s="4">
        <v>0</v>
      </c>
      <c r="N243" s="4">
        <v>2081.9299999999998</v>
      </c>
      <c r="O243" s="4">
        <f t="shared" ref="O243:AO243" si="148">O244</f>
        <v>0</v>
      </c>
      <c r="P243" s="4">
        <v>2.7</v>
      </c>
      <c r="Q243" s="4">
        <v>0</v>
      </c>
      <c r="R243" s="4">
        <f t="shared" si="148"/>
        <v>0</v>
      </c>
      <c r="S243" s="4">
        <f t="shared" si="148"/>
        <v>0</v>
      </c>
      <c r="T243" s="4">
        <f t="shared" si="148"/>
        <v>0</v>
      </c>
      <c r="U243" s="4">
        <f t="shared" si="148"/>
        <v>0</v>
      </c>
      <c r="V243" s="4">
        <f t="shared" si="148"/>
        <v>0</v>
      </c>
      <c r="W243" s="4">
        <f t="shared" si="148"/>
        <v>0</v>
      </c>
      <c r="X243" s="4">
        <f t="shared" si="148"/>
        <v>0</v>
      </c>
      <c r="Y243" s="4">
        <f t="shared" si="148"/>
        <v>0</v>
      </c>
      <c r="Z243" s="268"/>
      <c r="AA243" s="4">
        <v>0</v>
      </c>
      <c r="AB243" s="4">
        <f t="shared" si="148"/>
        <v>0</v>
      </c>
      <c r="AC243" s="4">
        <f t="shared" si="148"/>
        <v>0</v>
      </c>
      <c r="AD243" s="4">
        <f t="shared" si="148"/>
        <v>0</v>
      </c>
      <c r="AE243" s="4">
        <f t="shared" si="148"/>
        <v>0</v>
      </c>
      <c r="AF243" s="4">
        <f t="shared" si="148"/>
        <v>0</v>
      </c>
      <c r="AG243" s="4">
        <f t="shared" si="148"/>
        <v>0</v>
      </c>
      <c r="AH243" s="4">
        <v>0</v>
      </c>
      <c r="AI243" s="4">
        <v>0</v>
      </c>
      <c r="AJ243" s="4">
        <v>0</v>
      </c>
      <c r="AK243" s="4">
        <f t="shared" si="148"/>
        <v>0</v>
      </c>
      <c r="AL243" s="4">
        <f t="shared" si="148"/>
        <v>0</v>
      </c>
      <c r="AM243" s="4">
        <f t="shared" si="148"/>
        <v>0</v>
      </c>
      <c r="AN243" s="4">
        <f t="shared" si="148"/>
        <v>0</v>
      </c>
      <c r="AO243" s="4">
        <f t="shared" si="148"/>
        <v>0</v>
      </c>
      <c r="AP243" s="968"/>
      <c r="AQ243" s="268"/>
    </row>
    <row r="244" spans="1:43" ht="18" customHeight="1" x14ac:dyDescent="0.25">
      <c r="A244" s="958"/>
      <c r="B244" s="575" t="s">
        <v>16</v>
      </c>
      <c r="C244" s="654"/>
      <c r="D244" s="654"/>
      <c r="E244" s="341"/>
      <c r="F244" s="831"/>
      <c r="G244" s="341"/>
      <c r="H244" s="979"/>
      <c r="I244" s="947"/>
      <c r="J244" s="973"/>
      <c r="K244" s="4"/>
      <c r="L244" s="47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268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968"/>
      <c r="AQ244" s="268"/>
    </row>
    <row r="245" spans="1:43" ht="54" hidden="1" customHeight="1" x14ac:dyDescent="0.25">
      <c r="A245" s="1332" t="s">
        <v>139</v>
      </c>
      <c r="B245" s="1613" t="s">
        <v>209</v>
      </c>
      <c r="C245" s="1614"/>
      <c r="D245" s="1614"/>
      <c r="E245" s="1614"/>
      <c r="F245" s="1614"/>
      <c r="G245" s="1614"/>
      <c r="H245" s="1615"/>
      <c r="I245" s="23" t="s">
        <v>19</v>
      </c>
      <c r="J245" s="971">
        <v>0</v>
      </c>
      <c r="K245" s="971">
        <v>0</v>
      </c>
      <c r="L245" s="47">
        <f>M245+N245+O245</f>
        <v>0</v>
      </c>
      <c r="M245" s="47">
        <v>0</v>
      </c>
      <c r="N245" s="47">
        <v>0</v>
      </c>
      <c r="O245" s="47">
        <v>0</v>
      </c>
      <c r="P245" s="47">
        <v>0</v>
      </c>
      <c r="Q245" s="47">
        <v>0</v>
      </c>
      <c r="R245" s="47">
        <v>0</v>
      </c>
      <c r="S245" s="47">
        <v>0</v>
      </c>
      <c r="T245" s="47">
        <v>0</v>
      </c>
      <c r="U245" s="47">
        <v>0</v>
      </c>
      <c r="V245" s="47">
        <v>0</v>
      </c>
      <c r="W245" s="47">
        <v>0</v>
      </c>
      <c r="X245" s="47">
        <v>0</v>
      </c>
      <c r="Y245" s="47">
        <v>0</v>
      </c>
      <c r="Z245" s="96"/>
      <c r="AA245" s="47">
        <v>0</v>
      </c>
      <c r="AB245" s="47">
        <v>0</v>
      </c>
      <c r="AC245" s="47">
        <v>0</v>
      </c>
      <c r="AD245" s="47">
        <v>0</v>
      </c>
      <c r="AE245" s="47">
        <v>0</v>
      </c>
      <c r="AF245" s="47">
        <v>0</v>
      </c>
      <c r="AG245" s="47">
        <v>0</v>
      </c>
      <c r="AH245" s="47">
        <v>0</v>
      </c>
      <c r="AI245" s="47">
        <v>0</v>
      </c>
      <c r="AJ245" s="47">
        <v>0</v>
      </c>
      <c r="AK245" s="47">
        <v>0</v>
      </c>
      <c r="AL245" s="47">
        <v>0</v>
      </c>
      <c r="AM245" s="47">
        <v>0</v>
      </c>
      <c r="AN245" s="47">
        <v>0</v>
      </c>
      <c r="AO245" s="47">
        <v>0</v>
      </c>
      <c r="AP245" s="397"/>
      <c r="AQ245" s="96"/>
    </row>
    <row r="246" spans="1:43" ht="39.75" hidden="1" customHeight="1" x14ac:dyDescent="0.25">
      <c r="A246" s="1333"/>
      <c r="B246" s="1616"/>
      <c r="C246" s="1617"/>
      <c r="D246" s="1617"/>
      <c r="E246" s="1617"/>
      <c r="F246" s="1617"/>
      <c r="G246" s="1617"/>
      <c r="H246" s="1618"/>
      <c r="I246" s="23" t="s">
        <v>20</v>
      </c>
      <c r="J246" s="971" t="e">
        <f>K246+L246</f>
        <v>#REF!</v>
      </c>
      <c r="K246" s="971" t="e">
        <f>#REF!+K289+K301+K302</f>
        <v>#REF!</v>
      </c>
      <c r="L246" s="47">
        <f t="shared" ref="L246:AM246" si="149">L249+L252++L257+L261+L267+L269+L273+L278+L285+L289</f>
        <v>333768.50999999995</v>
      </c>
      <c r="M246" s="47">
        <f t="shared" si="149"/>
        <v>31936.59</v>
      </c>
      <c r="N246" s="47">
        <f t="shared" si="149"/>
        <v>80827.610000000015</v>
      </c>
      <c r="O246" s="47">
        <f t="shared" si="149"/>
        <v>46251.09</v>
      </c>
      <c r="P246" s="47">
        <f t="shared" si="149"/>
        <v>53453.89</v>
      </c>
      <c r="Q246" s="47">
        <f t="shared" si="149"/>
        <v>1215.4000000000001</v>
      </c>
      <c r="R246" s="47">
        <f t="shared" si="149"/>
        <v>784.17799999999988</v>
      </c>
      <c r="S246" s="47">
        <f t="shared" si="149"/>
        <v>784.17799999999988</v>
      </c>
      <c r="T246" s="47">
        <f t="shared" si="149"/>
        <v>3249.636</v>
      </c>
      <c r="U246" s="47">
        <f t="shared" si="149"/>
        <v>3253.0360000000001</v>
      </c>
      <c r="V246" s="47">
        <f t="shared" si="149"/>
        <v>157.59</v>
      </c>
      <c r="W246" s="47">
        <f t="shared" si="149"/>
        <v>1096.5039999999999</v>
      </c>
      <c r="X246" s="47">
        <f t="shared" si="149"/>
        <v>0</v>
      </c>
      <c r="Y246" s="47">
        <f t="shared" si="149"/>
        <v>0</v>
      </c>
      <c r="Z246" s="96"/>
      <c r="AA246" s="47">
        <f t="shared" si="149"/>
        <v>1870</v>
      </c>
      <c r="AB246" s="47">
        <f t="shared" si="149"/>
        <v>0</v>
      </c>
      <c r="AC246" s="47">
        <f t="shared" si="149"/>
        <v>2488.15</v>
      </c>
      <c r="AD246" s="47">
        <f t="shared" si="149"/>
        <v>64858.980889999999</v>
      </c>
      <c r="AE246" s="47">
        <f t="shared" si="149"/>
        <v>0</v>
      </c>
      <c r="AF246" s="47">
        <f t="shared" si="149"/>
        <v>0</v>
      </c>
      <c r="AG246" s="47">
        <f t="shared" si="149"/>
        <v>0</v>
      </c>
      <c r="AH246" s="47">
        <f t="shared" si="149"/>
        <v>0</v>
      </c>
      <c r="AI246" s="47">
        <f t="shared" si="149"/>
        <v>0</v>
      </c>
      <c r="AJ246" s="47">
        <f t="shared" si="149"/>
        <v>0</v>
      </c>
      <c r="AK246" s="47">
        <f t="shared" si="149"/>
        <v>44126.939999999995</v>
      </c>
      <c r="AL246" s="47">
        <f t="shared" si="149"/>
        <v>44126.939999999995</v>
      </c>
      <c r="AM246" s="47">
        <f t="shared" si="149"/>
        <v>0</v>
      </c>
      <c r="AN246" s="47">
        <f>AN249+AN252++AN257+AN260+AN267+AN269+AN273+AN278+AN285+AN288</f>
        <v>0</v>
      </c>
      <c r="AO246" s="47">
        <f>AO249+AO252++AO257+AO260+AO267+AO269+AO273+AO278+AO285+AO288</f>
        <v>0</v>
      </c>
      <c r="AP246" s="397"/>
      <c r="AQ246" s="96"/>
    </row>
    <row r="247" spans="1:43" ht="26.25" hidden="1" customHeight="1" x14ac:dyDescent="0.25">
      <c r="A247" s="1333"/>
      <c r="B247" s="1616"/>
      <c r="C247" s="1617"/>
      <c r="D247" s="1617"/>
      <c r="E247" s="1617"/>
      <c r="F247" s="1617"/>
      <c r="G247" s="1617"/>
      <c r="H247" s="1618"/>
      <c r="I247" s="23" t="s">
        <v>10</v>
      </c>
      <c r="J247" s="971">
        <v>0</v>
      </c>
      <c r="K247" s="971">
        <v>0</v>
      </c>
      <c r="L247" s="47">
        <f t="shared" ref="L247:AM247" si="150">L264+L265+L293</f>
        <v>297742.64</v>
      </c>
      <c r="M247" s="47">
        <f t="shared" si="150"/>
        <v>295242.64</v>
      </c>
      <c r="N247" s="47">
        <f t="shared" si="150"/>
        <v>297742.64</v>
      </c>
      <c r="O247" s="47">
        <f t="shared" si="150"/>
        <v>297742.64</v>
      </c>
      <c r="P247" s="47">
        <f t="shared" si="150"/>
        <v>0</v>
      </c>
      <c r="Q247" s="47">
        <f t="shared" si="150"/>
        <v>29933.475440000002</v>
      </c>
      <c r="R247" s="47">
        <f t="shared" si="150"/>
        <v>21705.95</v>
      </c>
      <c r="S247" s="47">
        <f t="shared" si="150"/>
        <v>21705.95</v>
      </c>
      <c r="T247" s="47">
        <f t="shared" si="150"/>
        <v>21705.95</v>
      </c>
      <c r="U247" s="47">
        <f t="shared" si="150"/>
        <v>21705.95</v>
      </c>
      <c r="V247" s="47">
        <f t="shared" si="150"/>
        <v>50383.255000000005</v>
      </c>
      <c r="W247" s="47">
        <f t="shared" si="150"/>
        <v>50383.255000000005</v>
      </c>
      <c r="X247" s="47">
        <f t="shared" si="150"/>
        <v>21705.95</v>
      </c>
      <c r="Y247" s="47">
        <f t="shared" si="150"/>
        <v>21705.95</v>
      </c>
      <c r="Z247" s="96"/>
      <c r="AA247" s="47">
        <f t="shared" si="150"/>
        <v>44706.157910000002</v>
      </c>
      <c r="AB247" s="47">
        <f t="shared" si="150"/>
        <v>17522.268</v>
      </c>
      <c r="AC247" s="47">
        <f t="shared" si="150"/>
        <v>32099.796000000002</v>
      </c>
      <c r="AD247" s="47">
        <f t="shared" si="150"/>
        <v>83597.849889999998</v>
      </c>
      <c r="AE247" s="47">
        <f t="shared" si="150"/>
        <v>0</v>
      </c>
      <c r="AF247" s="47">
        <f t="shared" si="150"/>
        <v>0</v>
      </c>
      <c r="AG247" s="47">
        <f t="shared" si="150"/>
        <v>0</v>
      </c>
      <c r="AH247" s="47">
        <f t="shared" si="150"/>
        <v>0</v>
      </c>
      <c r="AI247" s="47">
        <f t="shared" si="150"/>
        <v>0</v>
      </c>
      <c r="AJ247" s="47">
        <f t="shared" si="150"/>
        <v>0</v>
      </c>
      <c r="AK247" s="47">
        <f t="shared" si="150"/>
        <v>0</v>
      </c>
      <c r="AL247" s="47">
        <f t="shared" si="150"/>
        <v>0</v>
      </c>
      <c r="AM247" s="47">
        <f t="shared" si="150"/>
        <v>0</v>
      </c>
      <c r="AN247" s="47">
        <v>0</v>
      </c>
      <c r="AO247" s="47">
        <v>0</v>
      </c>
      <c r="AP247" s="397"/>
      <c r="AQ247" s="96"/>
    </row>
    <row r="248" spans="1:43" ht="25.5" hidden="1" x14ac:dyDescent="0.25">
      <c r="A248" s="1334"/>
      <c r="B248" s="1619"/>
      <c r="C248" s="1620"/>
      <c r="D248" s="1620"/>
      <c r="E248" s="1620"/>
      <c r="F248" s="1620"/>
      <c r="G248" s="1620"/>
      <c r="H248" s="1621"/>
      <c r="I248" s="23" t="s">
        <v>9</v>
      </c>
      <c r="J248" s="971">
        <v>0</v>
      </c>
      <c r="K248" s="971">
        <v>0</v>
      </c>
      <c r="L248" s="47">
        <f>M248+N248+O248</f>
        <v>0</v>
      </c>
      <c r="M248" s="47">
        <v>0</v>
      </c>
      <c r="N248" s="47">
        <v>0</v>
      </c>
      <c r="O248" s="47">
        <v>0</v>
      </c>
      <c r="P248" s="47">
        <v>0</v>
      </c>
      <c r="Q248" s="47">
        <v>0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47">
        <v>0</v>
      </c>
      <c r="X248" s="47">
        <v>0</v>
      </c>
      <c r="Y248" s="47">
        <v>0</v>
      </c>
      <c r="Z248" s="96"/>
      <c r="AA248" s="47">
        <v>0</v>
      </c>
      <c r="AB248" s="47">
        <v>0</v>
      </c>
      <c r="AC248" s="47">
        <v>0</v>
      </c>
      <c r="AD248" s="47">
        <v>0</v>
      </c>
      <c r="AE248" s="47">
        <v>0</v>
      </c>
      <c r="AF248" s="47">
        <v>0</v>
      </c>
      <c r="AG248" s="47">
        <v>0</v>
      </c>
      <c r="AH248" s="47">
        <v>0</v>
      </c>
      <c r="AI248" s="47">
        <v>0</v>
      </c>
      <c r="AJ248" s="47">
        <v>1</v>
      </c>
      <c r="AK248" s="47">
        <v>0</v>
      </c>
      <c r="AL248" s="47">
        <v>0</v>
      </c>
      <c r="AM248" s="47">
        <v>0</v>
      </c>
      <c r="AN248" s="47">
        <v>0</v>
      </c>
      <c r="AO248" s="47">
        <v>0</v>
      </c>
      <c r="AP248" s="397"/>
      <c r="AQ248" s="96"/>
    </row>
    <row r="249" spans="1:43" s="327" customFormat="1" ht="27.75" customHeight="1" x14ac:dyDescent="0.25">
      <c r="A249" s="1450" t="s">
        <v>184</v>
      </c>
      <c r="B249" s="780" t="s">
        <v>89</v>
      </c>
      <c r="C249" s="133"/>
      <c r="D249" s="133"/>
      <c r="E249" s="133"/>
      <c r="F249" s="133"/>
      <c r="G249" s="778"/>
      <c r="H249" s="778"/>
      <c r="I249" s="1463" t="s">
        <v>20</v>
      </c>
      <c r="J249" s="963"/>
      <c r="K249" s="3"/>
      <c r="L249" s="3">
        <f>L250</f>
        <v>5195.03</v>
      </c>
      <c r="M249" s="3">
        <f>M250</f>
        <v>0</v>
      </c>
      <c r="N249" s="3">
        <f t="shared" ref="N249:AO250" si="151">N250</f>
        <v>5037.4399999999996</v>
      </c>
      <c r="O249" s="3">
        <f t="shared" si="151"/>
        <v>0</v>
      </c>
      <c r="P249" s="3">
        <v>416.03</v>
      </c>
      <c r="Q249" s="3">
        <v>0</v>
      </c>
      <c r="R249" s="3">
        <f t="shared" si="151"/>
        <v>0</v>
      </c>
      <c r="S249" s="3">
        <f t="shared" si="151"/>
        <v>0</v>
      </c>
      <c r="T249" s="3">
        <f t="shared" si="151"/>
        <v>0</v>
      </c>
      <c r="U249" s="3">
        <f t="shared" si="151"/>
        <v>0</v>
      </c>
      <c r="V249" s="3">
        <f t="shared" si="151"/>
        <v>157.59</v>
      </c>
      <c r="W249" s="3">
        <f t="shared" si="151"/>
        <v>1096.5039999999999</v>
      </c>
      <c r="X249" s="3">
        <f t="shared" si="151"/>
        <v>0</v>
      </c>
      <c r="Y249" s="3">
        <f t="shared" si="151"/>
        <v>0</v>
      </c>
      <c r="Z249" s="3">
        <v>0</v>
      </c>
      <c r="AA249" s="3">
        <v>0</v>
      </c>
      <c r="AB249" s="3">
        <f t="shared" si="151"/>
        <v>0</v>
      </c>
      <c r="AC249" s="3">
        <f t="shared" si="151"/>
        <v>0</v>
      </c>
      <c r="AD249" s="3">
        <f t="shared" si="151"/>
        <v>1096.5039999999999</v>
      </c>
      <c r="AE249" s="3">
        <f t="shared" si="151"/>
        <v>0</v>
      </c>
      <c r="AF249" s="3">
        <f t="shared" si="151"/>
        <v>0</v>
      </c>
      <c r="AG249" s="3">
        <f t="shared" si="151"/>
        <v>0</v>
      </c>
      <c r="AH249" s="3">
        <f t="shared" si="151"/>
        <v>0</v>
      </c>
      <c r="AI249" s="3">
        <f t="shared" si="151"/>
        <v>0</v>
      </c>
      <c r="AJ249" s="3">
        <f t="shared" si="151"/>
        <v>0</v>
      </c>
      <c r="AK249" s="3">
        <f t="shared" si="151"/>
        <v>0</v>
      </c>
      <c r="AL249" s="3">
        <f t="shared" si="151"/>
        <v>0</v>
      </c>
      <c r="AM249" s="3">
        <f t="shared" si="151"/>
        <v>0</v>
      </c>
      <c r="AN249" s="3">
        <f t="shared" si="151"/>
        <v>0</v>
      </c>
      <c r="AO249" s="3">
        <f t="shared" si="151"/>
        <v>0</v>
      </c>
      <c r="AP249" s="633"/>
      <c r="AQ249" s="3">
        <v>0</v>
      </c>
    </row>
    <row r="250" spans="1:43" ht="15.75" hidden="1" customHeight="1" x14ac:dyDescent="0.25">
      <c r="A250" s="1656"/>
      <c r="B250" s="47" t="s">
        <v>15</v>
      </c>
      <c r="C250" s="341"/>
      <c r="D250" s="341"/>
      <c r="E250" s="341"/>
      <c r="F250" s="341"/>
      <c r="G250" s="313"/>
      <c r="H250" s="978"/>
      <c r="I250" s="1465"/>
      <c r="J250" s="980"/>
      <c r="K250" s="4"/>
      <c r="L250" s="47">
        <v>5195.03</v>
      </c>
      <c r="M250" s="50">
        <v>0</v>
      </c>
      <c r="N250" s="50">
        <v>5037.4399999999996</v>
      </c>
      <c r="O250" s="50">
        <v>0</v>
      </c>
      <c r="P250" s="50">
        <v>157.59</v>
      </c>
      <c r="Q250" s="447">
        <f>Q251</f>
        <v>1096.5039999999999</v>
      </c>
      <c r="R250" s="447">
        <f t="shared" si="151"/>
        <v>0</v>
      </c>
      <c r="S250" s="447">
        <f t="shared" si="151"/>
        <v>0</v>
      </c>
      <c r="T250" s="447">
        <f t="shared" si="151"/>
        <v>0</v>
      </c>
      <c r="U250" s="447">
        <f t="shared" si="151"/>
        <v>0</v>
      </c>
      <c r="V250" s="447">
        <f t="shared" si="151"/>
        <v>157.59</v>
      </c>
      <c r="W250" s="447">
        <f t="shared" si="151"/>
        <v>1096.5039999999999</v>
      </c>
      <c r="X250" s="447">
        <f t="shared" si="151"/>
        <v>0</v>
      </c>
      <c r="Y250" s="447">
        <f t="shared" si="151"/>
        <v>0</v>
      </c>
      <c r="Z250" s="584"/>
      <c r="AA250" s="447">
        <f t="shared" si="151"/>
        <v>1096.5039999999999</v>
      </c>
      <c r="AB250" s="447">
        <f t="shared" si="151"/>
        <v>0</v>
      </c>
      <c r="AC250" s="447">
        <f t="shared" si="151"/>
        <v>0</v>
      </c>
      <c r="AD250" s="447">
        <f t="shared" si="151"/>
        <v>1096.5039999999999</v>
      </c>
      <c r="AE250" s="447">
        <f t="shared" si="151"/>
        <v>0</v>
      </c>
      <c r="AF250" s="447">
        <f t="shared" si="151"/>
        <v>0</v>
      </c>
      <c r="AG250" s="447">
        <f t="shared" si="151"/>
        <v>0</v>
      </c>
      <c r="AH250" s="447">
        <f t="shared" si="151"/>
        <v>0</v>
      </c>
      <c r="AI250" s="447">
        <f t="shared" si="151"/>
        <v>0</v>
      </c>
      <c r="AJ250" s="447">
        <v>0</v>
      </c>
      <c r="AK250" s="447">
        <v>0</v>
      </c>
      <c r="AL250" s="447">
        <v>0</v>
      </c>
      <c r="AM250" s="50">
        <v>0</v>
      </c>
      <c r="AN250" s="50">
        <v>0</v>
      </c>
      <c r="AO250" s="50">
        <v>0</v>
      </c>
      <c r="AP250" s="412"/>
      <c r="AQ250" s="584"/>
    </row>
    <row r="251" spans="1:43" s="266" customFormat="1" ht="15.75" hidden="1" customHeight="1" x14ac:dyDescent="0.25">
      <c r="A251" s="1657"/>
      <c r="B251" s="96" t="s">
        <v>323</v>
      </c>
      <c r="C251" s="453"/>
      <c r="D251" s="453"/>
      <c r="E251" s="453"/>
      <c r="F251" s="453"/>
      <c r="G251" s="363"/>
      <c r="H251" s="364"/>
      <c r="I251" s="370"/>
      <c r="J251" s="651"/>
      <c r="K251" s="268"/>
      <c r="L251" s="96"/>
      <c r="M251" s="263"/>
      <c r="N251" s="263"/>
      <c r="O251" s="263"/>
      <c r="P251" s="263"/>
      <c r="Q251" s="584">
        <f>W251</f>
        <v>1096.5039999999999</v>
      </c>
      <c r="R251" s="584"/>
      <c r="S251" s="584"/>
      <c r="T251" s="584"/>
      <c r="U251" s="584"/>
      <c r="V251" s="584">
        <v>157.59</v>
      </c>
      <c r="W251" s="584">
        <v>1096.5039999999999</v>
      </c>
      <c r="X251" s="584"/>
      <c r="Y251" s="584"/>
      <c r="Z251" s="584"/>
      <c r="AA251" s="584">
        <f>AD251</f>
        <v>1096.5039999999999</v>
      </c>
      <c r="AB251" s="584"/>
      <c r="AC251" s="584"/>
      <c r="AD251" s="584">
        <v>1096.5039999999999</v>
      </c>
      <c r="AE251" s="584"/>
      <c r="AF251" s="584"/>
      <c r="AG251" s="584"/>
      <c r="AH251" s="584"/>
      <c r="AI251" s="584"/>
      <c r="AJ251" s="584"/>
      <c r="AK251" s="584"/>
      <c r="AL251" s="584"/>
      <c r="AM251" s="263"/>
      <c r="AN251" s="263"/>
      <c r="AO251" s="263"/>
      <c r="AP251" s="413"/>
      <c r="AQ251" s="584"/>
    </row>
    <row r="252" spans="1:43" s="327" customFormat="1" ht="28.5" customHeight="1" x14ac:dyDescent="0.25">
      <c r="A252" s="1450" t="s">
        <v>185</v>
      </c>
      <c r="B252" s="780" t="s">
        <v>187</v>
      </c>
      <c r="C252" s="133"/>
      <c r="D252" s="133"/>
      <c r="E252" s="133"/>
      <c r="F252" s="133"/>
      <c r="G252" s="778"/>
      <c r="H252" s="778"/>
      <c r="I252" s="1463" t="s">
        <v>20</v>
      </c>
      <c r="J252" s="963"/>
      <c r="K252" s="3"/>
      <c r="L252" s="3">
        <f>L253+L256</f>
        <v>134036.41</v>
      </c>
      <c r="M252" s="3">
        <f t="shared" ref="M252:AO252" si="152">M253+M256</f>
        <v>1825.11</v>
      </c>
      <c r="N252" s="3">
        <f t="shared" si="152"/>
        <v>57476.200000000004</v>
      </c>
      <c r="O252" s="3">
        <f t="shared" si="152"/>
        <v>0</v>
      </c>
      <c r="P252" s="3">
        <f t="shared" si="152"/>
        <v>8907.52</v>
      </c>
      <c r="Q252" s="3">
        <f t="shared" si="152"/>
        <v>0</v>
      </c>
      <c r="R252" s="3">
        <f t="shared" si="152"/>
        <v>0</v>
      </c>
      <c r="S252" s="3">
        <f t="shared" si="152"/>
        <v>0</v>
      </c>
      <c r="T252" s="3">
        <f t="shared" si="152"/>
        <v>0</v>
      </c>
      <c r="U252" s="3">
        <f t="shared" si="152"/>
        <v>0</v>
      </c>
      <c r="V252" s="3">
        <f t="shared" si="152"/>
        <v>0</v>
      </c>
      <c r="W252" s="3">
        <f t="shared" si="152"/>
        <v>0</v>
      </c>
      <c r="X252" s="3">
        <f t="shared" si="152"/>
        <v>0</v>
      </c>
      <c r="Y252" s="3">
        <f t="shared" si="152"/>
        <v>0</v>
      </c>
      <c r="Z252" s="95">
        <v>0</v>
      </c>
      <c r="AA252" s="3">
        <f>AA253+AA256</f>
        <v>0</v>
      </c>
      <c r="AB252" s="3">
        <f t="shared" si="152"/>
        <v>0</v>
      </c>
      <c r="AC252" s="3">
        <f t="shared" si="152"/>
        <v>0</v>
      </c>
      <c r="AD252" s="3">
        <f t="shared" si="152"/>
        <v>0</v>
      </c>
      <c r="AE252" s="3">
        <f t="shared" si="152"/>
        <v>0</v>
      </c>
      <c r="AF252" s="3">
        <f t="shared" si="152"/>
        <v>0</v>
      </c>
      <c r="AG252" s="3">
        <f t="shared" si="152"/>
        <v>0</v>
      </c>
      <c r="AH252" s="3">
        <f t="shared" si="152"/>
        <v>0</v>
      </c>
      <c r="AI252" s="3">
        <f t="shared" si="152"/>
        <v>0</v>
      </c>
      <c r="AJ252" s="3">
        <f t="shared" si="152"/>
        <v>0</v>
      </c>
      <c r="AK252" s="3">
        <f t="shared" si="152"/>
        <v>0</v>
      </c>
      <c r="AL252" s="3">
        <f t="shared" si="152"/>
        <v>0</v>
      </c>
      <c r="AM252" s="3">
        <f t="shared" si="152"/>
        <v>0</v>
      </c>
      <c r="AN252" s="3">
        <f t="shared" si="152"/>
        <v>0</v>
      </c>
      <c r="AO252" s="3">
        <f t="shared" si="152"/>
        <v>0</v>
      </c>
      <c r="AP252" s="633" t="s">
        <v>256</v>
      </c>
      <c r="AQ252" s="95">
        <v>0</v>
      </c>
    </row>
    <row r="253" spans="1:43" ht="15.75" customHeight="1" x14ac:dyDescent="0.25">
      <c r="A253" s="1656"/>
      <c r="B253" s="47" t="s">
        <v>15</v>
      </c>
      <c r="C253" s="341"/>
      <c r="D253" s="341"/>
      <c r="E253" s="341"/>
      <c r="F253" s="341"/>
      <c r="G253" s="313"/>
      <c r="H253" s="978"/>
      <c r="I253" s="1464"/>
      <c r="J253" s="980"/>
      <c r="K253" s="4"/>
      <c r="L253" s="47">
        <v>2401.5100000000002</v>
      </c>
      <c r="M253" s="47">
        <v>1825.11</v>
      </c>
      <c r="N253" s="47">
        <v>576.4</v>
      </c>
      <c r="O253" s="47">
        <v>0</v>
      </c>
      <c r="P253" s="47">
        <v>0</v>
      </c>
      <c r="Q253" s="47">
        <f>SUM(Q254:Q255)</f>
        <v>0</v>
      </c>
      <c r="R253" s="50">
        <f>SUM(R254:R255)</f>
        <v>0</v>
      </c>
      <c r="S253" s="50">
        <f t="shared" ref="S253:Y253" si="153">SUM(S254:S255)</f>
        <v>0</v>
      </c>
      <c r="T253" s="50">
        <f t="shared" si="153"/>
        <v>0</v>
      </c>
      <c r="U253" s="50">
        <f t="shared" si="153"/>
        <v>0</v>
      </c>
      <c r="V253" s="50">
        <f t="shared" si="153"/>
        <v>0</v>
      </c>
      <c r="W253" s="50">
        <f t="shared" si="153"/>
        <v>0</v>
      </c>
      <c r="X253" s="447">
        <f t="shared" si="153"/>
        <v>0</v>
      </c>
      <c r="Y253" s="447">
        <f t="shared" si="153"/>
        <v>0</v>
      </c>
      <c r="Z253" s="584"/>
      <c r="AA253" s="447">
        <f>AA254+AA255</f>
        <v>0</v>
      </c>
      <c r="AB253" s="50">
        <f>AB254+AB255</f>
        <v>0</v>
      </c>
      <c r="AC253" s="50">
        <f>AC254+AC255</f>
        <v>0</v>
      </c>
      <c r="AD253" s="50">
        <f>AD254+AD255</f>
        <v>0</v>
      </c>
      <c r="AE253" s="50">
        <f>AE254</f>
        <v>0</v>
      </c>
      <c r="AF253" s="50">
        <v>0</v>
      </c>
      <c r="AG253" s="50">
        <v>0</v>
      </c>
      <c r="AH253" s="50">
        <v>0</v>
      </c>
      <c r="AI253" s="50">
        <v>0</v>
      </c>
      <c r="AJ253" s="50">
        <v>0</v>
      </c>
      <c r="AK253" s="50">
        <v>0</v>
      </c>
      <c r="AL253" s="50">
        <v>0</v>
      </c>
      <c r="AM253" s="50">
        <v>0</v>
      </c>
      <c r="AN253" s="50">
        <v>0</v>
      </c>
      <c r="AO253" s="50">
        <v>0</v>
      </c>
      <c r="AP253" s="412"/>
      <c r="AQ253" s="584"/>
    </row>
    <row r="254" spans="1:43" s="266" customFormat="1" ht="15.75" hidden="1" customHeight="1" x14ac:dyDescent="0.25">
      <c r="A254" s="1656"/>
      <c r="B254" s="452" t="s">
        <v>267</v>
      </c>
      <c r="C254" s="453"/>
      <c r="D254" s="453"/>
      <c r="E254" s="453"/>
      <c r="F254" s="453"/>
      <c r="G254" s="453"/>
      <c r="H254" s="454"/>
      <c r="I254" s="1464"/>
      <c r="J254" s="651"/>
      <c r="K254" s="268"/>
      <c r="L254" s="96"/>
      <c r="M254" s="268"/>
      <c r="N254" s="268"/>
      <c r="O254" s="268"/>
      <c r="P254" s="268">
        <f>Q254</f>
        <v>0</v>
      </c>
      <c r="Q254" s="455">
        <f>S254+U254+W254</f>
        <v>0</v>
      </c>
      <c r="R254" s="455"/>
      <c r="S254" s="455"/>
      <c r="T254" s="455">
        <v>0</v>
      </c>
      <c r="U254" s="455">
        <v>0</v>
      </c>
      <c r="V254" s="455"/>
      <c r="W254" s="455"/>
      <c r="X254" s="455"/>
      <c r="Y254" s="455"/>
      <c r="Z254" s="455"/>
      <c r="AA254" s="455">
        <f>SUM(AB254:AE254)</f>
        <v>0</v>
      </c>
      <c r="AB254" s="455"/>
      <c r="AC254" s="455">
        <v>0</v>
      </c>
      <c r="AD254" s="455">
        <v>0</v>
      </c>
      <c r="AE254" s="455"/>
      <c r="AF254" s="455"/>
      <c r="AG254" s="455"/>
      <c r="AH254" s="455"/>
      <c r="AI254" s="455"/>
      <c r="AJ254" s="455"/>
      <c r="AK254" s="455"/>
      <c r="AL254" s="455"/>
      <c r="AM254" s="455"/>
      <c r="AN254" s="455"/>
      <c r="AO254" s="455"/>
      <c r="AP254" s="456"/>
      <c r="AQ254" s="455"/>
    </row>
    <row r="255" spans="1:43" s="266" customFormat="1" ht="15.75" hidden="1" customHeight="1" x14ac:dyDescent="0.25">
      <c r="A255" s="1656"/>
      <c r="B255" s="452" t="s">
        <v>271</v>
      </c>
      <c r="C255" s="453"/>
      <c r="D255" s="453"/>
      <c r="E255" s="453"/>
      <c r="F255" s="453"/>
      <c r="G255" s="453"/>
      <c r="H255" s="454"/>
      <c r="I255" s="1464"/>
      <c r="J255" s="651"/>
      <c r="K255" s="268"/>
      <c r="L255" s="96"/>
      <c r="M255" s="268"/>
      <c r="N255" s="268"/>
      <c r="O255" s="268"/>
      <c r="P255" s="268"/>
      <c r="Q255" s="489">
        <f>S255+U255+W255+Y255</f>
        <v>0</v>
      </c>
      <c r="R255" s="489"/>
      <c r="S255" s="489"/>
      <c r="T255" s="489"/>
      <c r="U255" s="489"/>
      <c r="V255" s="489">
        <f>W255</f>
        <v>0</v>
      </c>
      <c r="W255" s="489">
        <v>0</v>
      </c>
      <c r="X255" s="489">
        <f>Y255</f>
        <v>0</v>
      </c>
      <c r="Y255" s="489">
        <v>0</v>
      </c>
      <c r="Z255" s="489"/>
      <c r="AA255" s="489">
        <f>SUM(AB255:AE255)</f>
        <v>0</v>
      </c>
      <c r="AB255" s="489"/>
      <c r="AC255" s="489"/>
      <c r="AD255" s="489">
        <v>0</v>
      </c>
      <c r="AE255" s="455"/>
      <c r="AF255" s="455"/>
      <c r="AG255" s="455"/>
      <c r="AH255" s="455"/>
      <c r="AI255" s="455"/>
      <c r="AJ255" s="455"/>
      <c r="AK255" s="455"/>
      <c r="AL255" s="455"/>
      <c r="AM255" s="455"/>
      <c r="AN255" s="455"/>
      <c r="AO255" s="455"/>
      <c r="AP255" s="456"/>
      <c r="AQ255" s="489"/>
    </row>
    <row r="256" spans="1:43" ht="15.75" customHeight="1" x14ac:dyDescent="0.25">
      <c r="A256" s="1657"/>
      <c r="B256" s="340" t="s">
        <v>32</v>
      </c>
      <c r="C256" s="341"/>
      <c r="D256" s="341"/>
      <c r="E256" s="341"/>
      <c r="F256" s="341"/>
      <c r="G256" s="341"/>
      <c r="H256" s="979"/>
      <c r="I256" s="1662"/>
      <c r="J256" s="980"/>
      <c r="K256" s="4"/>
      <c r="L256" s="47">
        <v>131634.9</v>
      </c>
      <c r="M256" s="343">
        <v>0</v>
      </c>
      <c r="N256" s="47">
        <v>56899.8</v>
      </c>
      <c r="O256" s="343">
        <v>0</v>
      </c>
      <c r="P256" s="47">
        <v>8907.52</v>
      </c>
      <c r="Q256" s="47">
        <v>0</v>
      </c>
      <c r="R256" s="343">
        <v>0</v>
      </c>
      <c r="S256" s="343">
        <v>0</v>
      </c>
      <c r="T256" s="343">
        <v>0</v>
      </c>
      <c r="U256" s="343">
        <v>0</v>
      </c>
      <c r="V256" s="343">
        <v>0</v>
      </c>
      <c r="W256" s="343">
        <v>0</v>
      </c>
      <c r="X256" s="343">
        <v>0</v>
      </c>
      <c r="Y256" s="343">
        <v>0</v>
      </c>
      <c r="Z256" s="455"/>
      <c r="AA256" s="343">
        <v>0</v>
      </c>
      <c r="AB256" s="343">
        <v>0</v>
      </c>
      <c r="AC256" s="343">
        <v>0</v>
      </c>
      <c r="AD256" s="343">
        <v>0</v>
      </c>
      <c r="AE256" s="343">
        <v>0</v>
      </c>
      <c r="AF256" s="343">
        <v>0</v>
      </c>
      <c r="AG256" s="343">
        <v>0</v>
      </c>
      <c r="AH256" s="343">
        <v>0</v>
      </c>
      <c r="AI256" s="343">
        <v>0</v>
      </c>
      <c r="AJ256" s="343">
        <v>0</v>
      </c>
      <c r="AK256" s="343">
        <v>0</v>
      </c>
      <c r="AL256" s="343">
        <v>0</v>
      </c>
      <c r="AM256" s="343">
        <v>0</v>
      </c>
      <c r="AN256" s="343">
        <v>0</v>
      </c>
      <c r="AO256" s="343">
        <v>0</v>
      </c>
      <c r="AP256" s="415"/>
      <c r="AQ256" s="455"/>
    </row>
    <row r="257" spans="1:43" s="327" customFormat="1" ht="27.75" customHeight="1" x14ac:dyDescent="0.25">
      <c r="A257" s="1473" t="s">
        <v>186</v>
      </c>
      <c r="B257" s="780" t="s">
        <v>210</v>
      </c>
      <c r="C257" s="956"/>
      <c r="D257" s="956"/>
      <c r="E257" s="956">
        <v>300</v>
      </c>
      <c r="F257" s="956"/>
      <c r="G257" s="956">
        <v>2019</v>
      </c>
      <c r="H257" s="956">
        <v>2019</v>
      </c>
      <c r="I257" s="1493" t="s">
        <v>20</v>
      </c>
      <c r="J257" s="52">
        <f>K257+L257</f>
        <v>27019.38</v>
      </c>
      <c r="K257" s="3">
        <v>0</v>
      </c>
      <c r="L257" s="3">
        <f>L258</f>
        <v>27019.38</v>
      </c>
      <c r="M257" s="3">
        <f>M258</f>
        <v>27019.38</v>
      </c>
      <c r="N257" s="318">
        <v>0</v>
      </c>
      <c r="O257" s="318">
        <v>0</v>
      </c>
      <c r="P257" s="318">
        <f>P258</f>
        <v>0</v>
      </c>
      <c r="Q257" s="318">
        <f>Q258</f>
        <v>0</v>
      </c>
      <c r="R257" s="318">
        <f t="shared" ref="R257:AO258" si="154">R258</f>
        <v>0</v>
      </c>
      <c r="S257" s="318">
        <f t="shared" si="154"/>
        <v>0</v>
      </c>
      <c r="T257" s="318">
        <f t="shared" si="154"/>
        <v>0</v>
      </c>
      <c r="U257" s="318">
        <f t="shared" si="154"/>
        <v>0</v>
      </c>
      <c r="V257" s="318">
        <f t="shared" si="154"/>
        <v>0</v>
      </c>
      <c r="W257" s="318">
        <f t="shared" si="154"/>
        <v>0</v>
      </c>
      <c r="X257" s="318">
        <f t="shared" si="154"/>
        <v>0</v>
      </c>
      <c r="Y257" s="318">
        <f t="shared" si="154"/>
        <v>0</v>
      </c>
      <c r="Z257" s="372">
        <v>0</v>
      </c>
      <c r="AA257" s="318">
        <f t="shared" si="154"/>
        <v>0</v>
      </c>
      <c r="AB257" s="318">
        <f t="shared" si="154"/>
        <v>0</v>
      </c>
      <c r="AC257" s="318">
        <f t="shared" si="154"/>
        <v>0</v>
      </c>
      <c r="AD257" s="318">
        <f t="shared" si="154"/>
        <v>0</v>
      </c>
      <c r="AE257" s="318">
        <f t="shared" si="154"/>
        <v>0</v>
      </c>
      <c r="AF257" s="318">
        <f t="shared" si="154"/>
        <v>0</v>
      </c>
      <c r="AG257" s="318">
        <f t="shared" si="154"/>
        <v>0</v>
      </c>
      <c r="AH257" s="318">
        <f t="shared" si="154"/>
        <v>0</v>
      </c>
      <c r="AI257" s="318">
        <f t="shared" si="154"/>
        <v>0</v>
      </c>
      <c r="AJ257" s="318">
        <f t="shared" si="154"/>
        <v>0</v>
      </c>
      <c r="AK257" s="318">
        <f t="shared" si="154"/>
        <v>0</v>
      </c>
      <c r="AL257" s="318">
        <f t="shared" si="154"/>
        <v>0</v>
      </c>
      <c r="AM257" s="318">
        <f t="shared" si="154"/>
        <v>0</v>
      </c>
      <c r="AN257" s="318">
        <f t="shared" si="154"/>
        <v>0</v>
      </c>
      <c r="AO257" s="318">
        <f t="shared" si="154"/>
        <v>0</v>
      </c>
      <c r="AP257" s="783" t="s">
        <v>273</v>
      </c>
      <c r="AQ257" s="372">
        <v>0</v>
      </c>
    </row>
    <row r="258" spans="1:43" ht="19.5" hidden="1" customHeight="1" x14ac:dyDescent="0.25">
      <c r="A258" s="1663"/>
      <c r="B258" s="1" t="s">
        <v>211</v>
      </c>
      <c r="C258" s="962"/>
      <c r="D258" s="962"/>
      <c r="E258" s="962"/>
      <c r="F258" s="962"/>
      <c r="G258" s="962"/>
      <c r="H258" s="962"/>
      <c r="I258" s="1494"/>
      <c r="J258" s="6"/>
      <c r="K258" s="47"/>
      <c r="L258" s="47">
        <v>27019.38</v>
      </c>
      <c r="M258" s="47">
        <v>27019.38</v>
      </c>
      <c r="N258" s="47">
        <v>0</v>
      </c>
      <c r="O258" s="47">
        <v>0</v>
      </c>
      <c r="P258" s="4">
        <v>0</v>
      </c>
      <c r="Q258" s="4">
        <f>Q259</f>
        <v>0</v>
      </c>
      <c r="R258" s="4">
        <f t="shared" si="154"/>
        <v>0</v>
      </c>
      <c r="S258" s="4">
        <f t="shared" si="154"/>
        <v>0</v>
      </c>
      <c r="T258" s="4">
        <f t="shared" si="154"/>
        <v>0</v>
      </c>
      <c r="U258" s="4">
        <f t="shared" si="154"/>
        <v>0</v>
      </c>
      <c r="V258" s="4">
        <f t="shared" si="154"/>
        <v>0</v>
      </c>
      <c r="W258" s="4">
        <f t="shared" si="154"/>
        <v>0</v>
      </c>
      <c r="X258" s="4">
        <v>0</v>
      </c>
      <c r="Y258" s="4">
        <f t="shared" si="154"/>
        <v>0</v>
      </c>
      <c r="Z258" s="268"/>
      <c r="AA258" s="4">
        <f t="shared" si="154"/>
        <v>0</v>
      </c>
      <c r="AB258" s="4">
        <f t="shared" si="154"/>
        <v>0</v>
      </c>
      <c r="AC258" s="4">
        <f t="shared" si="154"/>
        <v>0</v>
      </c>
      <c r="AD258" s="4">
        <f t="shared" si="154"/>
        <v>0</v>
      </c>
      <c r="AE258" s="4">
        <f t="shared" si="154"/>
        <v>0</v>
      </c>
      <c r="AF258" s="4">
        <f>AF259</f>
        <v>0</v>
      </c>
      <c r="AG258" s="4">
        <f t="shared" si="154"/>
        <v>0</v>
      </c>
      <c r="AH258" s="4">
        <f t="shared" si="154"/>
        <v>0</v>
      </c>
      <c r="AI258" s="4">
        <f t="shared" si="154"/>
        <v>0</v>
      </c>
      <c r="AJ258" s="4">
        <f t="shared" si="154"/>
        <v>0</v>
      </c>
      <c r="AK258" s="4">
        <f t="shared" si="154"/>
        <v>0</v>
      </c>
      <c r="AL258" s="4">
        <f t="shared" si="154"/>
        <v>0</v>
      </c>
      <c r="AM258" s="4">
        <f t="shared" si="154"/>
        <v>0</v>
      </c>
      <c r="AN258" s="4">
        <f t="shared" si="154"/>
        <v>0</v>
      </c>
      <c r="AO258" s="4">
        <f t="shared" si="154"/>
        <v>0</v>
      </c>
      <c r="AP258" s="417"/>
      <c r="AQ258" s="268"/>
    </row>
    <row r="259" spans="1:43" s="266" customFormat="1" ht="15.75" hidden="1" x14ac:dyDescent="0.25">
      <c r="A259" s="267"/>
      <c r="B259" s="102" t="s">
        <v>253</v>
      </c>
      <c r="C259" s="104"/>
      <c r="D259" s="104"/>
      <c r="E259" s="104"/>
      <c r="F259" s="104"/>
      <c r="G259" s="104"/>
      <c r="H259" s="104"/>
      <c r="I259" s="102"/>
      <c r="J259" s="106"/>
      <c r="K259" s="96"/>
      <c r="L259" s="96"/>
      <c r="M259" s="268"/>
      <c r="N259" s="268"/>
      <c r="O259" s="268"/>
      <c r="P259" s="268">
        <f>Q259</f>
        <v>0</v>
      </c>
      <c r="Q259" s="268">
        <f>S259+U259+W259</f>
        <v>0</v>
      </c>
      <c r="R259" s="268">
        <f>S259</f>
        <v>0</v>
      </c>
      <c r="S259" s="268">
        <v>0</v>
      </c>
      <c r="T259" s="268">
        <v>0</v>
      </c>
      <c r="U259" s="268">
        <v>0</v>
      </c>
      <c r="V259" s="268">
        <f>W259</f>
        <v>0</v>
      </c>
      <c r="W259" s="268">
        <v>0</v>
      </c>
      <c r="X259" s="268">
        <v>0</v>
      </c>
      <c r="Y259" s="268">
        <v>0</v>
      </c>
      <c r="Z259" s="268"/>
      <c r="AA259" s="268">
        <f>SUM(AB259:AC259)</f>
        <v>0</v>
      </c>
      <c r="AB259" s="268">
        <v>0</v>
      </c>
      <c r="AC259" s="268">
        <v>0</v>
      </c>
      <c r="AD259" s="268">
        <v>0</v>
      </c>
      <c r="AE259" s="268"/>
      <c r="AF259" s="268">
        <f>SUM(AG259:AI259)</f>
        <v>0</v>
      </c>
      <c r="AG259" s="268"/>
      <c r="AH259" s="268">
        <v>0</v>
      </c>
      <c r="AI259" s="268">
        <v>0</v>
      </c>
      <c r="AJ259" s="268"/>
      <c r="AK259" s="96"/>
      <c r="AL259" s="96"/>
      <c r="AM259" s="96"/>
      <c r="AN259" s="268"/>
      <c r="AO259" s="268"/>
      <c r="AP259" s="418"/>
      <c r="AQ259" s="268"/>
    </row>
    <row r="260" spans="1:43" s="327" customFormat="1" ht="40.5" customHeight="1" x14ac:dyDescent="0.25">
      <c r="A260" s="832" t="s">
        <v>188</v>
      </c>
      <c r="B260" s="780" t="s">
        <v>289</v>
      </c>
      <c r="C260" s="956">
        <v>63</v>
      </c>
      <c r="D260" s="956">
        <v>250</v>
      </c>
      <c r="E260" s="956">
        <v>250</v>
      </c>
      <c r="F260" s="956"/>
      <c r="G260" s="956">
        <v>2019</v>
      </c>
      <c r="H260" s="956">
        <v>2019</v>
      </c>
      <c r="I260" s="780"/>
      <c r="J260" s="52">
        <f>K260+L260</f>
        <v>36691.870000000003</v>
      </c>
      <c r="K260" s="3">
        <v>0</v>
      </c>
      <c r="L260" s="3">
        <f>L261+L264+L265</f>
        <v>36691.870000000003</v>
      </c>
      <c r="M260" s="3">
        <f>M261+M264+M265</f>
        <v>31392.57</v>
      </c>
      <c r="N260" s="3">
        <f>N261+N264+N265</f>
        <v>33892.57</v>
      </c>
      <c r="O260" s="3">
        <f>O261+O264+O265</f>
        <v>33892.57</v>
      </c>
      <c r="P260" s="3">
        <f>P261+P264+P265</f>
        <v>0</v>
      </c>
      <c r="Q260" s="3">
        <f>Q261+Q265</f>
        <v>0</v>
      </c>
      <c r="R260" s="3">
        <f t="shared" ref="R260:AI260" si="155">R261+R265</f>
        <v>138.15199999999999</v>
      </c>
      <c r="S260" s="3">
        <f t="shared" si="155"/>
        <v>138.15199999999999</v>
      </c>
      <c r="T260" s="3">
        <f t="shared" si="155"/>
        <v>2350</v>
      </c>
      <c r="U260" s="3">
        <f t="shared" si="155"/>
        <v>2350</v>
      </c>
      <c r="V260" s="3">
        <f t="shared" si="155"/>
        <v>28677.305</v>
      </c>
      <c r="W260" s="3">
        <f t="shared" si="155"/>
        <v>28677.305</v>
      </c>
      <c r="X260" s="3">
        <f t="shared" si="155"/>
        <v>0</v>
      </c>
      <c r="Y260" s="3">
        <f t="shared" si="155"/>
        <v>0</v>
      </c>
      <c r="Z260" s="3">
        <f t="shared" si="155"/>
        <v>0</v>
      </c>
      <c r="AA260" s="3">
        <f t="shared" si="155"/>
        <v>0</v>
      </c>
      <c r="AB260" s="3">
        <f t="shared" si="155"/>
        <v>0</v>
      </c>
      <c r="AC260" s="3">
        <f t="shared" si="155"/>
        <v>17468.748</v>
      </c>
      <c r="AD260" s="3">
        <f t="shared" si="155"/>
        <v>19862.373</v>
      </c>
      <c r="AE260" s="3">
        <f t="shared" si="155"/>
        <v>0</v>
      </c>
      <c r="AF260" s="3">
        <f t="shared" si="155"/>
        <v>0</v>
      </c>
      <c r="AG260" s="3">
        <f t="shared" si="155"/>
        <v>0</v>
      </c>
      <c r="AH260" s="3">
        <f t="shared" si="155"/>
        <v>0</v>
      </c>
      <c r="AI260" s="3">
        <f t="shared" si="155"/>
        <v>0</v>
      </c>
      <c r="AJ260" s="3">
        <v>0</v>
      </c>
      <c r="AK260" s="3">
        <f>P260-Q260</f>
        <v>0</v>
      </c>
      <c r="AL260" s="3">
        <f>AK260</f>
        <v>0</v>
      </c>
      <c r="AM260" s="318" t="e">
        <f>ROUND((Q260*100%/P260*100),2)</f>
        <v>#DIV/0!</v>
      </c>
      <c r="AN260" s="3">
        <v>0</v>
      </c>
      <c r="AO260" s="3">
        <v>0</v>
      </c>
      <c r="AP260" s="633"/>
      <c r="AQ260" s="95">
        <f>76.182+4641.965+15.332</f>
        <v>4733.4790000000003</v>
      </c>
    </row>
    <row r="261" spans="1:43" ht="33.75" x14ac:dyDescent="0.25">
      <c r="A261" s="960"/>
      <c r="B261" s="47" t="s">
        <v>15</v>
      </c>
      <c r="C261" s="962"/>
      <c r="D261" s="962"/>
      <c r="E261" s="962"/>
      <c r="F261" s="962"/>
      <c r="G261" s="962"/>
      <c r="H261" s="962"/>
      <c r="I261" s="481" t="s">
        <v>20</v>
      </c>
      <c r="J261" s="462"/>
      <c r="K261" s="47"/>
      <c r="L261" s="47">
        <v>2799.3</v>
      </c>
      <c r="M261" s="4"/>
      <c r="N261" s="4">
        <v>0</v>
      </c>
      <c r="O261" s="4"/>
      <c r="P261" s="4">
        <v>0</v>
      </c>
      <c r="Q261" s="4">
        <v>0</v>
      </c>
      <c r="R261" s="4">
        <f t="shared" ref="R261:AE261" si="156">SUM(R262:R263)</f>
        <v>138.15199999999999</v>
      </c>
      <c r="S261" s="4">
        <f t="shared" si="156"/>
        <v>138.15199999999999</v>
      </c>
      <c r="T261" s="4">
        <f t="shared" si="156"/>
        <v>2350</v>
      </c>
      <c r="U261" s="4">
        <f t="shared" si="156"/>
        <v>2350</v>
      </c>
      <c r="V261" s="4">
        <f t="shared" si="156"/>
        <v>0</v>
      </c>
      <c r="W261" s="4">
        <f t="shared" si="156"/>
        <v>0</v>
      </c>
      <c r="X261" s="4">
        <f t="shared" si="156"/>
        <v>0</v>
      </c>
      <c r="Y261" s="4">
        <f t="shared" si="156"/>
        <v>0</v>
      </c>
      <c r="Z261" s="268"/>
      <c r="AA261" s="4">
        <v>0</v>
      </c>
      <c r="AB261" s="4">
        <f t="shared" si="156"/>
        <v>0</v>
      </c>
      <c r="AC261" s="4">
        <f t="shared" si="156"/>
        <v>2488.15</v>
      </c>
      <c r="AD261" s="4">
        <f t="shared" si="156"/>
        <v>0</v>
      </c>
      <c r="AE261" s="4">
        <f t="shared" si="156"/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7">
        <v>0</v>
      </c>
      <c r="AL261" s="47">
        <v>0</v>
      </c>
      <c r="AM261" s="47">
        <v>0</v>
      </c>
      <c r="AN261" s="4">
        <v>0</v>
      </c>
      <c r="AO261" s="4">
        <v>0</v>
      </c>
      <c r="AP261" s="968"/>
      <c r="AQ261" s="268"/>
    </row>
    <row r="262" spans="1:43" s="266" customFormat="1" ht="15.75" hidden="1" x14ac:dyDescent="0.25">
      <c r="A262" s="267"/>
      <c r="B262" s="102" t="s">
        <v>303</v>
      </c>
      <c r="C262" s="104"/>
      <c r="D262" s="104"/>
      <c r="E262" s="104"/>
      <c r="F262" s="104"/>
      <c r="G262" s="104"/>
      <c r="H262" s="104"/>
      <c r="I262" s="102"/>
      <c r="J262" s="106"/>
      <c r="K262" s="96"/>
      <c r="L262" s="96"/>
      <c r="M262" s="268"/>
      <c r="N262" s="268"/>
      <c r="O262" s="268"/>
      <c r="P262" s="268">
        <f>R262+T262</f>
        <v>138.15199999999999</v>
      </c>
      <c r="Q262" s="268">
        <f>S262</f>
        <v>138.15199999999999</v>
      </c>
      <c r="R262" s="268">
        <f>S262</f>
        <v>138.15199999999999</v>
      </c>
      <c r="S262" s="268">
        <v>138.15199999999999</v>
      </c>
      <c r="T262" s="268">
        <f>U262</f>
        <v>0</v>
      </c>
      <c r="U262" s="268">
        <v>0</v>
      </c>
      <c r="V262" s="268"/>
      <c r="W262" s="268"/>
      <c r="X262" s="268"/>
      <c r="Y262" s="268">
        <v>0</v>
      </c>
      <c r="Z262" s="268"/>
      <c r="AA262" s="268">
        <f>AC262</f>
        <v>138.15</v>
      </c>
      <c r="AB262" s="268">
        <v>0</v>
      </c>
      <c r="AC262" s="268">
        <v>138.15</v>
      </c>
      <c r="AD262" s="268"/>
      <c r="AE262" s="268">
        <v>0</v>
      </c>
      <c r="AF262" s="268"/>
      <c r="AG262" s="268"/>
      <c r="AH262" s="268"/>
      <c r="AI262" s="268"/>
      <c r="AJ262" s="268"/>
      <c r="AK262" s="47">
        <v>0</v>
      </c>
      <c r="AL262" s="47">
        <v>0</v>
      </c>
      <c r="AM262" s="47">
        <v>0</v>
      </c>
      <c r="AN262" s="4">
        <v>0</v>
      </c>
      <c r="AO262" s="4">
        <v>0</v>
      </c>
      <c r="AP262" s="418"/>
      <c r="AQ262" s="268"/>
    </row>
    <row r="263" spans="1:43" s="266" customFormat="1" ht="15.75" hidden="1" x14ac:dyDescent="0.25">
      <c r="A263" s="490"/>
      <c r="B263" s="102" t="s">
        <v>311</v>
      </c>
      <c r="C263" s="104"/>
      <c r="D263" s="104"/>
      <c r="E263" s="104"/>
      <c r="F263" s="104"/>
      <c r="G263" s="104"/>
      <c r="H263" s="104"/>
      <c r="I263" s="92"/>
      <c r="J263" s="442"/>
      <c r="K263" s="96"/>
      <c r="L263" s="96"/>
      <c r="M263" s="268"/>
      <c r="N263" s="268"/>
      <c r="O263" s="268"/>
      <c r="P263" s="268"/>
      <c r="Q263" s="268">
        <f>Y263+U263</f>
        <v>2350</v>
      </c>
      <c r="R263" s="268"/>
      <c r="S263" s="268"/>
      <c r="T263" s="268">
        <f>U263</f>
        <v>2350</v>
      </c>
      <c r="U263" s="268">
        <v>2350</v>
      </c>
      <c r="V263" s="268"/>
      <c r="W263" s="268"/>
      <c r="X263" s="268"/>
      <c r="Y263" s="268">
        <v>0</v>
      </c>
      <c r="Z263" s="268"/>
      <c r="AA263" s="268">
        <f>AI263+AE263</f>
        <v>0</v>
      </c>
      <c r="AB263" s="268"/>
      <c r="AC263" s="268">
        <v>2350</v>
      </c>
      <c r="AD263" s="268"/>
      <c r="AE263" s="268">
        <v>0</v>
      </c>
      <c r="AF263" s="268"/>
      <c r="AG263" s="268"/>
      <c r="AH263" s="268"/>
      <c r="AI263" s="268"/>
      <c r="AJ263" s="268"/>
      <c r="AK263" s="47">
        <v>0</v>
      </c>
      <c r="AL263" s="47">
        <v>0</v>
      </c>
      <c r="AM263" s="47">
        <v>0</v>
      </c>
      <c r="AN263" s="4">
        <v>0</v>
      </c>
      <c r="AO263" s="4">
        <v>0</v>
      </c>
      <c r="AP263" s="418"/>
      <c r="AQ263" s="268"/>
    </row>
    <row r="264" spans="1:43" ht="15.75" x14ac:dyDescent="0.25">
      <c r="A264" s="960"/>
      <c r="B264" s="47" t="s">
        <v>15</v>
      </c>
      <c r="C264" s="962"/>
      <c r="D264" s="962"/>
      <c r="E264" s="962"/>
      <c r="F264" s="962"/>
      <c r="G264" s="962"/>
      <c r="H264" s="962"/>
      <c r="I264" s="1493" t="s">
        <v>10</v>
      </c>
      <c r="J264" s="462"/>
      <c r="K264" s="47"/>
      <c r="L264" s="47">
        <v>2500</v>
      </c>
      <c r="M264" s="4"/>
      <c r="N264" s="4">
        <v>2500</v>
      </c>
      <c r="O264" s="4">
        <v>2500</v>
      </c>
      <c r="P264" s="4">
        <v>0</v>
      </c>
      <c r="Q264" s="4">
        <v>0</v>
      </c>
      <c r="R264" s="4">
        <v>0</v>
      </c>
      <c r="S264" s="4">
        <v>0</v>
      </c>
      <c r="T264" s="4"/>
      <c r="U264" s="4"/>
      <c r="V264" s="4"/>
      <c r="W264" s="4"/>
      <c r="X264" s="4"/>
      <c r="Y264" s="4"/>
      <c r="Z264" s="268"/>
      <c r="AA264" s="4">
        <v>0</v>
      </c>
      <c r="AB264" s="4">
        <v>0</v>
      </c>
      <c r="AC264" s="4"/>
      <c r="AD264" s="4"/>
      <c r="AE264" s="4"/>
      <c r="AF264" s="4">
        <v>0</v>
      </c>
      <c r="AG264" s="4">
        <v>0</v>
      </c>
      <c r="AH264" s="4"/>
      <c r="AI264" s="4"/>
      <c r="AJ264" s="4"/>
      <c r="AK264" s="47">
        <v>0</v>
      </c>
      <c r="AL264" s="47">
        <v>0</v>
      </c>
      <c r="AM264" s="47">
        <v>0</v>
      </c>
      <c r="AN264" s="4">
        <v>0</v>
      </c>
      <c r="AO264" s="4">
        <v>0</v>
      </c>
      <c r="AP264" s="417"/>
      <c r="AQ264" s="268"/>
    </row>
    <row r="265" spans="1:43" ht="15.75" x14ac:dyDescent="0.25">
      <c r="A265" s="960"/>
      <c r="B265" s="1" t="s">
        <v>16</v>
      </c>
      <c r="C265" s="962"/>
      <c r="D265" s="962"/>
      <c r="E265" s="962"/>
      <c r="F265" s="962"/>
      <c r="G265" s="962"/>
      <c r="H265" s="962"/>
      <c r="I265" s="1494"/>
      <c r="J265" s="462"/>
      <c r="K265" s="47"/>
      <c r="L265" s="47">
        <v>31392.57</v>
      </c>
      <c r="M265" s="47">
        <v>31392.57</v>
      </c>
      <c r="N265" s="47">
        <v>31392.57</v>
      </c>
      <c r="O265" s="47">
        <v>31392.57</v>
      </c>
      <c r="P265" s="47">
        <v>0</v>
      </c>
      <c r="Q265" s="4">
        <v>0</v>
      </c>
      <c r="R265" s="4">
        <f t="shared" ref="R265:AI265" si="157">R266</f>
        <v>0</v>
      </c>
      <c r="S265" s="4">
        <f t="shared" si="157"/>
        <v>0</v>
      </c>
      <c r="T265" s="4">
        <f t="shared" si="157"/>
        <v>0</v>
      </c>
      <c r="U265" s="4">
        <f t="shared" si="157"/>
        <v>0</v>
      </c>
      <c r="V265" s="4">
        <f t="shared" si="157"/>
        <v>28677.305</v>
      </c>
      <c r="W265" s="4">
        <f t="shared" si="157"/>
        <v>28677.305</v>
      </c>
      <c r="X265" s="4">
        <f t="shared" si="157"/>
        <v>0</v>
      </c>
      <c r="Y265" s="4">
        <f t="shared" si="157"/>
        <v>0</v>
      </c>
      <c r="Z265" s="268"/>
      <c r="AA265" s="4">
        <v>0</v>
      </c>
      <c r="AB265" s="4">
        <f t="shared" si="157"/>
        <v>0</v>
      </c>
      <c r="AC265" s="4">
        <f t="shared" si="157"/>
        <v>14980.598</v>
      </c>
      <c r="AD265" s="4">
        <f t="shared" si="157"/>
        <v>19862.373</v>
      </c>
      <c r="AE265" s="4">
        <f t="shared" si="157"/>
        <v>0</v>
      </c>
      <c r="AF265" s="4">
        <f t="shared" si="157"/>
        <v>0</v>
      </c>
      <c r="AG265" s="4">
        <f t="shared" si="157"/>
        <v>0</v>
      </c>
      <c r="AH265" s="4">
        <f t="shared" si="157"/>
        <v>0</v>
      </c>
      <c r="AI265" s="4">
        <f t="shared" si="157"/>
        <v>0</v>
      </c>
      <c r="AJ265" s="4"/>
      <c r="AK265" s="47">
        <v>0</v>
      </c>
      <c r="AL265" s="47">
        <v>0</v>
      </c>
      <c r="AM265" s="47">
        <v>0</v>
      </c>
      <c r="AN265" s="4">
        <v>0</v>
      </c>
      <c r="AO265" s="4">
        <v>0</v>
      </c>
      <c r="AP265" s="417"/>
      <c r="AQ265" s="268"/>
    </row>
    <row r="266" spans="1:43" s="266" customFormat="1" ht="15.75" hidden="1" x14ac:dyDescent="0.25">
      <c r="A266" s="490"/>
      <c r="B266" s="102" t="s">
        <v>316</v>
      </c>
      <c r="C266" s="104"/>
      <c r="D266" s="104"/>
      <c r="E266" s="104"/>
      <c r="F266" s="104"/>
      <c r="G266" s="104"/>
      <c r="H266" s="104"/>
      <c r="I266" s="575"/>
      <c r="J266" s="442"/>
      <c r="K266" s="96"/>
      <c r="L266" s="96"/>
      <c r="M266" s="268"/>
      <c r="N266" s="268"/>
      <c r="O266" s="268"/>
      <c r="P266" s="268"/>
      <c r="Q266" s="268">
        <f>W266</f>
        <v>28677.305</v>
      </c>
      <c r="R266" s="268"/>
      <c r="S266" s="268"/>
      <c r="T266" s="268"/>
      <c r="U266" s="268"/>
      <c r="V266" s="268">
        <f>W266</f>
        <v>28677.305</v>
      </c>
      <c r="W266" s="268">
        <v>28677.305</v>
      </c>
      <c r="X266" s="268"/>
      <c r="Y266" s="268"/>
      <c r="Z266" s="268"/>
      <c r="AA266" s="268">
        <f>AC266+AD266</f>
        <v>34842.970999999998</v>
      </c>
      <c r="AB266" s="268"/>
      <c r="AC266" s="268">
        <v>14980.598</v>
      </c>
      <c r="AD266" s="268">
        <v>19862.373</v>
      </c>
      <c r="AE266" s="268"/>
      <c r="AF266" s="268"/>
      <c r="AG266" s="268"/>
      <c r="AH266" s="268"/>
      <c r="AI266" s="268"/>
      <c r="AJ266" s="268"/>
      <c r="AK266" s="96"/>
      <c r="AL266" s="96"/>
      <c r="AM266" s="96"/>
      <c r="AN266" s="268"/>
      <c r="AO266" s="268"/>
      <c r="AP266" s="418"/>
      <c r="AQ266" s="268"/>
    </row>
    <row r="267" spans="1:43" s="327" customFormat="1" ht="18.75" customHeight="1" x14ac:dyDescent="0.25">
      <c r="A267" s="1358" t="s">
        <v>189</v>
      </c>
      <c r="B267" s="609" t="s">
        <v>35</v>
      </c>
      <c r="C267" s="1661">
        <v>500</v>
      </c>
      <c r="D267" s="1661" t="s">
        <v>43</v>
      </c>
      <c r="E267" s="1661">
        <v>850</v>
      </c>
      <c r="F267" s="1660">
        <v>20400</v>
      </c>
      <c r="G267" s="807"/>
      <c r="H267" s="807"/>
      <c r="I267" s="1326" t="s">
        <v>20</v>
      </c>
      <c r="J267" s="1622">
        <v>6942.46</v>
      </c>
      <c r="K267" s="3">
        <v>0</v>
      </c>
      <c r="L267" s="3">
        <f>L268</f>
        <v>6462.97</v>
      </c>
      <c r="M267" s="318">
        <f>M268</f>
        <v>0</v>
      </c>
      <c r="N267" s="318">
        <f>N268</f>
        <v>0</v>
      </c>
      <c r="O267" s="318">
        <f>O268</f>
        <v>6942.46</v>
      </c>
      <c r="P267" s="318">
        <v>0</v>
      </c>
      <c r="Q267" s="318">
        <v>0</v>
      </c>
      <c r="R267" s="318">
        <v>0</v>
      </c>
      <c r="S267" s="318">
        <v>0</v>
      </c>
      <c r="T267" s="318">
        <v>0</v>
      </c>
      <c r="U267" s="318">
        <v>0</v>
      </c>
      <c r="V267" s="318">
        <v>0</v>
      </c>
      <c r="W267" s="318">
        <v>0</v>
      </c>
      <c r="X267" s="318">
        <v>0</v>
      </c>
      <c r="Y267" s="318">
        <v>0</v>
      </c>
      <c r="Z267" s="372">
        <v>0</v>
      </c>
      <c r="AA267" s="318">
        <v>0</v>
      </c>
      <c r="AB267" s="318">
        <v>0</v>
      </c>
      <c r="AC267" s="318">
        <v>0</v>
      </c>
      <c r="AD267" s="318">
        <v>0</v>
      </c>
      <c r="AE267" s="318">
        <v>0</v>
      </c>
      <c r="AF267" s="318">
        <v>0</v>
      </c>
      <c r="AG267" s="318">
        <v>0</v>
      </c>
      <c r="AH267" s="318">
        <v>0</v>
      </c>
      <c r="AI267" s="318">
        <v>0</v>
      </c>
      <c r="AJ267" s="318">
        <v>0</v>
      </c>
      <c r="AK267" s="3">
        <f>P267-Q267</f>
        <v>0</v>
      </c>
      <c r="AL267" s="3">
        <f>AK267</f>
        <v>0</v>
      </c>
      <c r="AM267" s="3">
        <v>0</v>
      </c>
      <c r="AN267" s="318">
        <v>0</v>
      </c>
      <c r="AO267" s="318">
        <v>0</v>
      </c>
      <c r="AP267" s="833"/>
      <c r="AQ267" s="372">
        <v>0</v>
      </c>
    </row>
    <row r="268" spans="1:43" ht="15" hidden="1" customHeight="1" x14ac:dyDescent="0.25">
      <c r="A268" s="1361"/>
      <c r="B268" s="1" t="s">
        <v>15</v>
      </c>
      <c r="C268" s="1661"/>
      <c r="D268" s="1661"/>
      <c r="E268" s="1661"/>
      <c r="F268" s="1661"/>
      <c r="G268" s="962">
        <v>2021</v>
      </c>
      <c r="H268" s="962">
        <v>2021</v>
      </c>
      <c r="I268" s="1328"/>
      <c r="J268" s="1624"/>
      <c r="K268" s="47"/>
      <c r="L268" s="47">
        <v>6462.97</v>
      </c>
      <c r="M268" s="47">
        <v>0</v>
      </c>
      <c r="N268" s="47">
        <v>0</v>
      </c>
      <c r="O268" s="47">
        <v>6942.46</v>
      </c>
      <c r="P268" s="47">
        <v>6462.97</v>
      </c>
      <c r="Q268" s="47">
        <v>0</v>
      </c>
      <c r="R268" s="47">
        <v>0</v>
      </c>
      <c r="S268" s="47">
        <v>0</v>
      </c>
      <c r="T268" s="47">
        <v>0</v>
      </c>
      <c r="U268" s="47">
        <v>0</v>
      </c>
      <c r="V268" s="47">
        <v>0</v>
      </c>
      <c r="W268" s="47">
        <v>0</v>
      </c>
      <c r="X268" s="47">
        <v>0</v>
      </c>
      <c r="Y268" s="47">
        <v>0</v>
      </c>
      <c r="Z268" s="96"/>
      <c r="AA268" s="47">
        <v>0</v>
      </c>
      <c r="AB268" s="47">
        <v>0</v>
      </c>
      <c r="AC268" s="47">
        <v>0</v>
      </c>
      <c r="AD268" s="47">
        <v>0</v>
      </c>
      <c r="AE268" s="47">
        <v>0</v>
      </c>
      <c r="AF268" s="47">
        <v>0</v>
      </c>
      <c r="AG268" s="47">
        <v>0</v>
      </c>
      <c r="AH268" s="47">
        <v>0</v>
      </c>
      <c r="AI268" s="47">
        <v>0</v>
      </c>
      <c r="AJ268" s="47">
        <v>0</v>
      </c>
      <c r="AK268" s="47">
        <v>0</v>
      </c>
      <c r="AL268" s="47">
        <v>0</v>
      </c>
      <c r="AM268" s="47">
        <v>0</v>
      </c>
      <c r="AN268" s="47">
        <v>0</v>
      </c>
      <c r="AO268" s="47">
        <v>0</v>
      </c>
      <c r="AP268" s="419"/>
      <c r="AQ268" s="96"/>
    </row>
    <row r="269" spans="1:43" s="327" customFormat="1" ht="28.5" customHeight="1" x14ac:dyDescent="0.25">
      <c r="A269" s="1358" t="s">
        <v>190</v>
      </c>
      <c r="B269" s="780" t="s">
        <v>191</v>
      </c>
      <c r="C269" s="1660"/>
      <c r="D269" s="1660"/>
      <c r="E269" s="1660"/>
      <c r="F269" s="1660">
        <v>80</v>
      </c>
      <c r="G269" s="807"/>
      <c r="H269" s="807"/>
      <c r="I269" s="1326" t="s">
        <v>20</v>
      </c>
      <c r="J269" s="52">
        <f>L269</f>
        <v>45265.81</v>
      </c>
      <c r="K269" s="52"/>
      <c r="L269" s="3">
        <f t="shared" ref="L269:AO269" si="158">L270+L272</f>
        <v>45265.81</v>
      </c>
      <c r="M269" s="3">
        <f t="shared" si="158"/>
        <v>33.479999999999997</v>
      </c>
      <c r="N269" s="3">
        <f t="shared" si="158"/>
        <v>7044.44</v>
      </c>
      <c r="O269" s="3">
        <f t="shared" si="158"/>
        <v>11467.37</v>
      </c>
      <c r="P269" s="3">
        <f t="shared" si="158"/>
        <v>40219.919999999998</v>
      </c>
      <c r="Q269" s="3">
        <f t="shared" si="158"/>
        <v>0</v>
      </c>
      <c r="R269" s="3">
        <f t="shared" si="158"/>
        <v>0</v>
      </c>
      <c r="S269" s="3">
        <f t="shared" si="158"/>
        <v>0</v>
      </c>
      <c r="T269" s="3">
        <f t="shared" si="158"/>
        <v>27</v>
      </c>
      <c r="U269" s="3">
        <f t="shared" si="158"/>
        <v>27</v>
      </c>
      <c r="V269" s="3">
        <f t="shared" si="158"/>
        <v>0</v>
      </c>
      <c r="W269" s="3">
        <f t="shared" si="158"/>
        <v>0</v>
      </c>
      <c r="X269" s="3">
        <f t="shared" si="158"/>
        <v>0</v>
      </c>
      <c r="Y269" s="3">
        <f t="shared" si="158"/>
        <v>0</v>
      </c>
      <c r="Z269" s="95">
        <v>0</v>
      </c>
      <c r="AA269" s="3">
        <f t="shared" si="158"/>
        <v>0</v>
      </c>
      <c r="AB269" s="3">
        <f>AB270+AB272</f>
        <v>0</v>
      </c>
      <c r="AC269" s="3">
        <f>AC270+AC272</f>
        <v>0</v>
      </c>
      <c r="AD269" s="3">
        <f>AD270+AD272</f>
        <v>27</v>
      </c>
      <c r="AE269" s="3">
        <f>AE270+AE272</f>
        <v>0</v>
      </c>
      <c r="AF269" s="3">
        <f t="shared" si="158"/>
        <v>0</v>
      </c>
      <c r="AG269" s="3">
        <f t="shared" si="158"/>
        <v>0</v>
      </c>
      <c r="AH269" s="3">
        <f t="shared" si="158"/>
        <v>0</v>
      </c>
      <c r="AI269" s="3">
        <f t="shared" si="158"/>
        <v>0</v>
      </c>
      <c r="AJ269" s="3">
        <f t="shared" si="158"/>
        <v>0</v>
      </c>
      <c r="AK269" s="3">
        <f>P269-Q269</f>
        <v>40219.919999999998</v>
      </c>
      <c r="AL269" s="3">
        <f>AK269</f>
        <v>40219.919999999998</v>
      </c>
      <c r="AM269" s="318">
        <v>0</v>
      </c>
      <c r="AN269" s="3">
        <f t="shared" si="158"/>
        <v>0</v>
      </c>
      <c r="AO269" s="3">
        <f t="shared" si="158"/>
        <v>0</v>
      </c>
      <c r="AP269" s="834"/>
      <c r="AQ269" s="95">
        <v>0</v>
      </c>
    </row>
    <row r="270" spans="1:43" ht="17.25" customHeight="1" x14ac:dyDescent="0.25">
      <c r="A270" s="1359"/>
      <c r="B270" s="1" t="s">
        <v>15</v>
      </c>
      <c r="C270" s="1661"/>
      <c r="D270" s="1661"/>
      <c r="E270" s="1661"/>
      <c r="F270" s="1661"/>
      <c r="G270" s="962">
        <v>2019</v>
      </c>
      <c r="H270" s="962">
        <v>2019</v>
      </c>
      <c r="I270" s="1327"/>
      <c r="J270" s="6">
        <f>L270</f>
        <v>7077.92</v>
      </c>
      <c r="K270" s="6"/>
      <c r="L270" s="47">
        <v>7077.92</v>
      </c>
      <c r="M270" s="47">
        <v>33.479999999999997</v>
      </c>
      <c r="N270" s="47">
        <v>7044.44</v>
      </c>
      <c r="O270" s="47">
        <v>0</v>
      </c>
      <c r="P270" s="47">
        <v>0</v>
      </c>
      <c r="Q270" s="47">
        <v>0</v>
      </c>
      <c r="R270" s="47">
        <f t="shared" ref="R270:AD270" si="159">SUM(R271)</f>
        <v>0</v>
      </c>
      <c r="S270" s="47">
        <f t="shared" si="159"/>
        <v>0</v>
      </c>
      <c r="T270" s="47">
        <f t="shared" si="159"/>
        <v>27</v>
      </c>
      <c r="U270" s="47">
        <f t="shared" si="159"/>
        <v>27</v>
      </c>
      <c r="V270" s="47">
        <f t="shared" si="159"/>
        <v>0</v>
      </c>
      <c r="W270" s="47">
        <f t="shared" si="159"/>
        <v>0</v>
      </c>
      <c r="X270" s="47">
        <f t="shared" si="159"/>
        <v>0</v>
      </c>
      <c r="Y270" s="47">
        <f t="shared" si="159"/>
        <v>0</v>
      </c>
      <c r="Z270" s="96"/>
      <c r="AA270" s="47">
        <v>0</v>
      </c>
      <c r="AB270" s="47">
        <f t="shared" si="159"/>
        <v>0</v>
      </c>
      <c r="AC270" s="47">
        <f t="shared" si="159"/>
        <v>0</v>
      </c>
      <c r="AD270" s="47">
        <f t="shared" si="159"/>
        <v>27</v>
      </c>
      <c r="AE270" s="47">
        <v>0</v>
      </c>
      <c r="AF270" s="47">
        <f>AF271</f>
        <v>0</v>
      </c>
      <c r="AG270" s="47">
        <f>AG271</f>
        <v>0</v>
      </c>
      <c r="AH270" s="47">
        <f>AH271</f>
        <v>0</v>
      </c>
      <c r="AI270" s="47">
        <f>AI271</f>
        <v>0</v>
      </c>
      <c r="AJ270" s="47">
        <f>AJ271</f>
        <v>0</v>
      </c>
      <c r="AK270" s="47">
        <v>0</v>
      </c>
      <c r="AL270" s="47">
        <v>0</v>
      </c>
      <c r="AM270" s="47">
        <v>0</v>
      </c>
      <c r="AN270" s="47">
        <v>0</v>
      </c>
      <c r="AO270" s="47">
        <v>0</v>
      </c>
      <c r="AP270" s="419"/>
      <c r="AQ270" s="96"/>
    </row>
    <row r="271" spans="1:43" s="266" customFormat="1" ht="25.5" hidden="1" customHeight="1" x14ac:dyDescent="0.25">
      <c r="A271" s="1359"/>
      <c r="B271" s="102" t="s">
        <v>267</v>
      </c>
      <c r="C271" s="576"/>
      <c r="D271" s="576"/>
      <c r="E271" s="576"/>
      <c r="F271" s="576"/>
      <c r="G271" s="104"/>
      <c r="H271" s="104"/>
      <c r="I271" s="1327"/>
      <c r="J271" s="106"/>
      <c r="K271" s="106"/>
      <c r="L271" s="96"/>
      <c r="M271" s="96"/>
      <c r="N271" s="96"/>
      <c r="O271" s="96"/>
      <c r="P271" s="96">
        <f>R271</f>
        <v>0</v>
      </c>
      <c r="Q271" s="96">
        <f>S271+U271</f>
        <v>27</v>
      </c>
      <c r="R271" s="96">
        <v>0</v>
      </c>
      <c r="S271" s="96">
        <v>0</v>
      </c>
      <c r="T271" s="96">
        <f>U271</f>
        <v>27</v>
      </c>
      <c r="U271" s="96">
        <f>ROUND((32.4/1.2),2)</f>
        <v>27</v>
      </c>
      <c r="V271" s="96"/>
      <c r="W271" s="96"/>
      <c r="X271" s="96"/>
      <c r="Y271" s="96"/>
      <c r="Z271" s="96"/>
      <c r="AA271" s="96">
        <f>AD271</f>
        <v>27</v>
      </c>
      <c r="AB271" s="96">
        <v>0</v>
      </c>
      <c r="AC271" s="96"/>
      <c r="AD271" s="96">
        <v>27</v>
      </c>
      <c r="AE271" s="96"/>
      <c r="AF271" s="96">
        <f>SUM(AG271:AG271)</f>
        <v>0</v>
      </c>
      <c r="AG271" s="96"/>
      <c r="AH271" s="96"/>
      <c r="AI271" s="96"/>
      <c r="AJ271" s="96"/>
      <c r="AK271" s="96"/>
      <c r="AL271" s="96"/>
      <c r="AM271" s="96"/>
      <c r="AN271" s="96"/>
      <c r="AO271" s="96"/>
      <c r="AP271" s="421"/>
      <c r="AQ271" s="96"/>
    </row>
    <row r="272" spans="1:43" ht="17.25" customHeight="1" x14ac:dyDescent="0.25">
      <c r="A272" s="1361"/>
      <c r="B272" s="1" t="s">
        <v>16</v>
      </c>
      <c r="C272" s="969"/>
      <c r="D272" s="969"/>
      <c r="E272" s="969"/>
      <c r="F272" s="969"/>
      <c r="G272" s="962">
        <v>2020</v>
      </c>
      <c r="H272" s="962">
        <v>2021</v>
      </c>
      <c r="I272" s="1328"/>
      <c r="J272" s="6">
        <f>L272</f>
        <v>38187.89</v>
      </c>
      <c r="K272" s="6"/>
      <c r="L272" s="47">
        <v>38187.89</v>
      </c>
      <c r="M272" s="47">
        <v>0</v>
      </c>
      <c r="N272" s="47">
        <v>0</v>
      </c>
      <c r="O272" s="47">
        <v>11467.37</v>
      </c>
      <c r="P272" s="47">
        <v>40219.919999999998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47">
        <v>0</v>
      </c>
      <c r="X272" s="47">
        <v>0</v>
      </c>
      <c r="Y272" s="47">
        <v>0</v>
      </c>
      <c r="Z272" s="96"/>
      <c r="AA272" s="47">
        <v>0</v>
      </c>
      <c r="AB272" s="47">
        <v>0</v>
      </c>
      <c r="AC272" s="47">
        <v>0</v>
      </c>
      <c r="AD272" s="47">
        <v>0</v>
      </c>
      <c r="AE272" s="47">
        <v>0</v>
      </c>
      <c r="AF272" s="47">
        <v>0</v>
      </c>
      <c r="AG272" s="47">
        <v>0</v>
      </c>
      <c r="AH272" s="47">
        <v>0</v>
      </c>
      <c r="AI272" s="47">
        <v>0</v>
      </c>
      <c r="AJ272" s="47">
        <v>0</v>
      </c>
      <c r="AK272" s="47">
        <v>0</v>
      </c>
      <c r="AL272" s="47">
        <v>0</v>
      </c>
      <c r="AM272" s="47">
        <v>0</v>
      </c>
      <c r="AN272" s="47">
        <v>0</v>
      </c>
      <c r="AO272" s="47">
        <v>0</v>
      </c>
      <c r="AP272" s="419"/>
      <c r="AQ272" s="96"/>
    </row>
    <row r="273" spans="1:44" s="327" customFormat="1" ht="39.75" customHeight="1" x14ac:dyDescent="0.25">
      <c r="A273" s="1358" t="s">
        <v>192</v>
      </c>
      <c r="B273" s="772" t="s">
        <v>166</v>
      </c>
      <c r="C273" s="1660"/>
      <c r="D273" s="1660"/>
      <c r="E273" s="1660"/>
      <c r="F273" s="1660">
        <v>80</v>
      </c>
      <c r="G273" s="807"/>
      <c r="H273" s="807"/>
      <c r="I273" s="1326" t="s">
        <v>20</v>
      </c>
      <c r="J273" s="52">
        <f>L273</f>
        <v>94875.549999999988</v>
      </c>
      <c r="K273" s="52"/>
      <c r="L273" s="3">
        <f t="shared" ref="L273:O273" si="160">L274+L277</f>
        <v>94875.549999999988</v>
      </c>
      <c r="M273" s="3">
        <f t="shared" si="160"/>
        <v>2761.44</v>
      </c>
      <c r="N273" s="3">
        <f t="shared" si="160"/>
        <v>9629.68</v>
      </c>
      <c r="O273" s="3">
        <f t="shared" si="160"/>
        <v>22469.279999999999</v>
      </c>
      <c r="P273" s="3">
        <v>3907.02</v>
      </c>
      <c r="Q273" s="3">
        <v>0</v>
      </c>
      <c r="R273" s="3">
        <f t="shared" ref="R273:Y273" si="161">R274+R277</f>
        <v>646.02599999999995</v>
      </c>
      <c r="S273" s="3">
        <f t="shared" si="161"/>
        <v>646.02599999999995</v>
      </c>
      <c r="T273" s="3">
        <f t="shared" si="161"/>
        <v>872.63599999999997</v>
      </c>
      <c r="U273" s="3">
        <f t="shared" si="161"/>
        <v>872.63599999999997</v>
      </c>
      <c r="V273" s="3">
        <f t="shared" si="161"/>
        <v>0</v>
      </c>
      <c r="W273" s="3">
        <f t="shared" si="161"/>
        <v>0</v>
      </c>
      <c r="X273" s="3">
        <f t="shared" si="161"/>
        <v>0</v>
      </c>
      <c r="Y273" s="3">
        <f t="shared" si="161"/>
        <v>0</v>
      </c>
      <c r="Z273" s="3">
        <v>0</v>
      </c>
      <c r="AA273" s="3">
        <f>AA274+AA277</f>
        <v>0</v>
      </c>
      <c r="AB273" s="3">
        <f>AB274+AB277</f>
        <v>0</v>
      </c>
      <c r="AC273" s="3">
        <f t="shared" ref="AC273:AJ273" si="162">AC274+AC277</f>
        <v>0</v>
      </c>
      <c r="AD273" s="3">
        <f t="shared" si="162"/>
        <v>0</v>
      </c>
      <c r="AE273" s="3">
        <f t="shared" si="162"/>
        <v>0</v>
      </c>
      <c r="AF273" s="3">
        <f t="shared" si="162"/>
        <v>0</v>
      </c>
      <c r="AG273" s="3">
        <f t="shared" si="162"/>
        <v>0</v>
      </c>
      <c r="AH273" s="3">
        <f t="shared" si="162"/>
        <v>0</v>
      </c>
      <c r="AI273" s="3">
        <f t="shared" si="162"/>
        <v>0</v>
      </c>
      <c r="AJ273" s="3">
        <f t="shared" si="162"/>
        <v>0</v>
      </c>
      <c r="AK273" s="3">
        <f>P273-Q273</f>
        <v>3907.02</v>
      </c>
      <c r="AL273" s="3">
        <f>AK273</f>
        <v>3907.02</v>
      </c>
      <c r="AM273" s="3">
        <f>ROUND((Q273*100%/P273*100),2)</f>
        <v>0</v>
      </c>
      <c r="AN273" s="3">
        <f>AN274+AN277</f>
        <v>0</v>
      </c>
      <c r="AO273" s="3">
        <f>AO274+AO277</f>
        <v>0</v>
      </c>
      <c r="AP273" s="633" t="s">
        <v>256</v>
      </c>
      <c r="AQ273" s="3">
        <v>0</v>
      </c>
    </row>
    <row r="274" spans="1:44" ht="16.5" hidden="1" customHeight="1" x14ac:dyDescent="0.25">
      <c r="A274" s="1359"/>
      <c r="B274" s="42" t="s">
        <v>15</v>
      </c>
      <c r="C274" s="1661"/>
      <c r="D274" s="1661"/>
      <c r="E274" s="1661"/>
      <c r="F274" s="1661"/>
      <c r="G274" s="313"/>
      <c r="H274" s="978"/>
      <c r="I274" s="1327"/>
      <c r="J274" s="972"/>
      <c r="K274" s="47"/>
      <c r="L274" s="47">
        <v>5734.87</v>
      </c>
      <c r="M274" s="47">
        <v>2761.44</v>
      </c>
      <c r="N274" s="47">
        <v>105.99</v>
      </c>
      <c r="O274" s="47">
        <v>0</v>
      </c>
      <c r="P274" s="47">
        <v>0</v>
      </c>
      <c r="Q274" s="47">
        <f>SUM(Q275:Q277)</f>
        <v>1518.6619999999998</v>
      </c>
      <c r="R274" s="47">
        <f>S274</f>
        <v>646.02599999999995</v>
      </c>
      <c r="S274" s="47">
        <f>SUM(S275:S277)</f>
        <v>646.02599999999995</v>
      </c>
      <c r="T274" s="47">
        <f>SUM(T275:T277)</f>
        <v>872.63599999999997</v>
      </c>
      <c r="U274" s="47">
        <f>SUM(U275:U277)</f>
        <v>872.63599999999997</v>
      </c>
      <c r="V274" s="47">
        <f>SUM(V275:V277)</f>
        <v>0</v>
      </c>
      <c r="W274" s="47">
        <f>SUM(W275:W277)</f>
        <v>0</v>
      </c>
      <c r="X274" s="47">
        <v>0</v>
      </c>
      <c r="Y274" s="47">
        <f t="shared" ref="Y274:AE274" si="163">SUM(Y275:Y277)</f>
        <v>0</v>
      </c>
      <c r="Z274" s="96"/>
      <c r="AA274" s="47">
        <f t="shared" si="163"/>
        <v>0</v>
      </c>
      <c r="AB274" s="47">
        <f t="shared" si="163"/>
        <v>0</v>
      </c>
      <c r="AC274" s="47">
        <f t="shared" si="163"/>
        <v>0</v>
      </c>
      <c r="AD274" s="47">
        <f t="shared" si="163"/>
        <v>0</v>
      </c>
      <c r="AE274" s="47">
        <f t="shared" si="163"/>
        <v>0</v>
      </c>
      <c r="AF274" s="47">
        <f>SUM(AF275)</f>
        <v>0</v>
      </c>
      <c r="AG274" s="47">
        <f>SUM(AG275)</f>
        <v>0</v>
      </c>
      <c r="AH274" s="47">
        <f>SUM(AH275)</f>
        <v>0</v>
      </c>
      <c r="AI274" s="47">
        <f>SUM(AI275)</f>
        <v>0</v>
      </c>
      <c r="AJ274" s="47">
        <f>SUM(AJ275)</f>
        <v>0</v>
      </c>
      <c r="AK274" s="47">
        <v>0</v>
      </c>
      <c r="AL274" s="47">
        <v>0</v>
      </c>
      <c r="AM274" s="47">
        <v>0</v>
      </c>
      <c r="AN274" s="47">
        <v>0</v>
      </c>
      <c r="AO274" s="47">
        <v>0</v>
      </c>
      <c r="AP274" s="397"/>
      <c r="AQ274" s="96"/>
    </row>
    <row r="275" spans="1:44" s="266" customFormat="1" ht="16.5" hidden="1" customHeight="1" x14ac:dyDescent="0.25">
      <c r="A275" s="1359"/>
      <c r="B275" s="252" t="s">
        <v>228</v>
      </c>
      <c r="C275" s="363"/>
      <c r="D275" s="363"/>
      <c r="E275" s="363"/>
      <c r="F275" s="363"/>
      <c r="G275" s="363"/>
      <c r="H275" s="364"/>
      <c r="I275" s="1327"/>
      <c r="J275" s="258"/>
      <c r="K275" s="96"/>
      <c r="L275" s="96"/>
      <c r="M275" s="96"/>
      <c r="N275" s="96"/>
      <c r="O275" s="96"/>
      <c r="P275" s="47"/>
      <c r="Q275" s="96">
        <f>S275+U275</f>
        <v>1518.6619999999998</v>
      </c>
      <c r="R275" s="96">
        <v>0</v>
      </c>
      <c r="S275" s="96">
        <v>646.02599999999995</v>
      </c>
      <c r="T275" s="96">
        <f>U275</f>
        <v>872.63599999999997</v>
      </c>
      <c r="U275" s="96">
        <v>872.63599999999997</v>
      </c>
      <c r="V275" s="96"/>
      <c r="W275" s="96"/>
      <c r="X275" s="96">
        <v>0</v>
      </c>
      <c r="Y275" s="96">
        <v>0</v>
      </c>
      <c r="Z275" s="96"/>
      <c r="AA275" s="96">
        <v>0</v>
      </c>
      <c r="AB275" s="96">
        <v>0</v>
      </c>
      <c r="AC275" s="96"/>
      <c r="AD275" s="96"/>
      <c r="AE275" s="96">
        <v>0</v>
      </c>
      <c r="AF275" s="96">
        <f>SUM(AG275:AG275)</f>
        <v>0</v>
      </c>
      <c r="AG275" s="96"/>
      <c r="AH275" s="96"/>
      <c r="AI275" s="96"/>
      <c r="AJ275" s="96"/>
      <c r="AK275" s="96">
        <v>0</v>
      </c>
      <c r="AL275" s="96">
        <v>0</v>
      </c>
      <c r="AM275" s="96">
        <v>0</v>
      </c>
      <c r="AN275" s="96">
        <v>0</v>
      </c>
      <c r="AO275" s="96">
        <v>0</v>
      </c>
      <c r="AP275" s="405"/>
      <c r="AQ275" s="96"/>
    </row>
    <row r="276" spans="1:44" s="266" customFormat="1" ht="16.5" hidden="1" customHeight="1" x14ac:dyDescent="0.25">
      <c r="A276" s="1359"/>
      <c r="B276" s="252" t="s">
        <v>267</v>
      </c>
      <c r="C276" s="363"/>
      <c r="D276" s="363"/>
      <c r="E276" s="363"/>
      <c r="F276" s="363"/>
      <c r="G276" s="363"/>
      <c r="H276" s="364"/>
      <c r="I276" s="1327"/>
      <c r="J276" s="258"/>
      <c r="K276" s="96"/>
      <c r="L276" s="96"/>
      <c r="M276" s="96"/>
      <c r="N276" s="96"/>
      <c r="O276" s="96"/>
      <c r="P276" s="96">
        <f>R276+T276</f>
        <v>0</v>
      </c>
      <c r="Q276" s="96">
        <f>S276+U276</f>
        <v>0</v>
      </c>
      <c r="R276" s="96">
        <v>0</v>
      </c>
      <c r="S276" s="96">
        <v>0</v>
      </c>
      <c r="T276" s="96">
        <f>U276</f>
        <v>0</v>
      </c>
      <c r="U276" s="96">
        <v>0</v>
      </c>
      <c r="V276" s="96"/>
      <c r="W276" s="96"/>
      <c r="X276" s="96"/>
      <c r="Y276" s="96"/>
      <c r="Z276" s="96"/>
      <c r="AA276" s="96">
        <f>SUM(AB276:AD276)</f>
        <v>0</v>
      </c>
      <c r="AB276" s="96"/>
      <c r="AC276" s="96">
        <v>0</v>
      </c>
      <c r="AD276" s="96">
        <v>0</v>
      </c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405"/>
      <c r="AQ276" s="96"/>
    </row>
    <row r="277" spans="1:44" ht="0.75" hidden="1" customHeight="1" x14ac:dyDescent="0.25">
      <c r="A277" s="1361"/>
      <c r="B277" s="1" t="s">
        <v>16</v>
      </c>
      <c r="C277" s="969"/>
      <c r="D277" s="969"/>
      <c r="E277" s="969"/>
      <c r="F277" s="969"/>
      <c r="G277" s="962">
        <v>2020</v>
      </c>
      <c r="H277" s="962">
        <v>2021</v>
      </c>
      <c r="I277" s="1328"/>
      <c r="J277" s="6">
        <f>L277</f>
        <v>89140.68</v>
      </c>
      <c r="K277" s="6"/>
      <c r="L277" s="47">
        <v>89140.68</v>
      </c>
      <c r="M277" s="47">
        <v>0</v>
      </c>
      <c r="N277" s="47">
        <v>9523.69</v>
      </c>
      <c r="O277" s="47">
        <v>22469.279999999999</v>
      </c>
      <c r="P277" s="47">
        <v>2605.9899999999998</v>
      </c>
      <c r="Q277" s="47">
        <v>0</v>
      </c>
      <c r="R277" s="47">
        <v>0</v>
      </c>
      <c r="S277" s="47">
        <v>0</v>
      </c>
      <c r="T277" s="47">
        <v>0</v>
      </c>
      <c r="U277" s="47">
        <v>0</v>
      </c>
      <c r="V277" s="47">
        <v>0</v>
      </c>
      <c r="W277" s="47">
        <v>0</v>
      </c>
      <c r="X277" s="47">
        <v>0</v>
      </c>
      <c r="Y277" s="47">
        <v>0</v>
      </c>
      <c r="Z277" s="96"/>
      <c r="AA277" s="47">
        <v>0</v>
      </c>
      <c r="AB277" s="47">
        <v>0</v>
      </c>
      <c r="AC277" s="47">
        <v>0</v>
      </c>
      <c r="AD277" s="47">
        <v>0</v>
      </c>
      <c r="AE277" s="47">
        <v>0</v>
      </c>
      <c r="AF277" s="47">
        <v>0</v>
      </c>
      <c r="AG277" s="47">
        <v>0</v>
      </c>
      <c r="AH277" s="47">
        <v>0</v>
      </c>
      <c r="AI277" s="47">
        <v>0</v>
      </c>
      <c r="AJ277" s="47">
        <v>0</v>
      </c>
      <c r="AK277" s="47">
        <v>0</v>
      </c>
      <c r="AL277" s="47">
        <v>0</v>
      </c>
      <c r="AM277" s="47">
        <v>0</v>
      </c>
      <c r="AN277" s="47">
        <v>0</v>
      </c>
      <c r="AO277" s="47">
        <v>0</v>
      </c>
      <c r="AP277" s="419"/>
      <c r="AQ277" s="96"/>
    </row>
    <row r="278" spans="1:44" s="327" customFormat="1" ht="41.25" customHeight="1" x14ac:dyDescent="0.25">
      <c r="A278" s="1358" t="s">
        <v>193</v>
      </c>
      <c r="B278" s="772" t="s">
        <v>163</v>
      </c>
      <c r="C278" s="1660"/>
      <c r="D278" s="1660"/>
      <c r="E278" s="1660"/>
      <c r="F278" s="1660">
        <v>81</v>
      </c>
      <c r="G278" s="807"/>
      <c r="H278" s="807"/>
      <c r="I278" s="1326" t="s">
        <v>20</v>
      </c>
      <c r="J278" s="52">
        <f>L278</f>
        <v>5513.9</v>
      </c>
      <c r="K278" s="52"/>
      <c r="L278" s="3">
        <f t="shared" ref="L278:AA278" si="164">L279+L284</f>
        <v>5513.9</v>
      </c>
      <c r="M278" s="3">
        <f t="shared" si="164"/>
        <v>297.18</v>
      </c>
      <c r="N278" s="3">
        <f t="shared" si="164"/>
        <v>1639.85</v>
      </c>
      <c r="O278" s="3">
        <f t="shared" si="164"/>
        <v>0</v>
      </c>
      <c r="P278" s="3">
        <f t="shared" si="164"/>
        <v>0</v>
      </c>
      <c r="Q278" s="3">
        <f t="shared" si="164"/>
        <v>0</v>
      </c>
      <c r="R278" s="3">
        <f t="shared" si="164"/>
        <v>0</v>
      </c>
      <c r="S278" s="3">
        <f t="shared" si="164"/>
        <v>0</v>
      </c>
      <c r="T278" s="3">
        <f t="shared" si="164"/>
        <v>0</v>
      </c>
      <c r="U278" s="3">
        <f t="shared" si="164"/>
        <v>0</v>
      </c>
      <c r="V278" s="3">
        <f t="shared" si="164"/>
        <v>0</v>
      </c>
      <c r="W278" s="3">
        <f t="shared" si="164"/>
        <v>0</v>
      </c>
      <c r="X278" s="3">
        <f t="shared" si="164"/>
        <v>0</v>
      </c>
      <c r="Y278" s="3">
        <f t="shared" si="164"/>
        <v>0</v>
      </c>
      <c r="Z278" s="95">
        <v>0</v>
      </c>
      <c r="AA278" s="3">
        <f t="shared" si="164"/>
        <v>0</v>
      </c>
      <c r="AB278" s="3">
        <f>AB279+AB284</f>
        <v>0</v>
      </c>
      <c r="AC278" s="3">
        <f t="shared" ref="AC278:AJ278" si="165">AC279+AC284</f>
        <v>0</v>
      </c>
      <c r="AD278" s="3">
        <f t="shared" si="165"/>
        <v>0</v>
      </c>
      <c r="AE278" s="3">
        <f t="shared" si="165"/>
        <v>0</v>
      </c>
      <c r="AF278" s="3">
        <f t="shared" si="165"/>
        <v>0</v>
      </c>
      <c r="AG278" s="3">
        <f t="shared" si="165"/>
        <v>0</v>
      </c>
      <c r="AH278" s="3">
        <f t="shared" si="165"/>
        <v>0</v>
      </c>
      <c r="AI278" s="3">
        <f t="shared" si="165"/>
        <v>0</v>
      </c>
      <c r="AJ278" s="3">
        <f t="shared" si="165"/>
        <v>0</v>
      </c>
      <c r="AK278" s="3">
        <f>P278-Q278</f>
        <v>0</v>
      </c>
      <c r="AL278" s="3">
        <f>AK278</f>
        <v>0</v>
      </c>
      <c r="AM278" s="3">
        <v>0</v>
      </c>
      <c r="AN278" s="3">
        <f>AN279+AN284</f>
        <v>0</v>
      </c>
      <c r="AO278" s="3">
        <f>AO279+AO284</f>
        <v>0</v>
      </c>
      <c r="AP278" s="633" t="s">
        <v>256</v>
      </c>
      <c r="AQ278" s="95">
        <v>0</v>
      </c>
    </row>
    <row r="279" spans="1:44" ht="17.25" hidden="1" customHeight="1" x14ac:dyDescent="0.25">
      <c r="A279" s="1359"/>
      <c r="B279" s="1" t="s">
        <v>15</v>
      </c>
      <c r="C279" s="1661"/>
      <c r="D279" s="1661"/>
      <c r="E279" s="1661"/>
      <c r="F279" s="1661"/>
      <c r="G279" s="962">
        <v>2021</v>
      </c>
      <c r="H279" s="962">
        <v>2023</v>
      </c>
      <c r="I279" s="1327"/>
      <c r="J279" s="6">
        <f>L279</f>
        <v>594.36</v>
      </c>
      <c r="K279" s="6"/>
      <c r="L279" s="47">
        <v>594.36</v>
      </c>
      <c r="M279" s="47">
        <v>297.18</v>
      </c>
      <c r="N279" s="47">
        <v>0</v>
      </c>
      <c r="O279" s="47">
        <v>0</v>
      </c>
      <c r="P279" s="47">
        <v>0</v>
      </c>
      <c r="Q279" s="47">
        <f>SUM(Q281:Q283)</f>
        <v>0</v>
      </c>
      <c r="R279" s="47">
        <f t="shared" ref="R279:AE279" si="166">SUM(R281:R283)</f>
        <v>0</v>
      </c>
      <c r="S279" s="47">
        <f t="shared" si="166"/>
        <v>0</v>
      </c>
      <c r="T279" s="47">
        <f t="shared" si="166"/>
        <v>0</v>
      </c>
      <c r="U279" s="47">
        <f t="shared" si="166"/>
        <v>0</v>
      </c>
      <c r="V279" s="47">
        <f t="shared" si="166"/>
        <v>0</v>
      </c>
      <c r="W279" s="47">
        <f t="shared" si="166"/>
        <v>0</v>
      </c>
      <c r="X279" s="47">
        <v>0</v>
      </c>
      <c r="Y279" s="47">
        <f t="shared" si="166"/>
        <v>0</v>
      </c>
      <c r="Z279" s="96"/>
      <c r="AA279" s="47">
        <f t="shared" si="166"/>
        <v>0</v>
      </c>
      <c r="AB279" s="47">
        <f t="shared" si="166"/>
        <v>0</v>
      </c>
      <c r="AC279" s="47">
        <f t="shared" si="166"/>
        <v>0</v>
      </c>
      <c r="AD279" s="47">
        <f t="shared" si="166"/>
        <v>0</v>
      </c>
      <c r="AE279" s="47">
        <f t="shared" si="166"/>
        <v>0</v>
      </c>
      <c r="AF279" s="47">
        <f>AF283</f>
        <v>0</v>
      </c>
      <c r="AG279" s="47">
        <f>AG283</f>
        <v>0</v>
      </c>
      <c r="AH279" s="47">
        <f>AH283</f>
        <v>0</v>
      </c>
      <c r="AI279" s="47">
        <f>AI283</f>
        <v>0</v>
      </c>
      <c r="AJ279" s="47">
        <f>AJ283</f>
        <v>0</v>
      </c>
      <c r="AK279" s="47">
        <v>0</v>
      </c>
      <c r="AL279" s="47">
        <v>0</v>
      </c>
      <c r="AM279" s="47">
        <v>0</v>
      </c>
      <c r="AN279" s="47">
        <v>0</v>
      </c>
      <c r="AO279" s="47">
        <v>0</v>
      </c>
      <c r="AP279" s="419"/>
      <c r="AQ279" s="96"/>
    </row>
    <row r="280" spans="1:44" s="266" customFormat="1" ht="17.25" hidden="1" customHeight="1" x14ac:dyDescent="0.25">
      <c r="A280" s="1359"/>
      <c r="B280" s="102" t="s">
        <v>93</v>
      </c>
      <c r="C280" s="576"/>
      <c r="D280" s="576"/>
      <c r="E280" s="576"/>
      <c r="F280" s="576"/>
      <c r="G280" s="104"/>
      <c r="H280" s="104"/>
      <c r="I280" s="1327"/>
      <c r="J280" s="106"/>
      <c r="K280" s="106"/>
      <c r="L280" s="96"/>
      <c r="M280" s="96"/>
      <c r="N280" s="96"/>
      <c r="O280" s="96"/>
      <c r="P280" s="96">
        <f>R280</f>
        <v>0</v>
      </c>
      <c r="Q280" s="96">
        <f>S280</f>
        <v>0</v>
      </c>
      <c r="R280" s="96">
        <f>S280</f>
        <v>0</v>
      </c>
      <c r="S280" s="96">
        <v>0</v>
      </c>
      <c r="T280" s="96"/>
      <c r="U280" s="96"/>
      <c r="V280" s="96"/>
      <c r="W280" s="96"/>
      <c r="X280" s="96">
        <v>0</v>
      </c>
      <c r="Y280" s="96">
        <v>0</v>
      </c>
      <c r="Z280" s="96"/>
      <c r="AA280" s="96">
        <v>0</v>
      </c>
      <c r="AB280" s="96">
        <v>0</v>
      </c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421"/>
      <c r="AQ280" s="96"/>
    </row>
    <row r="281" spans="1:44" s="266" customFormat="1" ht="17.25" hidden="1" customHeight="1" x14ac:dyDescent="0.25">
      <c r="A281" s="1359"/>
      <c r="B281" s="252" t="s">
        <v>225</v>
      </c>
      <c r="C281" s="363"/>
      <c r="D281" s="363"/>
      <c r="E281" s="363"/>
      <c r="F281" s="363"/>
      <c r="G281" s="363"/>
      <c r="H281" s="364"/>
      <c r="I281" s="1327"/>
      <c r="J281" s="258"/>
      <c r="K281" s="96"/>
      <c r="L281" s="96"/>
      <c r="M281" s="96"/>
      <c r="N281" s="96"/>
      <c r="O281" s="96"/>
      <c r="P281" s="47"/>
      <c r="Q281" s="96">
        <f>Y281</f>
        <v>0</v>
      </c>
      <c r="R281" s="96"/>
      <c r="S281" s="96"/>
      <c r="T281" s="96"/>
      <c r="U281" s="96"/>
      <c r="V281" s="96"/>
      <c r="W281" s="96"/>
      <c r="X281" s="96">
        <v>0</v>
      </c>
      <c r="Y281" s="96">
        <v>0</v>
      </c>
      <c r="Z281" s="96"/>
      <c r="AA281" s="96">
        <v>0</v>
      </c>
      <c r="AB281" s="96">
        <v>0</v>
      </c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405"/>
      <c r="AQ281" s="96"/>
    </row>
    <row r="282" spans="1:44" s="266" customFormat="1" ht="17.25" hidden="1" customHeight="1" x14ac:dyDescent="0.25">
      <c r="A282" s="1359"/>
      <c r="B282" s="252" t="s">
        <v>226</v>
      </c>
      <c r="C282" s="363"/>
      <c r="D282" s="363"/>
      <c r="E282" s="363"/>
      <c r="F282" s="363"/>
      <c r="G282" s="363"/>
      <c r="H282" s="364"/>
      <c r="I282" s="1327"/>
      <c r="J282" s="258"/>
      <c r="K282" s="96"/>
      <c r="L282" s="96"/>
      <c r="M282" s="96"/>
      <c r="N282" s="96"/>
      <c r="O282" s="96"/>
      <c r="P282" s="47"/>
      <c r="Q282" s="96">
        <f>S282</f>
        <v>0</v>
      </c>
      <c r="R282" s="96">
        <f>S282</f>
        <v>0</v>
      </c>
      <c r="S282" s="96">
        <v>0</v>
      </c>
      <c r="T282" s="96"/>
      <c r="U282" s="96"/>
      <c r="V282" s="96"/>
      <c r="W282" s="96"/>
      <c r="X282" s="96">
        <v>0</v>
      </c>
      <c r="Y282" s="96">
        <v>0</v>
      </c>
      <c r="Z282" s="96"/>
      <c r="AA282" s="96">
        <f>AB282</f>
        <v>0</v>
      </c>
      <c r="AB282" s="96">
        <v>0</v>
      </c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405"/>
      <c r="AQ282" s="96"/>
    </row>
    <row r="283" spans="1:44" s="266" customFormat="1" ht="17.25" hidden="1" customHeight="1" x14ac:dyDescent="0.25">
      <c r="A283" s="1359"/>
      <c r="B283" s="252" t="s">
        <v>227</v>
      </c>
      <c r="C283" s="363"/>
      <c r="D283" s="363"/>
      <c r="E283" s="363"/>
      <c r="F283" s="363"/>
      <c r="G283" s="363"/>
      <c r="H283" s="364"/>
      <c r="I283" s="1327"/>
      <c r="J283" s="258"/>
      <c r="K283" s="96"/>
      <c r="L283" s="96"/>
      <c r="M283" s="96"/>
      <c r="N283" s="96"/>
      <c r="O283" s="96"/>
      <c r="P283" s="47"/>
      <c r="Q283" s="96">
        <f>Y283</f>
        <v>0</v>
      </c>
      <c r="R283" s="96"/>
      <c r="S283" s="96"/>
      <c r="T283" s="96"/>
      <c r="U283" s="96"/>
      <c r="V283" s="96"/>
      <c r="W283" s="96"/>
      <c r="X283" s="96">
        <v>0</v>
      </c>
      <c r="Y283" s="96">
        <v>0</v>
      </c>
      <c r="Z283" s="96"/>
      <c r="AA283" s="96">
        <v>0</v>
      </c>
      <c r="AB283" s="96">
        <v>0</v>
      </c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405"/>
      <c r="AQ283" s="96"/>
    </row>
    <row r="284" spans="1:44" ht="15.75" hidden="1" customHeight="1" x14ac:dyDescent="0.25">
      <c r="A284" s="1361"/>
      <c r="B284" s="1" t="s">
        <v>32</v>
      </c>
      <c r="C284" s="969"/>
      <c r="D284" s="969"/>
      <c r="E284" s="969"/>
      <c r="F284" s="969"/>
      <c r="G284" s="962">
        <v>2022</v>
      </c>
      <c r="H284" s="962">
        <v>2025</v>
      </c>
      <c r="I284" s="1328"/>
      <c r="J284" s="6">
        <f>L284</f>
        <v>4919.54</v>
      </c>
      <c r="K284" s="6"/>
      <c r="L284" s="47">
        <v>4919.54</v>
      </c>
      <c r="M284" s="47">
        <v>0</v>
      </c>
      <c r="N284" s="47">
        <v>1639.85</v>
      </c>
      <c r="O284" s="47">
        <v>0</v>
      </c>
      <c r="P284" s="47">
        <v>0</v>
      </c>
      <c r="Q284" s="47">
        <v>0</v>
      </c>
      <c r="R284" s="47">
        <v>0</v>
      </c>
      <c r="S284" s="47">
        <v>0</v>
      </c>
      <c r="T284" s="47">
        <v>0</v>
      </c>
      <c r="U284" s="47">
        <v>0</v>
      </c>
      <c r="V284" s="47">
        <v>0</v>
      </c>
      <c r="W284" s="47">
        <v>0</v>
      </c>
      <c r="X284" s="47">
        <v>0</v>
      </c>
      <c r="Y284" s="47">
        <v>0</v>
      </c>
      <c r="Z284" s="96"/>
      <c r="AA284" s="47">
        <v>0</v>
      </c>
      <c r="AB284" s="47">
        <v>0</v>
      </c>
      <c r="AC284" s="47">
        <v>0</v>
      </c>
      <c r="AD284" s="47">
        <v>0</v>
      </c>
      <c r="AE284" s="47">
        <v>0</v>
      </c>
      <c r="AF284" s="47">
        <v>0</v>
      </c>
      <c r="AG284" s="47">
        <v>0</v>
      </c>
      <c r="AH284" s="47">
        <v>0</v>
      </c>
      <c r="AI284" s="47">
        <v>0</v>
      </c>
      <c r="AJ284" s="47">
        <v>0</v>
      </c>
      <c r="AK284" s="47">
        <v>0</v>
      </c>
      <c r="AL284" s="47">
        <v>0</v>
      </c>
      <c r="AM284" s="47">
        <v>0</v>
      </c>
      <c r="AN284" s="47">
        <v>0</v>
      </c>
      <c r="AO284" s="47">
        <v>0</v>
      </c>
      <c r="AP284" s="419"/>
      <c r="AQ284" s="96"/>
    </row>
    <row r="285" spans="1:44" s="327" customFormat="1" ht="22.5" customHeight="1" x14ac:dyDescent="0.25">
      <c r="A285" s="1358" t="s">
        <v>194</v>
      </c>
      <c r="B285" s="780" t="s">
        <v>196</v>
      </c>
      <c r="C285" s="966"/>
      <c r="D285" s="966"/>
      <c r="E285" s="966"/>
      <c r="F285" s="966">
        <v>82</v>
      </c>
      <c r="G285" s="807"/>
      <c r="H285" s="807"/>
      <c r="I285" s="1326" t="s">
        <v>20</v>
      </c>
      <c r="J285" s="52">
        <f>L285</f>
        <v>12299.37</v>
      </c>
      <c r="K285" s="52"/>
      <c r="L285" s="3">
        <f>L287</f>
        <v>12299.37</v>
      </c>
      <c r="M285" s="3">
        <f t="shared" ref="M285:AO285" si="167">M287</f>
        <v>0</v>
      </c>
      <c r="N285" s="3">
        <f t="shared" si="167"/>
        <v>0</v>
      </c>
      <c r="O285" s="3">
        <f t="shared" si="167"/>
        <v>5371.98</v>
      </c>
      <c r="P285" s="3">
        <f t="shared" si="167"/>
        <v>0</v>
      </c>
      <c r="Q285" s="3">
        <f>Q286+Q287</f>
        <v>1205.01</v>
      </c>
      <c r="R285" s="3">
        <f t="shared" ref="R285:AA285" si="168">R286+R287</f>
        <v>0</v>
      </c>
      <c r="S285" s="3">
        <f t="shared" si="168"/>
        <v>0</v>
      </c>
      <c r="T285" s="3">
        <f t="shared" si="168"/>
        <v>0</v>
      </c>
      <c r="U285" s="3">
        <f t="shared" si="168"/>
        <v>0</v>
      </c>
      <c r="V285" s="3">
        <f t="shared" si="168"/>
        <v>0</v>
      </c>
      <c r="W285" s="3">
        <f t="shared" si="168"/>
        <v>0</v>
      </c>
      <c r="X285" s="3">
        <f t="shared" si="168"/>
        <v>0</v>
      </c>
      <c r="Y285" s="3">
        <f t="shared" si="168"/>
        <v>0</v>
      </c>
      <c r="Z285" s="3">
        <f t="shared" si="168"/>
        <v>0</v>
      </c>
      <c r="AA285" s="3">
        <f t="shared" si="168"/>
        <v>1870</v>
      </c>
      <c r="AB285" s="3">
        <f t="shared" si="167"/>
        <v>0</v>
      </c>
      <c r="AC285" s="3">
        <f t="shared" si="167"/>
        <v>0</v>
      </c>
      <c r="AD285" s="3">
        <f t="shared" si="167"/>
        <v>0</v>
      </c>
      <c r="AE285" s="3">
        <f t="shared" si="167"/>
        <v>0</v>
      </c>
      <c r="AF285" s="3">
        <f t="shared" si="167"/>
        <v>0</v>
      </c>
      <c r="AG285" s="3">
        <f t="shared" si="167"/>
        <v>0</v>
      </c>
      <c r="AH285" s="3">
        <f t="shared" si="167"/>
        <v>0</v>
      </c>
      <c r="AI285" s="3">
        <f t="shared" si="167"/>
        <v>0</v>
      </c>
      <c r="AJ285" s="3">
        <f t="shared" si="167"/>
        <v>0</v>
      </c>
      <c r="AK285" s="3">
        <f t="shared" si="167"/>
        <v>0</v>
      </c>
      <c r="AL285" s="3">
        <f t="shared" si="167"/>
        <v>0</v>
      </c>
      <c r="AM285" s="3">
        <f t="shared" si="167"/>
        <v>0</v>
      </c>
      <c r="AN285" s="3">
        <f t="shared" si="167"/>
        <v>0</v>
      </c>
      <c r="AO285" s="3">
        <f t="shared" si="167"/>
        <v>0</v>
      </c>
      <c r="AP285" s="834"/>
      <c r="AQ285" s="95">
        <v>0</v>
      </c>
    </row>
    <row r="286" spans="1:44" ht="15.75" customHeight="1" x14ac:dyDescent="0.25">
      <c r="A286" s="1359"/>
      <c r="B286" s="1" t="s">
        <v>39</v>
      </c>
      <c r="C286" s="970"/>
      <c r="D286" s="970"/>
      <c r="E286" s="970"/>
      <c r="F286" s="970"/>
      <c r="G286" s="962"/>
      <c r="H286" s="962"/>
      <c r="I286" s="1327"/>
      <c r="J286" s="6"/>
      <c r="K286" s="6"/>
      <c r="L286" s="47"/>
      <c r="M286" s="47"/>
      <c r="N286" s="47"/>
      <c r="O286" s="47"/>
      <c r="P286" s="47">
        <f>R286</f>
        <v>0</v>
      </c>
      <c r="Q286" s="47">
        <v>1205.01</v>
      </c>
      <c r="R286" s="47">
        <f>S286</f>
        <v>0</v>
      </c>
      <c r="S286" s="47">
        <v>0</v>
      </c>
      <c r="T286" s="47"/>
      <c r="U286" s="47"/>
      <c r="V286" s="47"/>
      <c r="W286" s="47"/>
      <c r="X286" s="47"/>
      <c r="Y286" s="47"/>
      <c r="Z286" s="47"/>
      <c r="AA286" s="47">
        <v>1870</v>
      </c>
      <c r="AB286" s="47">
        <v>0</v>
      </c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19"/>
      <c r="AQ286" s="47"/>
    </row>
    <row r="287" spans="1:44" ht="19.5" customHeight="1" x14ac:dyDescent="0.25">
      <c r="A287" s="1361"/>
      <c r="B287" s="1" t="s">
        <v>213</v>
      </c>
      <c r="C287" s="969"/>
      <c r="D287" s="969"/>
      <c r="E287" s="969"/>
      <c r="F287" s="969"/>
      <c r="G287" s="962">
        <v>2024</v>
      </c>
      <c r="H287" s="962">
        <v>2029</v>
      </c>
      <c r="I287" s="1328"/>
      <c r="J287" s="6">
        <f>L287</f>
        <v>12299.37</v>
      </c>
      <c r="K287" s="6"/>
      <c r="L287" s="47">
        <v>12299.37</v>
      </c>
      <c r="M287" s="47">
        <v>0</v>
      </c>
      <c r="N287" s="47">
        <v>0</v>
      </c>
      <c r="O287" s="47">
        <v>5371.98</v>
      </c>
      <c r="P287" s="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47">
        <v>0</v>
      </c>
      <c r="X287" s="47">
        <v>0</v>
      </c>
      <c r="Y287" s="47">
        <v>0</v>
      </c>
      <c r="Z287" s="96"/>
      <c r="AA287" s="47">
        <v>0</v>
      </c>
      <c r="AB287" s="47">
        <v>0</v>
      </c>
      <c r="AC287" s="47">
        <v>0</v>
      </c>
      <c r="AD287" s="47">
        <v>0</v>
      </c>
      <c r="AE287" s="47">
        <v>0</v>
      </c>
      <c r="AF287" s="47">
        <v>0</v>
      </c>
      <c r="AG287" s="47">
        <v>0</v>
      </c>
      <c r="AH287" s="47">
        <v>0</v>
      </c>
      <c r="AI287" s="47">
        <v>0</v>
      </c>
      <c r="AJ287" s="47">
        <v>0</v>
      </c>
      <c r="AK287" s="47">
        <v>0</v>
      </c>
      <c r="AL287" s="47">
        <v>0</v>
      </c>
      <c r="AM287" s="47">
        <v>0</v>
      </c>
      <c r="AN287" s="47">
        <v>0</v>
      </c>
      <c r="AO287" s="47">
        <v>0</v>
      </c>
      <c r="AP287" s="419"/>
      <c r="AQ287" s="96"/>
    </row>
    <row r="288" spans="1:44" s="327" customFormat="1" ht="24" customHeight="1" x14ac:dyDescent="0.25">
      <c r="A288" s="1358" t="s">
        <v>195</v>
      </c>
      <c r="B288" s="780" t="s">
        <v>197</v>
      </c>
      <c r="C288" s="966"/>
      <c r="D288" s="966"/>
      <c r="E288" s="966"/>
      <c r="F288" s="966">
        <v>83</v>
      </c>
      <c r="G288" s="807"/>
      <c r="H288" s="807"/>
      <c r="I288" s="959"/>
      <c r="J288" s="52">
        <f>L288</f>
        <v>264150.86</v>
      </c>
      <c r="K288" s="52"/>
      <c r="L288" s="3">
        <f t="shared" ref="L288:Q288" si="169">L289+L293</f>
        <v>264150.86</v>
      </c>
      <c r="M288" s="3">
        <f t="shared" si="169"/>
        <v>263850.07</v>
      </c>
      <c r="N288" s="3">
        <f t="shared" si="169"/>
        <v>263850.07</v>
      </c>
      <c r="O288" s="3">
        <f t="shared" si="169"/>
        <v>263850.07</v>
      </c>
      <c r="P288" s="3">
        <f t="shared" si="169"/>
        <v>3.4</v>
      </c>
      <c r="Q288" s="3">
        <f t="shared" si="169"/>
        <v>29943.865440000001</v>
      </c>
      <c r="R288" s="3">
        <f t="shared" ref="R288:Z288" si="170">R289+R293</f>
        <v>21705.95</v>
      </c>
      <c r="S288" s="3">
        <f t="shared" si="170"/>
        <v>21705.95</v>
      </c>
      <c r="T288" s="3">
        <f t="shared" si="170"/>
        <v>21705.95</v>
      </c>
      <c r="U288" s="3">
        <f t="shared" si="170"/>
        <v>21709.350000000002</v>
      </c>
      <c r="V288" s="3">
        <f t="shared" si="170"/>
        <v>21705.95</v>
      </c>
      <c r="W288" s="3">
        <f t="shared" si="170"/>
        <v>21705.95</v>
      </c>
      <c r="X288" s="3">
        <f t="shared" si="170"/>
        <v>21705.95</v>
      </c>
      <c r="Y288" s="3">
        <f t="shared" si="170"/>
        <v>21705.95</v>
      </c>
      <c r="Z288" s="3">
        <f t="shared" si="170"/>
        <v>21705.95</v>
      </c>
      <c r="AA288" s="3">
        <f>AA289+AA293</f>
        <v>44706.157910000002</v>
      </c>
      <c r="AB288" s="3">
        <f>AB289+AB293</f>
        <v>17522.268</v>
      </c>
      <c r="AC288" s="3">
        <f>AC289+AC293</f>
        <v>17119.198000000004</v>
      </c>
      <c r="AD288" s="3">
        <f t="shared" ref="AD288:AO288" si="171">AD289</f>
        <v>63735.476889999998</v>
      </c>
      <c r="AE288" s="3">
        <f t="shared" si="171"/>
        <v>0</v>
      </c>
      <c r="AF288" s="3">
        <f t="shared" si="171"/>
        <v>0</v>
      </c>
      <c r="AG288" s="3">
        <f t="shared" si="171"/>
        <v>0</v>
      </c>
      <c r="AH288" s="3">
        <f t="shared" si="171"/>
        <v>0</v>
      </c>
      <c r="AI288" s="3">
        <f t="shared" si="171"/>
        <v>0</v>
      </c>
      <c r="AJ288" s="3">
        <f t="shared" si="171"/>
        <v>0</v>
      </c>
      <c r="AK288" s="3">
        <f t="shared" si="171"/>
        <v>0</v>
      </c>
      <c r="AL288" s="3">
        <f t="shared" si="171"/>
        <v>0</v>
      </c>
      <c r="AM288" s="3">
        <v>7.79</v>
      </c>
      <c r="AN288" s="3">
        <f t="shared" si="171"/>
        <v>0</v>
      </c>
      <c r="AO288" s="3">
        <f t="shared" si="171"/>
        <v>0</v>
      </c>
      <c r="AP288" s="834"/>
      <c r="AQ288" s="95">
        <f>116.245</f>
        <v>116.245</v>
      </c>
      <c r="AR288" s="835"/>
    </row>
    <row r="289" spans="1:79" ht="14.25" customHeight="1" x14ac:dyDescent="0.25">
      <c r="A289" s="1359"/>
      <c r="B289" s="1" t="s">
        <v>213</v>
      </c>
      <c r="C289" s="969"/>
      <c r="D289" s="969"/>
      <c r="E289" s="969"/>
      <c r="F289" s="969"/>
      <c r="G289" s="962">
        <v>2026</v>
      </c>
      <c r="H289" s="962">
        <v>2033</v>
      </c>
      <c r="I289" s="962" t="s">
        <v>20</v>
      </c>
      <c r="J289" s="6">
        <f>L289</f>
        <v>300.79000000000002</v>
      </c>
      <c r="K289" s="6"/>
      <c r="L289" s="47">
        <v>300.79000000000002</v>
      </c>
      <c r="M289" s="47">
        <v>0</v>
      </c>
      <c r="N289" s="47">
        <v>0</v>
      </c>
      <c r="O289" s="47">
        <v>0</v>
      </c>
      <c r="P289" s="47">
        <v>3.4</v>
      </c>
      <c r="Q289" s="47">
        <f>Q290</f>
        <v>10.39</v>
      </c>
      <c r="R289" s="47">
        <f t="shared" ref="R289:Z289" si="172">SUM(R290:R292)</f>
        <v>0</v>
      </c>
      <c r="S289" s="47">
        <f t="shared" si="172"/>
        <v>0</v>
      </c>
      <c r="T289" s="47">
        <f t="shared" si="172"/>
        <v>0</v>
      </c>
      <c r="U289" s="47">
        <f t="shared" si="172"/>
        <v>3.4</v>
      </c>
      <c r="V289" s="47">
        <f t="shared" si="172"/>
        <v>0</v>
      </c>
      <c r="W289" s="47">
        <f t="shared" si="172"/>
        <v>0</v>
      </c>
      <c r="X289" s="47">
        <f t="shared" si="172"/>
        <v>0</v>
      </c>
      <c r="Y289" s="47">
        <f t="shared" si="172"/>
        <v>0</v>
      </c>
      <c r="Z289" s="47">
        <f t="shared" si="172"/>
        <v>0</v>
      </c>
      <c r="AA289" s="47">
        <v>0</v>
      </c>
      <c r="AB289" s="47">
        <v>0</v>
      </c>
      <c r="AC289" s="47">
        <v>0</v>
      </c>
      <c r="AD289" s="47">
        <f>SUM(AD290:AD293)</f>
        <v>63735.476889999998</v>
      </c>
      <c r="AE289" s="47">
        <f>SUM(AE290:AE293)</f>
        <v>0</v>
      </c>
      <c r="AF289" s="47">
        <v>0</v>
      </c>
      <c r="AG289" s="47">
        <v>0</v>
      </c>
      <c r="AH289" s="47">
        <v>0</v>
      </c>
      <c r="AI289" s="47">
        <v>0</v>
      </c>
      <c r="AJ289" s="47">
        <v>0</v>
      </c>
      <c r="AK289" s="47">
        <v>0</v>
      </c>
      <c r="AL289" s="47">
        <v>0</v>
      </c>
      <c r="AM289" s="47">
        <v>0</v>
      </c>
      <c r="AN289" s="47">
        <v>0</v>
      </c>
      <c r="AO289" s="47">
        <v>0</v>
      </c>
      <c r="AP289" s="419"/>
      <c r="AQ289" s="96"/>
      <c r="AR289" s="600"/>
      <c r="AS289" s="600"/>
      <c r="AT289" s="600"/>
      <c r="AU289" s="600"/>
      <c r="AV289" s="600"/>
      <c r="AW289" s="600"/>
      <c r="AX289" s="600"/>
      <c r="AY289" s="600"/>
      <c r="AZ289" s="600"/>
      <c r="BA289" s="600"/>
      <c r="BB289" s="600"/>
      <c r="BC289" s="600"/>
      <c r="BD289" s="600"/>
      <c r="BE289" s="600"/>
      <c r="BF289" s="600"/>
      <c r="BG289" s="600"/>
      <c r="BH289" s="600"/>
      <c r="BI289" s="600"/>
      <c r="BJ289" s="600"/>
      <c r="BK289" s="600"/>
      <c r="BL289" s="600"/>
      <c r="BM289" s="600"/>
      <c r="BN289" s="600"/>
      <c r="BO289" s="600"/>
      <c r="BP289" s="600"/>
      <c r="BQ289" s="600"/>
      <c r="BR289" s="600"/>
      <c r="BS289" s="600"/>
      <c r="BT289" s="600"/>
      <c r="BU289" s="600"/>
      <c r="BV289" s="600"/>
      <c r="BW289" s="600"/>
      <c r="BX289" s="600"/>
      <c r="BY289" s="600"/>
      <c r="BZ289" s="600"/>
      <c r="CA289" s="600"/>
    </row>
    <row r="290" spans="1:79" s="266" customFormat="1" ht="15" hidden="1" customHeight="1" x14ac:dyDescent="0.25">
      <c r="A290" s="1664"/>
      <c r="B290" s="92" t="s">
        <v>454</v>
      </c>
      <c r="C290" s="653"/>
      <c r="D290" s="653"/>
      <c r="E290" s="653"/>
      <c r="F290" s="653"/>
      <c r="G290" s="262"/>
      <c r="H290" s="262"/>
      <c r="I290" s="368"/>
      <c r="J290" s="442"/>
      <c r="K290" s="442"/>
      <c r="L290" s="268"/>
      <c r="M290" s="268"/>
      <c r="N290" s="268"/>
      <c r="O290" s="268"/>
      <c r="P290" s="268">
        <f>R290</f>
        <v>0</v>
      </c>
      <c r="Q290" s="268">
        <v>10.39</v>
      </c>
      <c r="R290" s="268">
        <f>S290</f>
        <v>0</v>
      </c>
      <c r="S290" s="268">
        <v>0</v>
      </c>
      <c r="T290" s="268"/>
      <c r="U290" s="268"/>
      <c r="V290" s="268"/>
      <c r="W290" s="268"/>
      <c r="X290" s="268"/>
      <c r="Y290" s="268"/>
      <c r="Z290" s="268"/>
      <c r="AA290" s="96"/>
      <c r="AB290" s="268">
        <v>0</v>
      </c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418"/>
      <c r="AQ290" s="268"/>
      <c r="AR290" s="602"/>
      <c r="AS290" s="602"/>
      <c r="AT290" s="602"/>
      <c r="AU290" s="602"/>
      <c r="AV290" s="602"/>
      <c r="AW290" s="602"/>
      <c r="AX290" s="602"/>
      <c r="AY290" s="602"/>
      <c r="AZ290" s="602"/>
      <c r="BA290" s="602"/>
      <c r="BB290" s="602"/>
      <c r="BC290" s="602"/>
      <c r="BD290" s="602"/>
      <c r="BE290" s="602"/>
      <c r="BF290" s="602"/>
      <c r="BG290" s="602"/>
      <c r="BH290" s="602"/>
      <c r="BI290" s="602"/>
      <c r="BJ290" s="602"/>
      <c r="BK290" s="602"/>
      <c r="BL290" s="602"/>
      <c r="BM290" s="602"/>
      <c r="BN290" s="602"/>
      <c r="BO290" s="602"/>
      <c r="BP290" s="602"/>
      <c r="BQ290" s="602"/>
      <c r="BR290" s="602"/>
      <c r="BS290" s="602"/>
      <c r="BT290" s="602"/>
      <c r="BU290" s="602"/>
      <c r="BV290" s="602"/>
      <c r="BW290" s="602"/>
      <c r="BX290" s="602"/>
      <c r="BY290" s="602"/>
      <c r="BZ290" s="602"/>
      <c r="CA290" s="602"/>
    </row>
    <row r="291" spans="1:79" s="544" customFormat="1" hidden="1" x14ac:dyDescent="0.25">
      <c r="A291" s="1664"/>
      <c r="B291" s="102" t="s">
        <v>312</v>
      </c>
      <c r="C291" s="576"/>
      <c r="D291" s="576"/>
      <c r="E291" s="576"/>
      <c r="F291" s="576"/>
      <c r="G291" s="104"/>
      <c r="H291" s="104"/>
      <c r="I291" s="443"/>
      <c r="J291" s="106"/>
      <c r="K291" s="106"/>
      <c r="L291" s="96"/>
      <c r="M291" s="96"/>
      <c r="N291" s="96"/>
      <c r="O291" s="96"/>
      <c r="P291" s="96"/>
      <c r="Q291" s="96"/>
      <c r="R291" s="96"/>
      <c r="S291" s="96">
        <v>0</v>
      </c>
      <c r="T291" s="96"/>
      <c r="U291" s="96">
        <v>3.4</v>
      </c>
      <c r="V291" s="96"/>
      <c r="W291" s="96"/>
      <c r="X291" s="96"/>
      <c r="Y291" s="96"/>
      <c r="Z291" s="96"/>
      <c r="AA291" s="96"/>
      <c r="AB291" s="96">
        <v>0</v>
      </c>
      <c r="AC291" s="96">
        <v>3.4</v>
      </c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421"/>
      <c r="AQ291" s="96"/>
      <c r="AR291" s="602"/>
      <c r="AS291" s="602"/>
      <c r="AT291" s="602"/>
      <c r="AU291" s="602"/>
      <c r="AV291" s="602"/>
      <c r="AW291" s="602"/>
      <c r="AX291" s="602"/>
      <c r="AY291" s="602"/>
      <c r="AZ291" s="602"/>
      <c r="BA291" s="602"/>
      <c r="BB291" s="602"/>
      <c r="BC291" s="602"/>
      <c r="BD291" s="602"/>
      <c r="BE291" s="602"/>
      <c r="BF291" s="602"/>
      <c r="BG291" s="602"/>
      <c r="BH291" s="602"/>
      <c r="BI291" s="602"/>
      <c r="BJ291" s="602"/>
      <c r="BK291" s="602"/>
      <c r="BL291" s="602"/>
      <c r="BM291" s="602"/>
      <c r="BN291" s="602"/>
      <c r="BO291" s="602"/>
      <c r="BP291" s="602"/>
      <c r="BQ291" s="602"/>
      <c r="BR291" s="602"/>
      <c r="BS291" s="602"/>
      <c r="BT291" s="602"/>
      <c r="BU291" s="602"/>
      <c r="BV291" s="602"/>
      <c r="BW291" s="602"/>
      <c r="BX291" s="602"/>
      <c r="BY291" s="602"/>
      <c r="BZ291" s="602"/>
      <c r="CA291" s="622"/>
    </row>
    <row r="292" spans="1:79" s="48" customFormat="1" ht="25.5" hidden="1" customHeight="1" x14ac:dyDescent="0.25">
      <c r="A292" s="1664"/>
      <c r="B292" s="102" t="s">
        <v>265</v>
      </c>
      <c r="C292" s="576"/>
      <c r="D292" s="576"/>
      <c r="E292" s="576"/>
      <c r="F292" s="576"/>
      <c r="G292" s="104"/>
      <c r="H292" s="104"/>
      <c r="I292" s="619"/>
      <c r="J292" s="106"/>
      <c r="K292" s="106"/>
      <c r="L292" s="96"/>
      <c r="M292" s="96"/>
      <c r="N292" s="96"/>
      <c r="O292" s="96"/>
      <c r="P292" s="96">
        <f>R292+T292</f>
        <v>0</v>
      </c>
      <c r="Q292" s="96">
        <f>S292+U292+W292+Y292</f>
        <v>0</v>
      </c>
      <c r="R292" s="96"/>
      <c r="S292" s="96"/>
      <c r="T292" s="96">
        <v>0</v>
      </c>
      <c r="U292" s="96">
        <v>0</v>
      </c>
      <c r="V292" s="96">
        <f>W292</f>
        <v>0</v>
      </c>
      <c r="W292" s="96">
        <v>0</v>
      </c>
      <c r="X292" s="96"/>
      <c r="Y292" s="96">
        <v>0</v>
      </c>
      <c r="Z292" s="96"/>
      <c r="AA292" s="96">
        <f>SUM(AB292:AE292)</f>
        <v>0</v>
      </c>
      <c r="AB292" s="96"/>
      <c r="AC292" s="96">
        <v>0</v>
      </c>
      <c r="AD292" s="96">
        <v>0</v>
      </c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421"/>
      <c r="AQ292" s="96"/>
      <c r="AR292" s="600"/>
      <c r="AS292" s="600"/>
      <c r="AT292" s="600"/>
      <c r="AU292" s="600"/>
      <c r="AV292" s="600"/>
      <c r="AW292" s="600"/>
      <c r="AX292" s="600"/>
      <c r="AY292" s="600"/>
      <c r="AZ292" s="600"/>
      <c r="BA292" s="600"/>
      <c r="BB292" s="600"/>
      <c r="BC292" s="600"/>
      <c r="BD292" s="600"/>
      <c r="BE292" s="600"/>
      <c r="BF292" s="600"/>
      <c r="BG292" s="600"/>
      <c r="BH292" s="600"/>
      <c r="BI292" s="600"/>
      <c r="BJ292" s="600"/>
      <c r="BK292" s="600"/>
      <c r="BL292" s="600"/>
      <c r="BM292" s="600"/>
      <c r="BN292" s="600"/>
      <c r="BO292" s="600"/>
      <c r="BP292" s="600"/>
      <c r="BQ292" s="600"/>
      <c r="BR292" s="600"/>
      <c r="BS292" s="600"/>
      <c r="BT292" s="600"/>
      <c r="BU292" s="600"/>
      <c r="BV292" s="600"/>
      <c r="BW292" s="600"/>
      <c r="BX292" s="600"/>
      <c r="BY292" s="600"/>
      <c r="BZ292" s="600"/>
      <c r="CA292" s="621"/>
    </row>
    <row r="293" spans="1:79" s="48" customFormat="1" ht="15.75" customHeight="1" x14ac:dyDescent="0.25">
      <c r="A293" s="1664"/>
      <c r="B293" s="1" t="s">
        <v>415</v>
      </c>
      <c r="C293" s="970"/>
      <c r="D293" s="970"/>
      <c r="E293" s="970"/>
      <c r="F293" s="970"/>
      <c r="G293" s="962"/>
      <c r="H293" s="962"/>
      <c r="I293" s="23" t="s">
        <v>10</v>
      </c>
      <c r="J293" s="6"/>
      <c r="K293" s="6"/>
      <c r="L293" s="47">
        <v>263850.07</v>
      </c>
      <c r="M293" s="47">
        <v>263850.07</v>
      </c>
      <c r="N293" s="47">
        <v>263850.07</v>
      </c>
      <c r="O293" s="47">
        <v>263850.07</v>
      </c>
      <c r="P293" s="47">
        <v>0</v>
      </c>
      <c r="Q293" s="47">
        <f>SUM(Q294:Q297)</f>
        <v>29933.475440000002</v>
      </c>
      <c r="R293" s="47">
        <v>21705.95</v>
      </c>
      <c r="S293" s="47">
        <v>21705.95</v>
      </c>
      <c r="T293" s="47">
        <v>21705.95</v>
      </c>
      <c r="U293" s="47">
        <v>21705.95</v>
      </c>
      <c r="V293" s="47">
        <v>21705.95</v>
      </c>
      <c r="W293" s="47">
        <v>21705.95</v>
      </c>
      <c r="X293" s="47">
        <v>21705.95</v>
      </c>
      <c r="Y293" s="47">
        <v>21705.95</v>
      </c>
      <c r="Z293" s="47">
        <v>21705.95</v>
      </c>
      <c r="AA293" s="47">
        <f>SUM(AA294:AA297)</f>
        <v>44706.157910000002</v>
      </c>
      <c r="AB293" s="47">
        <f t="shared" ref="AB293:AJ293" si="173">SUM(AB294:AB297)</f>
        <v>17522.268</v>
      </c>
      <c r="AC293" s="47">
        <f t="shared" si="173"/>
        <v>17119.198000000004</v>
      </c>
      <c r="AD293" s="47">
        <f t="shared" si="173"/>
        <v>63735.476889999998</v>
      </c>
      <c r="AE293" s="47">
        <f t="shared" si="173"/>
        <v>0</v>
      </c>
      <c r="AF293" s="47">
        <f t="shared" si="173"/>
        <v>0</v>
      </c>
      <c r="AG293" s="47">
        <f t="shared" si="173"/>
        <v>0</v>
      </c>
      <c r="AH293" s="47">
        <f t="shared" si="173"/>
        <v>0</v>
      </c>
      <c r="AI293" s="47">
        <f t="shared" si="173"/>
        <v>0</v>
      </c>
      <c r="AJ293" s="47">
        <f t="shared" si="173"/>
        <v>0</v>
      </c>
      <c r="AK293" s="47">
        <f>AK294</f>
        <v>0</v>
      </c>
      <c r="AL293" s="47">
        <v>0</v>
      </c>
      <c r="AM293" s="47">
        <v>0</v>
      </c>
      <c r="AN293" s="47">
        <v>0</v>
      </c>
      <c r="AO293" s="47">
        <v>0</v>
      </c>
      <c r="AP293" s="419"/>
      <c r="AQ293" s="96"/>
      <c r="AR293" s="600"/>
      <c r="AS293" s="600"/>
      <c r="AT293" s="600"/>
      <c r="AU293" s="600"/>
      <c r="AV293" s="600"/>
      <c r="AW293" s="600"/>
      <c r="AX293" s="600"/>
      <c r="AY293" s="600"/>
      <c r="AZ293" s="600"/>
      <c r="BA293" s="600"/>
      <c r="BB293" s="600"/>
      <c r="BC293" s="600"/>
      <c r="BD293" s="600"/>
      <c r="BE293" s="600"/>
      <c r="BF293" s="600"/>
      <c r="BG293" s="600"/>
      <c r="BH293" s="600"/>
      <c r="BI293" s="600"/>
      <c r="BJ293" s="600"/>
      <c r="BK293" s="600"/>
      <c r="BL293" s="600"/>
      <c r="BM293" s="600"/>
      <c r="BN293" s="600"/>
      <c r="BO293" s="600"/>
      <c r="BP293" s="600"/>
      <c r="BQ293" s="600"/>
      <c r="BR293" s="600"/>
      <c r="BS293" s="600"/>
      <c r="BT293" s="600"/>
      <c r="BU293" s="600"/>
      <c r="BV293" s="600"/>
      <c r="BW293" s="600"/>
      <c r="BX293" s="600"/>
      <c r="BY293" s="600"/>
      <c r="BZ293" s="600"/>
      <c r="CA293" s="621"/>
    </row>
    <row r="294" spans="1:79" s="544" customFormat="1" hidden="1" x14ac:dyDescent="0.25">
      <c r="A294" s="1664"/>
      <c r="B294" s="102" t="s">
        <v>304</v>
      </c>
      <c r="C294" s="576"/>
      <c r="D294" s="576"/>
      <c r="E294" s="576"/>
      <c r="F294" s="576"/>
      <c r="G294" s="104"/>
      <c r="H294" s="104"/>
      <c r="I294" s="443"/>
      <c r="J294" s="106"/>
      <c r="K294" s="106"/>
      <c r="L294" s="96"/>
      <c r="M294" s="96"/>
      <c r="N294" s="96"/>
      <c r="O294" s="96"/>
      <c r="P294" s="96"/>
      <c r="Q294" s="96">
        <f>21662.59874+8211.12924</f>
        <v>29873.727980000003</v>
      </c>
      <c r="R294" s="96"/>
      <c r="S294" s="96">
        <v>17505.331999999999</v>
      </c>
      <c r="T294" s="96"/>
      <c r="U294" s="96">
        <v>17063.596000000001</v>
      </c>
      <c r="V294" s="96"/>
      <c r="W294" s="96">
        <v>63608.259890000001</v>
      </c>
      <c r="X294" s="96"/>
      <c r="Y294" s="96"/>
      <c r="Z294" s="96"/>
      <c r="AA294" s="96">
        <f>21662.59874+8211.12924</f>
        <v>29873.727980000003</v>
      </c>
      <c r="AB294" s="96">
        <v>17505.331999999999</v>
      </c>
      <c r="AC294" s="96">
        <v>17063.596000000001</v>
      </c>
      <c r="AD294" s="96">
        <v>63608.259890000001</v>
      </c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421"/>
      <c r="AQ294" s="96"/>
      <c r="AR294" s="602"/>
      <c r="AS294" s="602"/>
      <c r="AT294" s="602"/>
      <c r="AU294" s="602"/>
      <c r="AV294" s="602"/>
      <c r="AW294" s="602"/>
      <c r="AX294" s="602"/>
      <c r="AY294" s="602"/>
      <c r="AZ294" s="602"/>
      <c r="BA294" s="602"/>
      <c r="BB294" s="602"/>
      <c r="BC294" s="602"/>
      <c r="BD294" s="602"/>
      <c r="BE294" s="602"/>
      <c r="BF294" s="602"/>
      <c r="BG294" s="602"/>
      <c r="BH294" s="602"/>
      <c r="BI294" s="602"/>
      <c r="BJ294" s="602"/>
      <c r="BK294" s="602"/>
      <c r="BL294" s="602"/>
      <c r="BM294" s="602"/>
      <c r="BN294" s="602"/>
      <c r="BO294" s="602"/>
      <c r="BP294" s="602"/>
      <c r="BQ294" s="602"/>
      <c r="BR294" s="602"/>
      <c r="BS294" s="602"/>
      <c r="BT294" s="602"/>
      <c r="BU294" s="602"/>
      <c r="BV294" s="602"/>
      <c r="BW294" s="602"/>
      <c r="BX294" s="602"/>
      <c r="BY294" s="602"/>
      <c r="BZ294" s="602"/>
      <c r="CA294" s="622"/>
    </row>
    <row r="295" spans="1:79" s="544" customFormat="1" hidden="1" x14ac:dyDescent="0.25">
      <c r="A295" s="1664"/>
      <c r="B295" s="102" t="s">
        <v>305</v>
      </c>
      <c r="C295" s="576"/>
      <c r="D295" s="576"/>
      <c r="E295" s="576"/>
      <c r="F295" s="576"/>
      <c r="G295" s="104"/>
      <c r="H295" s="104"/>
      <c r="I295" s="443"/>
      <c r="J295" s="106"/>
      <c r="K295" s="106"/>
      <c r="L295" s="96"/>
      <c r="M295" s="96"/>
      <c r="N295" s="96"/>
      <c r="O295" s="96"/>
      <c r="P295" s="96"/>
      <c r="Q295" s="96">
        <f>43.3252+16.42226</f>
        <v>59.747460000000004</v>
      </c>
      <c r="R295" s="96"/>
      <c r="S295" s="96">
        <v>16.936</v>
      </c>
      <c r="T295" s="96"/>
      <c r="U295" s="96">
        <v>35.421999999999997</v>
      </c>
      <c r="V295" s="96"/>
      <c r="W295" s="96">
        <f>127.21652+16.78083</f>
        <v>143.99735000000001</v>
      </c>
      <c r="X295" s="96"/>
      <c r="Y295" s="96"/>
      <c r="Z295" s="96"/>
      <c r="AA295" s="96">
        <f>43.3252+16.42226</f>
        <v>59.747460000000004</v>
      </c>
      <c r="AB295" s="96">
        <v>16.936</v>
      </c>
      <c r="AC295" s="96">
        <v>52.201999999999998</v>
      </c>
      <c r="AD295" s="96">
        <v>127.217</v>
      </c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421"/>
      <c r="AQ295" s="96"/>
      <c r="AR295" s="602"/>
      <c r="AS295" s="602"/>
      <c r="AT295" s="602"/>
      <c r="AU295" s="602"/>
      <c r="AV295" s="602"/>
      <c r="AW295" s="602"/>
      <c r="AX295" s="602"/>
      <c r="AY295" s="602"/>
      <c r="AZ295" s="602"/>
      <c r="BA295" s="602"/>
      <c r="BB295" s="602"/>
      <c r="BC295" s="602"/>
      <c r="BD295" s="602"/>
      <c r="BE295" s="602"/>
      <c r="BF295" s="602"/>
      <c r="BG295" s="602"/>
      <c r="BH295" s="602"/>
      <c r="BI295" s="602"/>
      <c r="BJ295" s="602"/>
      <c r="BK295" s="602"/>
      <c r="BL295" s="602"/>
      <c r="BM295" s="602"/>
      <c r="BN295" s="602"/>
      <c r="BO295" s="602"/>
      <c r="BP295" s="602"/>
      <c r="BQ295" s="602"/>
      <c r="BR295" s="602"/>
      <c r="BS295" s="602"/>
      <c r="BT295" s="602"/>
      <c r="BU295" s="602"/>
      <c r="BV295" s="602"/>
      <c r="BW295" s="602"/>
      <c r="BX295" s="602"/>
      <c r="BY295" s="602"/>
      <c r="BZ295" s="602"/>
      <c r="CA295" s="622"/>
    </row>
    <row r="296" spans="1:79" s="544" customFormat="1" hidden="1" x14ac:dyDescent="0.25">
      <c r="A296" s="1664"/>
      <c r="B296" s="102" t="s">
        <v>317</v>
      </c>
      <c r="C296" s="576"/>
      <c r="D296" s="576"/>
      <c r="E296" s="576"/>
      <c r="F296" s="576"/>
      <c r="G296" s="104"/>
      <c r="H296" s="104"/>
      <c r="I296" s="443"/>
      <c r="J296" s="106"/>
      <c r="K296" s="106"/>
      <c r="L296" s="96"/>
      <c r="M296" s="96"/>
      <c r="N296" s="96"/>
      <c r="O296" s="96"/>
      <c r="P296" s="96"/>
      <c r="Q296" s="96">
        <v>0</v>
      </c>
      <c r="R296" s="96"/>
      <c r="S296" s="96"/>
      <c r="T296" s="96"/>
      <c r="U296" s="96">
        <v>9848.4549999999999</v>
      </c>
      <c r="V296" s="96"/>
      <c r="W296" s="96"/>
      <c r="X296" s="96"/>
      <c r="Y296" s="96"/>
      <c r="Z296" s="96"/>
      <c r="AA296" s="96">
        <v>14772.68247</v>
      </c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421"/>
      <c r="AQ296" s="96"/>
      <c r="AR296" s="602"/>
      <c r="AS296" s="602"/>
      <c r="AT296" s="602"/>
      <c r="AU296" s="602"/>
      <c r="AV296" s="602"/>
      <c r="AW296" s="602"/>
      <c r="AX296" s="602"/>
      <c r="AY296" s="602"/>
      <c r="AZ296" s="602"/>
      <c r="BA296" s="602"/>
      <c r="BB296" s="602"/>
      <c r="BC296" s="602"/>
      <c r="BD296" s="602"/>
      <c r="BE296" s="602"/>
      <c r="BF296" s="602"/>
      <c r="BG296" s="602"/>
      <c r="BH296" s="602"/>
      <c r="BI296" s="602"/>
      <c r="BJ296" s="602"/>
      <c r="BK296" s="602"/>
      <c r="BL296" s="602"/>
      <c r="BM296" s="602"/>
      <c r="BN296" s="602"/>
      <c r="BO296" s="602"/>
      <c r="BP296" s="602"/>
      <c r="BQ296" s="602"/>
      <c r="BR296" s="602"/>
      <c r="BS296" s="602"/>
      <c r="BT296" s="602"/>
      <c r="BU296" s="602"/>
      <c r="BV296" s="602"/>
      <c r="BW296" s="602"/>
      <c r="BX296" s="602"/>
      <c r="BY296" s="602"/>
      <c r="BZ296" s="602"/>
      <c r="CA296" s="622"/>
    </row>
    <row r="297" spans="1:79" s="544" customFormat="1" hidden="1" x14ac:dyDescent="0.25">
      <c r="A297" s="1665"/>
      <c r="B297" s="102"/>
      <c r="C297" s="576"/>
      <c r="D297" s="576"/>
      <c r="E297" s="576"/>
      <c r="F297" s="576"/>
      <c r="G297" s="104"/>
      <c r="H297" s="104"/>
      <c r="I297" s="443"/>
      <c r="J297" s="106"/>
      <c r="K297" s="106"/>
      <c r="L297" s="96"/>
      <c r="M297" s="96"/>
      <c r="N297" s="96"/>
      <c r="O297" s="96"/>
      <c r="P297" s="96"/>
      <c r="Q297" s="96">
        <v>0</v>
      </c>
      <c r="R297" s="96"/>
      <c r="S297" s="96">
        <v>0</v>
      </c>
      <c r="T297" s="96"/>
      <c r="U297" s="96">
        <v>3.4</v>
      </c>
      <c r="V297" s="96"/>
      <c r="W297" s="96"/>
      <c r="X297" s="96"/>
      <c r="Y297" s="96"/>
      <c r="Z297" s="96"/>
      <c r="AA297" s="96">
        <v>0</v>
      </c>
      <c r="AB297" s="96">
        <v>0</v>
      </c>
      <c r="AC297" s="96">
        <v>3.4</v>
      </c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421"/>
      <c r="AQ297" s="96"/>
      <c r="AR297" s="602"/>
      <c r="AS297" s="602"/>
      <c r="AT297" s="602"/>
      <c r="AU297" s="602"/>
      <c r="AV297" s="602"/>
      <c r="AW297" s="602"/>
      <c r="AX297" s="602"/>
      <c r="AY297" s="602"/>
      <c r="AZ297" s="602"/>
      <c r="BA297" s="602"/>
      <c r="BB297" s="602"/>
      <c r="BC297" s="602"/>
      <c r="BD297" s="602"/>
      <c r="BE297" s="602"/>
      <c r="BF297" s="602"/>
      <c r="BG297" s="602"/>
      <c r="BH297" s="602"/>
      <c r="BI297" s="602"/>
      <c r="BJ297" s="602"/>
      <c r="BK297" s="602"/>
      <c r="BL297" s="602"/>
      <c r="BM297" s="602"/>
      <c r="BN297" s="602"/>
      <c r="BO297" s="602"/>
      <c r="BP297" s="602"/>
      <c r="BQ297" s="602"/>
      <c r="BR297" s="602"/>
      <c r="BS297" s="602"/>
      <c r="BT297" s="602"/>
      <c r="BU297" s="602"/>
      <c r="BV297" s="602"/>
      <c r="BW297" s="602"/>
      <c r="BX297" s="602"/>
      <c r="BY297" s="602"/>
      <c r="BZ297" s="602"/>
      <c r="CA297" s="622"/>
    </row>
    <row r="298" spans="1:79" s="327" customFormat="1" ht="33" customHeight="1" x14ac:dyDescent="0.25">
      <c r="A298" s="1358" t="s">
        <v>194</v>
      </c>
      <c r="B298" s="780" t="s">
        <v>393</v>
      </c>
      <c r="C298" s="966"/>
      <c r="D298" s="966"/>
      <c r="E298" s="966"/>
      <c r="F298" s="966">
        <v>82</v>
      </c>
      <c r="G298" s="807"/>
      <c r="H298" s="807"/>
      <c r="I298" s="1326" t="s">
        <v>20</v>
      </c>
      <c r="J298" s="52">
        <f>L298</f>
        <v>12299.37</v>
      </c>
      <c r="K298" s="52"/>
      <c r="L298" s="3">
        <f>L300</f>
        <v>12299.37</v>
      </c>
      <c r="M298" s="3">
        <f t="shared" ref="M298:Y298" si="174">M300</f>
        <v>0</v>
      </c>
      <c r="N298" s="3">
        <f t="shared" si="174"/>
        <v>0</v>
      </c>
      <c r="O298" s="3">
        <f t="shared" si="174"/>
        <v>5371.98</v>
      </c>
      <c r="P298" s="3">
        <f>P299+P300</f>
        <v>2400.44</v>
      </c>
      <c r="Q298" s="3">
        <f t="shared" si="174"/>
        <v>0</v>
      </c>
      <c r="R298" s="3">
        <f t="shared" si="174"/>
        <v>0</v>
      </c>
      <c r="S298" s="3">
        <f t="shared" si="174"/>
        <v>0</v>
      </c>
      <c r="T298" s="3">
        <f t="shared" si="174"/>
        <v>0</v>
      </c>
      <c r="U298" s="3">
        <f t="shared" si="174"/>
        <v>0</v>
      </c>
      <c r="V298" s="3">
        <f t="shared" si="174"/>
        <v>0</v>
      </c>
      <c r="W298" s="3">
        <f t="shared" si="174"/>
        <v>0</v>
      </c>
      <c r="X298" s="3">
        <f t="shared" si="174"/>
        <v>0</v>
      </c>
      <c r="Y298" s="3">
        <f t="shared" si="174"/>
        <v>0</v>
      </c>
      <c r="Z298" s="95">
        <v>0</v>
      </c>
      <c r="AA298" s="3">
        <f t="shared" ref="AA298:AO298" si="175">AA300</f>
        <v>0</v>
      </c>
      <c r="AB298" s="3">
        <f t="shared" si="175"/>
        <v>0</v>
      </c>
      <c r="AC298" s="3">
        <f t="shared" si="175"/>
        <v>0</v>
      </c>
      <c r="AD298" s="3">
        <f t="shared" si="175"/>
        <v>0</v>
      </c>
      <c r="AE298" s="3">
        <f t="shared" si="175"/>
        <v>0</v>
      </c>
      <c r="AF298" s="3">
        <f t="shared" si="175"/>
        <v>0</v>
      </c>
      <c r="AG298" s="3">
        <f t="shared" si="175"/>
        <v>0</v>
      </c>
      <c r="AH298" s="3">
        <f t="shared" si="175"/>
        <v>0</v>
      </c>
      <c r="AI298" s="3">
        <f t="shared" si="175"/>
        <v>0</v>
      </c>
      <c r="AJ298" s="3">
        <f t="shared" si="175"/>
        <v>0</v>
      </c>
      <c r="AK298" s="3">
        <f t="shared" si="175"/>
        <v>0</v>
      </c>
      <c r="AL298" s="3">
        <f t="shared" si="175"/>
        <v>0</v>
      </c>
      <c r="AM298" s="3">
        <f t="shared" si="175"/>
        <v>0</v>
      </c>
      <c r="AN298" s="3">
        <f t="shared" si="175"/>
        <v>0</v>
      </c>
      <c r="AO298" s="3">
        <f t="shared" si="175"/>
        <v>0</v>
      </c>
      <c r="AP298" s="834"/>
      <c r="AQ298" s="95">
        <v>0</v>
      </c>
    </row>
    <row r="299" spans="1:79" ht="15.75" customHeight="1" x14ac:dyDescent="0.25">
      <c r="A299" s="1359"/>
      <c r="B299" s="1" t="s">
        <v>39</v>
      </c>
      <c r="C299" s="970"/>
      <c r="D299" s="970"/>
      <c r="E299" s="970"/>
      <c r="F299" s="970"/>
      <c r="G299" s="962"/>
      <c r="H299" s="962"/>
      <c r="I299" s="1327"/>
      <c r="J299" s="6"/>
      <c r="K299" s="6"/>
      <c r="L299" s="47"/>
      <c r="M299" s="47"/>
      <c r="N299" s="47"/>
      <c r="O299" s="47"/>
      <c r="P299" s="47">
        <v>2400.44</v>
      </c>
      <c r="Q299" s="47">
        <f>S299</f>
        <v>0</v>
      </c>
      <c r="R299" s="47">
        <f>S299</f>
        <v>0</v>
      </c>
      <c r="S299" s="47">
        <v>0</v>
      </c>
      <c r="T299" s="47"/>
      <c r="U299" s="47"/>
      <c r="V299" s="47"/>
      <c r="W299" s="47"/>
      <c r="X299" s="47"/>
      <c r="Y299" s="47"/>
      <c r="Z299" s="47"/>
      <c r="AA299" s="47">
        <v>0</v>
      </c>
      <c r="AB299" s="47">
        <v>0</v>
      </c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19"/>
      <c r="AQ299" s="47"/>
    </row>
    <row r="300" spans="1:79" ht="18.75" customHeight="1" x14ac:dyDescent="0.25">
      <c r="A300" s="1361"/>
      <c r="B300" s="1" t="s">
        <v>213</v>
      </c>
      <c r="C300" s="969"/>
      <c r="D300" s="969"/>
      <c r="E300" s="969"/>
      <c r="F300" s="969"/>
      <c r="G300" s="962">
        <v>2024</v>
      </c>
      <c r="H300" s="962">
        <v>2029</v>
      </c>
      <c r="I300" s="1328"/>
      <c r="J300" s="6">
        <f>L300</f>
        <v>12299.37</v>
      </c>
      <c r="K300" s="6"/>
      <c r="L300" s="47">
        <v>12299.37</v>
      </c>
      <c r="M300" s="47">
        <v>0</v>
      </c>
      <c r="N300" s="47">
        <v>0</v>
      </c>
      <c r="O300" s="47">
        <v>5371.98</v>
      </c>
      <c r="P300" s="47">
        <v>0</v>
      </c>
      <c r="Q300" s="47">
        <v>0</v>
      </c>
      <c r="R300" s="47">
        <v>0</v>
      </c>
      <c r="S300" s="47">
        <v>0</v>
      </c>
      <c r="T300" s="47">
        <v>0</v>
      </c>
      <c r="U300" s="47">
        <v>0</v>
      </c>
      <c r="V300" s="47">
        <v>0</v>
      </c>
      <c r="W300" s="47">
        <v>0</v>
      </c>
      <c r="X300" s="47">
        <v>0</v>
      </c>
      <c r="Y300" s="47">
        <v>0</v>
      </c>
      <c r="Z300" s="96"/>
      <c r="AA300" s="47">
        <v>0</v>
      </c>
      <c r="AB300" s="47">
        <v>0</v>
      </c>
      <c r="AC300" s="47">
        <v>0</v>
      </c>
      <c r="AD300" s="47">
        <v>0</v>
      </c>
      <c r="AE300" s="47">
        <v>0</v>
      </c>
      <c r="AF300" s="47">
        <v>0</v>
      </c>
      <c r="AG300" s="47">
        <v>0</v>
      </c>
      <c r="AH300" s="47">
        <v>0</v>
      </c>
      <c r="AI300" s="47">
        <v>0</v>
      </c>
      <c r="AJ300" s="47">
        <v>0</v>
      </c>
      <c r="AK300" s="47">
        <v>0</v>
      </c>
      <c r="AL300" s="47">
        <v>0</v>
      </c>
      <c r="AM300" s="47">
        <v>0</v>
      </c>
      <c r="AN300" s="47">
        <v>0</v>
      </c>
      <c r="AO300" s="47">
        <v>0</v>
      </c>
      <c r="AP300" s="419"/>
      <c r="AQ300" s="96"/>
    </row>
    <row r="301" spans="1:79" ht="15.75" hidden="1" x14ac:dyDescent="0.25">
      <c r="B301" s="623" t="s">
        <v>96</v>
      </c>
      <c r="C301" s="623"/>
      <c r="D301" s="623"/>
      <c r="E301" s="623"/>
      <c r="F301" s="623"/>
      <c r="G301" s="623"/>
      <c r="H301" s="623"/>
      <c r="I301" s="623"/>
      <c r="J301" s="623"/>
      <c r="K301" s="623"/>
      <c r="L301" s="623"/>
      <c r="M301" s="623"/>
      <c r="N301" s="623"/>
      <c r="O301" s="623"/>
      <c r="P301" s="624"/>
      <c r="Q301" s="623"/>
      <c r="S301" s="623"/>
      <c r="T301" s="623" t="s">
        <v>97</v>
      </c>
      <c r="U301" s="623"/>
      <c r="V301" s="623"/>
      <c r="W301" s="623"/>
      <c r="AB301" s="623" t="s">
        <v>97</v>
      </c>
      <c r="AO301" s="623"/>
      <c r="AP301" s="623"/>
    </row>
    <row r="302" spans="1:79" ht="15.75" hidden="1" x14ac:dyDescent="0.25">
      <c r="B302" s="623"/>
      <c r="C302" s="623"/>
      <c r="D302" s="623"/>
      <c r="E302" s="623"/>
      <c r="F302" s="623"/>
      <c r="G302" s="623"/>
      <c r="H302" s="623"/>
      <c r="I302" s="623"/>
      <c r="J302" s="623"/>
      <c r="K302" s="623"/>
      <c r="L302" s="623"/>
      <c r="M302" s="623"/>
      <c r="N302" s="623"/>
      <c r="O302" s="623"/>
      <c r="P302" s="624"/>
      <c r="Q302" s="623"/>
      <c r="S302" s="623"/>
      <c r="T302" s="623"/>
      <c r="U302" s="623"/>
      <c r="AB302" s="623"/>
      <c r="AC302" s="626" t="s">
        <v>98</v>
      </c>
      <c r="AD302" s="623"/>
      <c r="AE302" s="623"/>
      <c r="AF302" s="623"/>
      <c r="AG302" s="623"/>
      <c r="AH302" s="623"/>
      <c r="AI302" s="623"/>
      <c r="AJ302" s="623"/>
      <c r="AK302" s="623"/>
      <c r="AL302" s="623"/>
      <c r="AM302" s="623" t="s">
        <v>99</v>
      </c>
      <c r="AN302" s="623"/>
      <c r="AO302" s="623"/>
      <c r="AP302" s="623"/>
    </row>
    <row r="303" spans="1:79" ht="15.75" hidden="1" x14ac:dyDescent="0.25">
      <c r="B303" s="623"/>
      <c r="C303" s="623"/>
      <c r="D303" s="623"/>
      <c r="E303" s="623"/>
      <c r="F303" s="623"/>
      <c r="G303" s="623"/>
      <c r="H303" s="623"/>
      <c r="I303" s="623"/>
      <c r="J303" s="623"/>
      <c r="K303" s="623"/>
      <c r="L303" s="623"/>
      <c r="M303" s="623"/>
      <c r="N303" s="623"/>
      <c r="O303" s="623"/>
      <c r="P303" s="624"/>
      <c r="Q303" s="623"/>
      <c r="S303" s="623"/>
      <c r="T303" s="623"/>
      <c r="W303" s="623" t="s">
        <v>98</v>
      </c>
      <c r="AB303" s="623"/>
      <c r="AD303" s="623"/>
      <c r="AE303" s="623"/>
      <c r="AF303" s="623"/>
      <c r="AG303" s="623"/>
      <c r="AH303" s="623"/>
      <c r="AI303" s="623"/>
      <c r="AJ303" s="623"/>
      <c r="AK303" s="623"/>
      <c r="AL303" s="623"/>
      <c r="AM303" s="623"/>
      <c r="AN303" s="623"/>
      <c r="AO303" s="623"/>
      <c r="AP303" s="623"/>
    </row>
    <row r="304" spans="1:79" ht="15.75" hidden="1" x14ac:dyDescent="0.25">
      <c r="B304" s="623" t="s">
        <v>94</v>
      </c>
      <c r="C304" s="623"/>
      <c r="D304" s="623"/>
      <c r="E304" s="623"/>
      <c r="F304" s="623"/>
      <c r="G304" s="623"/>
      <c r="H304" s="623"/>
      <c r="I304" s="623"/>
      <c r="J304" s="623"/>
      <c r="K304" s="623"/>
      <c r="L304" s="623"/>
      <c r="M304" s="623"/>
      <c r="N304" s="623"/>
      <c r="O304" s="623"/>
      <c r="P304" s="624"/>
      <c r="Q304" s="623"/>
      <c r="S304" s="623"/>
      <c r="T304" s="623" t="s">
        <v>95</v>
      </c>
      <c r="W304" s="623"/>
      <c r="AB304" s="623" t="s">
        <v>95</v>
      </c>
      <c r="AC304" s="626" t="s">
        <v>100</v>
      </c>
      <c r="AD304" s="623"/>
      <c r="AE304" s="623"/>
      <c r="AF304" s="623"/>
      <c r="AG304" s="623"/>
      <c r="AH304" s="623"/>
      <c r="AI304" s="623"/>
      <c r="AJ304" s="623"/>
      <c r="AK304" s="623"/>
      <c r="AL304" s="623"/>
      <c r="AM304" s="623" t="s">
        <v>101</v>
      </c>
      <c r="AN304" s="623"/>
    </row>
    <row r="305" spans="1:43" ht="15.75" hidden="1" x14ac:dyDescent="0.25">
      <c r="W305" s="623"/>
      <c r="AJ305" s="623"/>
    </row>
    <row r="306" spans="1:43" ht="15.75" hidden="1" x14ac:dyDescent="0.25">
      <c r="W306" s="623" t="s">
        <v>100</v>
      </c>
      <c r="AJ306" s="623" t="s">
        <v>101</v>
      </c>
    </row>
    <row r="307" spans="1:43" s="624" customFormat="1" ht="4.5" hidden="1" customHeight="1" x14ac:dyDescent="0.25">
      <c r="B307" s="624" t="s">
        <v>242</v>
      </c>
      <c r="T307" s="624" t="s">
        <v>151</v>
      </c>
      <c r="X307" s="627"/>
      <c r="Y307" s="627"/>
      <c r="Z307" s="627"/>
      <c r="AB307" s="624" t="s">
        <v>151</v>
      </c>
      <c r="AP307" s="628"/>
      <c r="AQ307" s="627"/>
    </row>
    <row r="308" spans="1:43" s="327" customFormat="1" ht="29.25" customHeight="1" x14ac:dyDescent="0.25">
      <c r="A308" s="1358" t="s">
        <v>194</v>
      </c>
      <c r="B308" s="780" t="s">
        <v>394</v>
      </c>
      <c r="C308" s="966"/>
      <c r="D308" s="966"/>
      <c r="E308" s="966"/>
      <c r="F308" s="966">
        <v>82</v>
      </c>
      <c r="G308" s="807"/>
      <c r="H308" s="807"/>
      <c r="I308" s="1326" t="s">
        <v>20</v>
      </c>
      <c r="J308" s="52">
        <f>L308</f>
        <v>12299.37</v>
      </c>
      <c r="K308" s="52"/>
      <c r="L308" s="3">
        <f>L310</f>
        <v>12299.37</v>
      </c>
      <c r="M308" s="3">
        <f t="shared" ref="M308:Y308" si="176">M310</f>
        <v>0</v>
      </c>
      <c r="N308" s="3">
        <f t="shared" si="176"/>
        <v>0</v>
      </c>
      <c r="O308" s="3">
        <f t="shared" si="176"/>
        <v>5371.98</v>
      </c>
      <c r="P308" s="3">
        <f>P309+P310</f>
        <v>2804.27</v>
      </c>
      <c r="Q308" s="3">
        <f t="shared" si="176"/>
        <v>0</v>
      </c>
      <c r="R308" s="3">
        <f t="shared" si="176"/>
        <v>0</v>
      </c>
      <c r="S308" s="3">
        <f t="shared" si="176"/>
        <v>0</v>
      </c>
      <c r="T308" s="3">
        <f t="shared" si="176"/>
        <v>0</v>
      </c>
      <c r="U308" s="3">
        <f t="shared" si="176"/>
        <v>0</v>
      </c>
      <c r="V308" s="3">
        <f t="shared" si="176"/>
        <v>0</v>
      </c>
      <c r="W308" s="3">
        <f t="shared" si="176"/>
        <v>0</v>
      </c>
      <c r="X308" s="3">
        <f t="shared" si="176"/>
        <v>0</v>
      </c>
      <c r="Y308" s="3">
        <f t="shared" si="176"/>
        <v>0</v>
      </c>
      <c r="Z308" s="95">
        <v>0</v>
      </c>
      <c r="AA308" s="3">
        <f t="shared" ref="AA308:AO308" si="177">AA310</f>
        <v>0</v>
      </c>
      <c r="AB308" s="3">
        <f t="shared" si="177"/>
        <v>0</v>
      </c>
      <c r="AC308" s="3">
        <f t="shared" si="177"/>
        <v>0</v>
      </c>
      <c r="AD308" s="3">
        <f t="shared" si="177"/>
        <v>0</v>
      </c>
      <c r="AE308" s="3">
        <f t="shared" si="177"/>
        <v>0</v>
      </c>
      <c r="AF308" s="3">
        <f t="shared" si="177"/>
        <v>0</v>
      </c>
      <c r="AG308" s="3">
        <f t="shared" si="177"/>
        <v>0</v>
      </c>
      <c r="AH308" s="3">
        <f t="shared" si="177"/>
        <v>0</v>
      </c>
      <c r="AI308" s="3">
        <f t="shared" si="177"/>
        <v>0</v>
      </c>
      <c r="AJ308" s="3">
        <f t="shared" si="177"/>
        <v>0</v>
      </c>
      <c r="AK308" s="3">
        <f t="shared" si="177"/>
        <v>0</v>
      </c>
      <c r="AL308" s="3">
        <f t="shared" si="177"/>
        <v>0</v>
      </c>
      <c r="AM308" s="3">
        <f t="shared" si="177"/>
        <v>0</v>
      </c>
      <c r="AN308" s="3">
        <f t="shared" si="177"/>
        <v>0</v>
      </c>
      <c r="AO308" s="3">
        <f t="shared" si="177"/>
        <v>0</v>
      </c>
      <c r="AP308" s="834"/>
      <c r="AQ308" s="95">
        <v>0</v>
      </c>
    </row>
    <row r="309" spans="1:43" ht="15.75" customHeight="1" x14ac:dyDescent="0.25">
      <c r="A309" s="1359"/>
      <c r="B309" s="1" t="s">
        <v>39</v>
      </c>
      <c r="C309" s="970"/>
      <c r="D309" s="970"/>
      <c r="E309" s="970"/>
      <c r="F309" s="970"/>
      <c r="G309" s="962"/>
      <c r="H309" s="962"/>
      <c r="I309" s="1327"/>
      <c r="J309" s="6"/>
      <c r="K309" s="6"/>
      <c r="L309" s="47"/>
      <c r="M309" s="47"/>
      <c r="N309" s="47"/>
      <c r="O309" s="47"/>
      <c r="P309" s="47">
        <v>2804.27</v>
      </c>
      <c r="Q309" s="47">
        <f>S309</f>
        <v>0</v>
      </c>
      <c r="R309" s="47">
        <f>S309</f>
        <v>0</v>
      </c>
      <c r="S309" s="47">
        <v>0</v>
      </c>
      <c r="T309" s="47"/>
      <c r="U309" s="47"/>
      <c r="V309" s="47"/>
      <c r="W309" s="47"/>
      <c r="X309" s="47"/>
      <c r="Y309" s="47"/>
      <c r="Z309" s="47"/>
      <c r="AA309" s="47">
        <v>0</v>
      </c>
      <c r="AB309" s="47">
        <v>0</v>
      </c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19"/>
      <c r="AQ309" s="47"/>
    </row>
    <row r="310" spans="1:43" ht="19.5" customHeight="1" x14ac:dyDescent="0.25">
      <c r="A310" s="1361"/>
      <c r="B310" s="1" t="s">
        <v>213</v>
      </c>
      <c r="C310" s="969"/>
      <c r="D310" s="969"/>
      <c r="E310" s="969"/>
      <c r="F310" s="969"/>
      <c r="G310" s="962">
        <v>2024</v>
      </c>
      <c r="H310" s="962">
        <v>2029</v>
      </c>
      <c r="I310" s="1328"/>
      <c r="J310" s="6">
        <f>L310</f>
        <v>12299.37</v>
      </c>
      <c r="K310" s="6"/>
      <c r="L310" s="47">
        <v>12299.37</v>
      </c>
      <c r="M310" s="47">
        <v>0</v>
      </c>
      <c r="N310" s="47">
        <v>0</v>
      </c>
      <c r="O310" s="47">
        <v>5371.98</v>
      </c>
      <c r="P310" s="47">
        <v>0</v>
      </c>
      <c r="Q310" s="47">
        <v>0</v>
      </c>
      <c r="R310" s="47">
        <v>0</v>
      </c>
      <c r="S310" s="47">
        <v>0</v>
      </c>
      <c r="T310" s="47">
        <v>0</v>
      </c>
      <c r="U310" s="47">
        <v>0</v>
      </c>
      <c r="V310" s="47">
        <v>0</v>
      </c>
      <c r="W310" s="47">
        <v>0</v>
      </c>
      <c r="X310" s="47">
        <v>0</v>
      </c>
      <c r="Y310" s="47">
        <v>0</v>
      </c>
      <c r="Z310" s="96"/>
      <c r="AA310" s="47">
        <v>0</v>
      </c>
      <c r="AB310" s="47">
        <v>0</v>
      </c>
      <c r="AC310" s="47">
        <v>0</v>
      </c>
      <c r="AD310" s="47">
        <v>0</v>
      </c>
      <c r="AE310" s="47">
        <v>0</v>
      </c>
      <c r="AF310" s="47">
        <v>0</v>
      </c>
      <c r="AG310" s="47">
        <v>0</v>
      </c>
      <c r="AH310" s="47">
        <v>0</v>
      </c>
      <c r="AI310" s="47">
        <v>0</v>
      </c>
      <c r="AJ310" s="47">
        <v>0</v>
      </c>
      <c r="AK310" s="47">
        <v>0</v>
      </c>
      <c r="AL310" s="47">
        <v>0</v>
      </c>
      <c r="AM310" s="47">
        <v>0</v>
      </c>
      <c r="AN310" s="47">
        <v>0</v>
      </c>
      <c r="AO310" s="47">
        <v>0</v>
      </c>
      <c r="AP310" s="419"/>
      <c r="AQ310" s="96"/>
    </row>
    <row r="311" spans="1:43" s="327" customFormat="1" ht="29.25" customHeight="1" x14ac:dyDescent="0.25">
      <c r="A311" s="1358" t="s">
        <v>194</v>
      </c>
      <c r="B311" s="780" t="s">
        <v>416</v>
      </c>
      <c r="C311" s="966"/>
      <c r="D311" s="966"/>
      <c r="E311" s="966"/>
      <c r="F311" s="966">
        <v>82</v>
      </c>
      <c r="G311" s="807"/>
      <c r="H311" s="807"/>
      <c r="I311" s="1326" t="s">
        <v>20</v>
      </c>
      <c r="J311" s="52">
        <f>L311</f>
        <v>12299.37</v>
      </c>
      <c r="K311" s="52"/>
      <c r="L311" s="3">
        <f>L313</f>
        <v>12299.37</v>
      </c>
      <c r="M311" s="3">
        <f t="shared" ref="M311:Y311" si="178">M313</f>
        <v>0</v>
      </c>
      <c r="N311" s="3">
        <f t="shared" si="178"/>
        <v>0</v>
      </c>
      <c r="O311" s="3">
        <f t="shared" si="178"/>
        <v>5371.98</v>
      </c>
      <c r="P311" s="3">
        <f>P312+P313</f>
        <v>377.92</v>
      </c>
      <c r="Q311" s="3">
        <f t="shared" si="178"/>
        <v>0</v>
      </c>
      <c r="R311" s="3">
        <f t="shared" si="178"/>
        <v>0</v>
      </c>
      <c r="S311" s="3">
        <f t="shared" si="178"/>
        <v>0</v>
      </c>
      <c r="T311" s="3">
        <f t="shared" si="178"/>
        <v>0</v>
      </c>
      <c r="U311" s="3">
        <f t="shared" si="178"/>
        <v>0</v>
      </c>
      <c r="V311" s="3">
        <f t="shared" si="178"/>
        <v>0</v>
      </c>
      <c r="W311" s="3">
        <f t="shared" si="178"/>
        <v>0</v>
      </c>
      <c r="X311" s="3">
        <f t="shared" si="178"/>
        <v>0</v>
      </c>
      <c r="Y311" s="3">
        <f t="shared" si="178"/>
        <v>0</v>
      </c>
      <c r="Z311" s="95">
        <v>0</v>
      </c>
      <c r="AA311" s="3">
        <f t="shared" ref="AA311:AO311" si="179">AA313</f>
        <v>0</v>
      </c>
      <c r="AB311" s="3">
        <f t="shared" si="179"/>
        <v>0</v>
      </c>
      <c r="AC311" s="3">
        <f t="shared" si="179"/>
        <v>0</v>
      </c>
      <c r="AD311" s="3">
        <f t="shared" si="179"/>
        <v>0</v>
      </c>
      <c r="AE311" s="3">
        <f t="shared" si="179"/>
        <v>0</v>
      </c>
      <c r="AF311" s="3">
        <f t="shared" si="179"/>
        <v>0</v>
      </c>
      <c r="AG311" s="3">
        <f t="shared" si="179"/>
        <v>0</v>
      </c>
      <c r="AH311" s="3">
        <f t="shared" si="179"/>
        <v>0</v>
      </c>
      <c r="AI311" s="3">
        <f t="shared" si="179"/>
        <v>0</v>
      </c>
      <c r="AJ311" s="3">
        <f t="shared" si="179"/>
        <v>0</v>
      </c>
      <c r="AK311" s="3">
        <f t="shared" si="179"/>
        <v>0</v>
      </c>
      <c r="AL311" s="3">
        <f t="shared" si="179"/>
        <v>0</v>
      </c>
      <c r="AM311" s="3">
        <f t="shared" si="179"/>
        <v>0</v>
      </c>
      <c r="AN311" s="3">
        <f t="shared" si="179"/>
        <v>0</v>
      </c>
      <c r="AO311" s="3">
        <f t="shared" si="179"/>
        <v>0</v>
      </c>
      <c r="AP311" s="834"/>
      <c r="AQ311" s="95">
        <v>0</v>
      </c>
    </row>
    <row r="312" spans="1:43" ht="15.75" customHeight="1" x14ac:dyDescent="0.25">
      <c r="A312" s="1359"/>
      <c r="B312" s="1" t="s">
        <v>39</v>
      </c>
      <c r="C312" s="970"/>
      <c r="D312" s="970"/>
      <c r="E312" s="970"/>
      <c r="F312" s="970"/>
      <c r="G312" s="962"/>
      <c r="H312" s="962"/>
      <c r="I312" s="1327"/>
      <c r="J312" s="6"/>
      <c r="K312" s="6"/>
      <c r="L312" s="47"/>
      <c r="M312" s="47"/>
      <c r="N312" s="47"/>
      <c r="O312" s="47"/>
      <c r="P312" s="47">
        <v>377.92</v>
      </c>
      <c r="Q312" s="47">
        <f>S312</f>
        <v>0</v>
      </c>
      <c r="R312" s="47">
        <f>S312</f>
        <v>0</v>
      </c>
      <c r="S312" s="47">
        <v>0</v>
      </c>
      <c r="T312" s="47"/>
      <c r="U312" s="47"/>
      <c r="V312" s="47"/>
      <c r="W312" s="47"/>
      <c r="X312" s="47"/>
      <c r="Y312" s="47"/>
      <c r="Z312" s="47"/>
      <c r="AA312" s="47">
        <v>0</v>
      </c>
      <c r="AB312" s="47">
        <v>0</v>
      </c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19"/>
      <c r="AQ312" s="47"/>
    </row>
    <row r="313" spans="1:43" ht="19.5" customHeight="1" x14ac:dyDescent="0.25">
      <c r="A313" s="1361"/>
      <c r="B313" s="1" t="s">
        <v>213</v>
      </c>
      <c r="C313" s="969"/>
      <c r="D313" s="969"/>
      <c r="E313" s="969"/>
      <c r="F313" s="969"/>
      <c r="G313" s="962">
        <v>2024</v>
      </c>
      <c r="H313" s="962">
        <v>2029</v>
      </c>
      <c r="I313" s="1328"/>
      <c r="J313" s="6">
        <f>L313</f>
        <v>12299.37</v>
      </c>
      <c r="K313" s="6"/>
      <c r="L313" s="47">
        <v>12299.37</v>
      </c>
      <c r="M313" s="47">
        <v>0</v>
      </c>
      <c r="N313" s="47">
        <v>0</v>
      </c>
      <c r="O313" s="47">
        <v>5371.98</v>
      </c>
      <c r="P313" s="47">
        <v>0</v>
      </c>
      <c r="Q313" s="47">
        <v>0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47">
        <v>0</v>
      </c>
      <c r="X313" s="47">
        <v>0</v>
      </c>
      <c r="Y313" s="47">
        <v>0</v>
      </c>
      <c r="Z313" s="96"/>
      <c r="AA313" s="47">
        <v>0</v>
      </c>
      <c r="AB313" s="47">
        <v>0</v>
      </c>
      <c r="AC313" s="47">
        <v>0</v>
      </c>
      <c r="AD313" s="47">
        <v>0</v>
      </c>
      <c r="AE313" s="47">
        <v>0</v>
      </c>
      <c r="AF313" s="47">
        <v>0</v>
      </c>
      <c r="AG313" s="47">
        <v>0</v>
      </c>
      <c r="AH313" s="47">
        <v>0</v>
      </c>
      <c r="AI313" s="47">
        <v>0</v>
      </c>
      <c r="AJ313" s="47">
        <v>0</v>
      </c>
      <c r="AK313" s="47">
        <v>0</v>
      </c>
      <c r="AL313" s="47">
        <v>0</v>
      </c>
      <c r="AM313" s="47">
        <v>0</v>
      </c>
      <c r="AN313" s="47">
        <v>0</v>
      </c>
      <c r="AO313" s="47">
        <v>0</v>
      </c>
      <c r="AP313" s="419"/>
      <c r="AQ313" s="96"/>
    </row>
  </sheetData>
  <mergeCells count="199">
    <mergeCell ref="A311:A313"/>
    <mergeCell ref="I311:I313"/>
    <mergeCell ref="A285:A287"/>
    <mergeCell ref="I285:I287"/>
    <mergeCell ref="A288:A297"/>
    <mergeCell ref="A298:A300"/>
    <mergeCell ref="I298:I300"/>
    <mergeCell ref="A308:A310"/>
    <mergeCell ref="I308:I310"/>
    <mergeCell ref="A278:A284"/>
    <mergeCell ref="C278:C279"/>
    <mergeCell ref="D278:D279"/>
    <mergeCell ref="E278:E279"/>
    <mergeCell ref="F278:F279"/>
    <mergeCell ref="I278:I284"/>
    <mergeCell ref="A273:A277"/>
    <mergeCell ref="C273:C274"/>
    <mergeCell ref="D273:D274"/>
    <mergeCell ref="E273:E274"/>
    <mergeCell ref="F273:F274"/>
    <mergeCell ref="I273:I277"/>
    <mergeCell ref="I267:I268"/>
    <mergeCell ref="J267:J268"/>
    <mergeCell ref="A269:A272"/>
    <mergeCell ref="C269:C270"/>
    <mergeCell ref="D269:D270"/>
    <mergeCell ref="E269:E270"/>
    <mergeCell ref="F269:F270"/>
    <mergeCell ref="I269:I272"/>
    <mergeCell ref="A252:A256"/>
    <mergeCell ref="I252:I256"/>
    <mergeCell ref="A257:A258"/>
    <mergeCell ref="I257:I258"/>
    <mergeCell ref="I264:I265"/>
    <mergeCell ref="A267:A268"/>
    <mergeCell ref="C267:C268"/>
    <mergeCell ref="D267:D268"/>
    <mergeCell ref="E267:E268"/>
    <mergeCell ref="F267:F268"/>
    <mergeCell ref="H238:H241"/>
    <mergeCell ref="I238:I241"/>
    <mergeCell ref="J238:J241"/>
    <mergeCell ref="A245:A248"/>
    <mergeCell ref="B245:H248"/>
    <mergeCell ref="A249:A251"/>
    <mergeCell ref="I249:I250"/>
    <mergeCell ref="I229:I230"/>
    <mergeCell ref="A231:A234"/>
    <mergeCell ref="B231:H234"/>
    <mergeCell ref="I235:I236"/>
    <mergeCell ref="A238:A241"/>
    <mergeCell ref="C238:C241"/>
    <mergeCell ref="D238:D241"/>
    <mergeCell ref="E238:E241"/>
    <mergeCell ref="F238:F241"/>
    <mergeCell ref="G238:G241"/>
    <mergeCell ref="J208:J212"/>
    <mergeCell ref="A213:A214"/>
    <mergeCell ref="I213:I214"/>
    <mergeCell ref="I219:I220"/>
    <mergeCell ref="I225:I226"/>
    <mergeCell ref="I227:I228"/>
    <mergeCell ref="A208:A212"/>
    <mergeCell ref="C208:C212"/>
    <mergeCell ref="D208:D212"/>
    <mergeCell ref="E208:E212"/>
    <mergeCell ref="F208:F212"/>
    <mergeCell ref="I208:I212"/>
    <mergeCell ref="A184:A185"/>
    <mergeCell ref="I184:I185"/>
    <mergeCell ref="A187:A188"/>
    <mergeCell ref="I187:I188"/>
    <mergeCell ref="A204:A207"/>
    <mergeCell ref="B204:H207"/>
    <mergeCell ref="H171:H172"/>
    <mergeCell ref="I171:I172"/>
    <mergeCell ref="J171:J172"/>
    <mergeCell ref="K171:K172"/>
    <mergeCell ref="A180:A181"/>
    <mergeCell ref="I180:I181"/>
    <mergeCell ref="A171:A172"/>
    <mergeCell ref="C171:C172"/>
    <mergeCell ref="D171:D172"/>
    <mergeCell ref="E171:E172"/>
    <mergeCell ref="F171:F172"/>
    <mergeCell ref="G171:G172"/>
    <mergeCell ref="H164:H165"/>
    <mergeCell ref="I164:I165"/>
    <mergeCell ref="J164:J165"/>
    <mergeCell ref="K164:K165"/>
    <mergeCell ref="A167:A170"/>
    <mergeCell ref="F167:F170"/>
    <mergeCell ref="I167:I170"/>
    <mergeCell ref="A164:A165"/>
    <mergeCell ref="C164:C165"/>
    <mergeCell ref="D164:D165"/>
    <mergeCell ref="E164:E165"/>
    <mergeCell ref="F164:F165"/>
    <mergeCell ref="G164:G165"/>
    <mergeCell ref="A148:A152"/>
    <mergeCell ref="I148:I152"/>
    <mergeCell ref="J148:J152"/>
    <mergeCell ref="A155:H159"/>
    <mergeCell ref="A160:A163"/>
    <mergeCell ref="B160:H163"/>
    <mergeCell ref="A138:A142"/>
    <mergeCell ref="I138:I142"/>
    <mergeCell ref="J138:J142"/>
    <mergeCell ref="A143:A147"/>
    <mergeCell ref="I143:I147"/>
    <mergeCell ref="J143:J147"/>
    <mergeCell ref="A120:A124"/>
    <mergeCell ref="I120:I124"/>
    <mergeCell ref="A125:A126"/>
    <mergeCell ref="I125:I126"/>
    <mergeCell ref="A128:A131"/>
    <mergeCell ref="B128:H131"/>
    <mergeCell ref="A108:A112"/>
    <mergeCell ref="I108:I112"/>
    <mergeCell ref="A113:A114"/>
    <mergeCell ref="I113:I114"/>
    <mergeCell ref="A116:A119"/>
    <mergeCell ref="I116:I119"/>
    <mergeCell ref="A96:A98"/>
    <mergeCell ref="I96:I97"/>
    <mergeCell ref="A99:A100"/>
    <mergeCell ref="I99:I100"/>
    <mergeCell ref="A102:A107"/>
    <mergeCell ref="I102:I107"/>
    <mergeCell ref="C86:C91"/>
    <mergeCell ref="D86:D91"/>
    <mergeCell ref="E86:E91"/>
    <mergeCell ref="F86:F91"/>
    <mergeCell ref="I86:I91"/>
    <mergeCell ref="A93:A95"/>
    <mergeCell ref="I93:I94"/>
    <mergeCell ref="I68:I71"/>
    <mergeCell ref="J68:J71"/>
    <mergeCell ref="A78:A81"/>
    <mergeCell ref="B78:H81"/>
    <mergeCell ref="A82:A83"/>
    <mergeCell ref="I82:I83"/>
    <mergeCell ref="A65:A67"/>
    <mergeCell ref="B65:H67"/>
    <mergeCell ref="A68:A71"/>
    <mergeCell ref="C68:C71"/>
    <mergeCell ref="D68:D71"/>
    <mergeCell ref="E68:E71"/>
    <mergeCell ref="F68:F71"/>
    <mergeCell ref="I55:I57"/>
    <mergeCell ref="A58:A61"/>
    <mergeCell ref="C58:C61"/>
    <mergeCell ref="D58:D61"/>
    <mergeCell ref="E58:E61"/>
    <mergeCell ref="F58:F61"/>
    <mergeCell ref="I58:I61"/>
    <mergeCell ref="A52:A54"/>
    <mergeCell ref="B52:H54"/>
    <mergeCell ref="A55:A57"/>
    <mergeCell ref="C55:C57"/>
    <mergeCell ref="D55:D57"/>
    <mergeCell ref="E55:E57"/>
    <mergeCell ref="F55:F57"/>
    <mergeCell ref="A36:A39"/>
    <mergeCell ref="I36:I39"/>
    <mergeCell ref="K36:K39"/>
    <mergeCell ref="A43:A46"/>
    <mergeCell ref="B43:H46"/>
    <mergeCell ref="A47:A51"/>
    <mergeCell ref="I47:I51"/>
    <mergeCell ref="J47:J51"/>
    <mergeCell ref="K47:K51"/>
    <mergeCell ref="G19:G20"/>
    <mergeCell ref="H19:H20"/>
    <mergeCell ref="AP20:AP30"/>
    <mergeCell ref="A33:A35"/>
    <mergeCell ref="I33:I35"/>
    <mergeCell ref="J33:J35"/>
    <mergeCell ref="K33:K35"/>
    <mergeCell ref="AP34:AP35"/>
    <mergeCell ref="B5:F5"/>
    <mergeCell ref="A6:H9"/>
    <mergeCell ref="A10:H14"/>
    <mergeCell ref="A15:A18"/>
    <mergeCell ref="B15:H18"/>
    <mergeCell ref="A19:A28"/>
    <mergeCell ref="C19:C20"/>
    <mergeCell ref="D19:D20"/>
    <mergeCell ref="E19:E20"/>
    <mergeCell ref="F19:F20"/>
    <mergeCell ref="A1:AP1"/>
    <mergeCell ref="E3:F3"/>
    <mergeCell ref="M3:O3"/>
    <mergeCell ref="R3:S3"/>
    <mergeCell ref="T3:U3"/>
    <mergeCell ref="V3:W3"/>
    <mergeCell ref="X3:Y3"/>
    <mergeCell ref="AF3:AJ3"/>
    <mergeCell ref="AL3:AO3"/>
  </mergeCells>
  <pageMargins left="0" right="0" top="0.19685039370078741" bottom="0.15748031496062992" header="0.31496062992125984" footer="0.31496062992125984"/>
  <pageSetup paperSize="9" fitToHeight="10" orientation="landscape" r:id="rId1"/>
  <rowBreaks count="3" manualBreakCount="3">
    <brk id="46" max="16383" man="1"/>
    <brk id="183" max="16383" man="1"/>
    <brk id="251" max="16383" man="1"/>
  </rowBreaks>
  <colBreaks count="1" manualBreakCount="1">
    <brk id="4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27</vt:i4>
      </vt:variant>
    </vt:vector>
  </HeadingPairs>
  <TitlesOfParts>
    <vt:vector size="45" baseType="lpstr">
      <vt:lpstr>Лист4</vt:lpstr>
      <vt:lpstr>Лист5</vt:lpstr>
      <vt:lpstr>отчет по мероприятиям</vt:lpstr>
      <vt:lpstr>ввод мощностей</vt:lpstr>
      <vt:lpstr>водоснабжение</vt:lpstr>
      <vt:lpstr>канализация</vt:lpstr>
      <vt:lpstr>3 мес.</vt:lpstr>
      <vt:lpstr>4 мес.</vt:lpstr>
      <vt:lpstr>5 мес. </vt:lpstr>
      <vt:lpstr>6 мес.  </vt:lpstr>
      <vt:lpstr>7 мес.</vt:lpstr>
      <vt:lpstr>8 мес.</vt:lpstr>
      <vt:lpstr>9 мес.</vt:lpstr>
      <vt:lpstr>10 мес. </vt:lpstr>
      <vt:lpstr>11 мес.</vt:lpstr>
      <vt:lpstr>Инф. по зел насаждениям</vt:lpstr>
      <vt:lpstr>Лист1</vt:lpstr>
      <vt:lpstr>Лист2</vt:lpstr>
      <vt:lpstr>'10 мес. '!Заголовки_для_печати</vt:lpstr>
      <vt:lpstr>'11 мес.'!Заголовки_для_печати</vt:lpstr>
      <vt:lpstr>'3 мес.'!Заголовки_для_печати</vt:lpstr>
      <vt:lpstr>'4 мес.'!Заголовки_для_печати</vt:lpstr>
      <vt:lpstr>'5 мес. '!Заголовки_для_печати</vt:lpstr>
      <vt:lpstr>'6 мес.  '!Заголовки_для_печати</vt:lpstr>
      <vt:lpstr>'7 мес.'!Заголовки_для_печати</vt:lpstr>
      <vt:lpstr>'8 мес.'!Заголовки_для_печати</vt:lpstr>
      <vt:lpstr>'9 мес.'!Заголовки_для_печати</vt:lpstr>
      <vt:lpstr>'ввод мощностей'!Заголовки_для_печати</vt:lpstr>
      <vt:lpstr>водоснабжение!Заголовки_для_печати</vt:lpstr>
      <vt:lpstr>'Инф. по зел насаждениям'!Заголовки_для_печати</vt:lpstr>
      <vt:lpstr>канализация!Заголовки_для_печати</vt:lpstr>
      <vt:lpstr>'отчет по мероприятиям'!Заголовки_для_печати</vt:lpstr>
      <vt:lpstr>'10 мес. '!Область_печати</vt:lpstr>
      <vt:lpstr>'11 мес.'!Область_печати</vt:lpstr>
      <vt:lpstr>'3 мес.'!Область_печати</vt:lpstr>
      <vt:lpstr>'4 мес.'!Область_печати</vt:lpstr>
      <vt:lpstr>'5 мес. '!Область_печати</vt:lpstr>
      <vt:lpstr>'6 мес.  '!Область_печати</vt:lpstr>
      <vt:lpstr>'7 мес.'!Область_печати</vt:lpstr>
      <vt:lpstr>'8 мес.'!Область_печати</vt:lpstr>
      <vt:lpstr>'9 мес.'!Область_печати</vt:lpstr>
      <vt:lpstr>водоснабжение!Область_печати</vt:lpstr>
      <vt:lpstr>'Инф. по зел насаждениям'!Область_печати</vt:lpstr>
      <vt:lpstr>канализация!Область_печати</vt:lpstr>
      <vt:lpstr>'отчет по мероприятиям'!Область_печати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2023-04-21T06:25:16Z</dcterms:modified>
</cp:coreProperties>
</file>